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omments4.xml" ContentType="application/vnd.openxmlformats-officedocument.spreadsheetml.comments+xml"/>
  <Override PartName="/xl/drawings/drawing14.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5.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7.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64011"/>
  <mc:AlternateContent xmlns:mc="http://schemas.openxmlformats.org/markup-compatibility/2006">
    <mc:Choice Requires="x15">
      <x15ac:absPath xmlns:x15ac="http://schemas.microsoft.com/office/spreadsheetml/2010/11/ac" url="\\WPGFILE01\Data\Common\Cross Training\Louvers Matrix\Louvers Office\5. Applications\5.5-5.6 Penthouse Performance\Price Penthouse Performance Data Sheet - Upload\"/>
    </mc:Choice>
  </mc:AlternateContent>
  <workbookProtection workbookAlgorithmName="SHA-512" workbookHashValue="ne9tUhP2WoGIYS/2brANPIgNd2rvQRCfRaqbh9PYxq2RXUq7ainX8xZr/4og4zUnwzF0xGpO6CZLG0mTiQcjMA==" workbookSaltValue="jY9oDoYif4toHE9AADO/UQ==" workbookSpinCount="100000" lockStructure="1"/>
  <bookViews>
    <workbookView xWindow="0" yWindow="0" windowWidth="28800" windowHeight="10710" tabRatio="919"/>
  </bookViews>
  <sheets>
    <sheet name="DATA ENTRY" sheetId="1" r:id="rId1"/>
    <sheet name="BC_PRINT SUMMARY" sheetId="6" r:id="rId2"/>
    <sheet name="MC_PRINT SUMMARY" sheetId="68" r:id="rId3"/>
    <sheet name="FOR ENGINEERS" sheetId="64" state="hidden" r:id="rId4"/>
    <sheet name="REVISION LOG" sheetId="43" state="hidden" r:id="rId5"/>
    <sheet name="SHEETDATA" sheetId="2" state="hidden" r:id="rId6"/>
    <sheet name="WORKSHEET INSTRUCTIONS" sheetId="41" state="hidden" r:id="rId7"/>
    <sheet name="MODEL INSTRUCTIONS" sheetId="40" state="hidden" r:id="rId8"/>
    <sheet name="BCDE439" sheetId="46" state="hidden" r:id="rId9"/>
    <sheet name="BCDE635" sheetId="52" state="hidden" r:id="rId10"/>
    <sheet name="BCZE439" sheetId="53" state="hidden" r:id="rId11"/>
    <sheet name="BCZE445" sheetId="54" state="hidden" r:id="rId12"/>
    <sheet name="BCJE443" sheetId="55" state="hidden" r:id="rId13"/>
    <sheet name="MCDE439" sheetId="56" state="hidden" r:id="rId14"/>
    <sheet name="MCDE635" sheetId="57" state="hidden" r:id="rId15"/>
    <sheet name="MCZE439" sheetId="58" state="hidden" r:id="rId16"/>
    <sheet name="MCZE445" sheetId="59" state="hidden" r:id="rId17"/>
    <sheet name="MCJE443" sheetId="60" state="hidden" r:id="rId18"/>
    <sheet name="BC_ROOF" sheetId="63" state="hidden" r:id="rId19"/>
    <sheet name="MC_ROOF" sheetId="65" state="hidden" r:id="rId20"/>
    <sheet name="BC_CURB" sheetId="62" state="hidden" r:id="rId21"/>
    <sheet name="MC_CURB" sheetId="66" state="hidden" r:id="rId22"/>
    <sheet name="MITER CORNER HEIGHTS" sheetId="67" state="hidden" r:id="rId23"/>
  </sheets>
  <definedNames>
    <definedName name="BOXCORNER">SHEETDATA!$A$21:$A$26</definedName>
    <definedName name="LOUVERIMAGE" localSheetId="2">INDIRECT(ADDRESS(39-1+MATCH('MC_PRINT SUMMARY'!$A$15, SHEETDATA!$M$39:$M$48, 0), 14,,,"SHEETDATA"))</definedName>
    <definedName name="LOUVERIMAGE">INDIRECT(ADDRESS(39-1+MATCH('BC_PRINT SUMMARY'!$A$16, SHEETDATA!$M$39:$M$48, 0), 14,,,"SHEETDATA"))</definedName>
    <definedName name="MCDE439">SHEETDATA!$AO$3:$AO$19</definedName>
    <definedName name="MCDE635">SHEETDATA!$AP$3:$AP$17</definedName>
    <definedName name="MCJE443">SHEETDATA!$AS$3:$AS$15</definedName>
    <definedName name="MCZE439">SHEETDATA!$AQ$3:$AQ$19</definedName>
    <definedName name="MCZE445">SHEETDATA!$AR$3:$AR$15</definedName>
    <definedName name="MITERCORNER">SHEETDATA!$C$21:$C$26</definedName>
    <definedName name="MODELS">SHEETDATA!$B$2:$B$12</definedName>
    <definedName name="null">SHEETDATA!$E$21</definedName>
    <definedName name="_xlnm.Print_Area" localSheetId="1">'BC_PRINT SUMMARY'!$A$1:$I$42</definedName>
    <definedName name="_xlnm.Print_Area" localSheetId="0">'DATA ENTRY'!$A$1:$M$35</definedName>
    <definedName name="_xlnm.Print_Area" localSheetId="2">'MC_PRINT SUMMARY'!$A$1:$I$42</definedName>
    <definedName name="WHITEOUT">INDIRECT(ADDRESS(39-1+MATCH(SHEETDATA!$W$36, SHEETDATA!$T$39:$T$40, 0), 21,,,"SHEETDATA"))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 i="62" l="1"/>
  <c r="L9" i="66"/>
  <c r="C3" i="66" l="1"/>
  <c r="C2" i="66"/>
  <c r="C3" i="62"/>
  <c r="C2" i="62"/>
  <c r="C3" i="65"/>
  <c r="C2" i="65"/>
  <c r="C3" i="63"/>
  <c r="C2" i="63"/>
  <c r="Z121" i="60" l="1"/>
  <c r="Y121" i="60"/>
  <c r="X121" i="60"/>
  <c r="W121" i="60"/>
  <c r="V121" i="60"/>
  <c r="U121" i="60"/>
  <c r="T121" i="60"/>
  <c r="S121" i="60"/>
  <c r="R121" i="60"/>
  <c r="O121" i="60"/>
  <c r="Z120" i="60"/>
  <c r="Y120" i="60"/>
  <c r="X120" i="60"/>
  <c r="W120" i="60"/>
  <c r="V120" i="60"/>
  <c r="U120" i="60"/>
  <c r="T120" i="60"/>
  <c r="S120" i="60"/>
  <c r="R120" i="60"/>
  <c r="O120" i="60"/>
  <c r="Z119" i="60"/>
  <c r="Y119" i="60"/>
  <c r="X119" i="60"/>
  <c r="W119" i="60"/>
  <c r="V119" i="60"/>
  <c r="U119" i="60"/>
  <c r="T119" i="60"/>
  <c r="S119" i="60"/>
  <c r="R119" i="60"/>
  <c r="O119" i="60"/>
  <c r="Z118" i="60"/>
  <c r="Y118" i="60"/>
  <c r="X118" i="60"/>
  <c r="W118" i="60"/>
  <c r="V118" i="60"/>
  <c r="U118" i="60"/>
  <c r="T118" i="60"/>
  <c r="S118" i="60"/>
  <c r="R118" i="60"/>
  <c r="O118" i="60"/>
  <c r="Z117" i="60"/>
  <c r="Y117" i="60"/>
  <c r="X117" i="60"/>
  <c r="W117" i="60"/>
  <c r="V117" i="60"/>
  <c r="U117" i="60"/>
  <c r="T117" i="60"/>
  <c r="S117" i="60"/>
  <c r="R117" i="60"/>
  <c r="O117" i="60"/>
  <c r="Z116" i="60"/>
  <c r="Y116" i="60"/>
  <c r="X116" i="60"/>
  <c r="W116" i="60"/>
  <c r="V116" i="60"/>
  <c r="U116" i="60"/>
  <c r="T116" i="60"/>
  <c r="S116" i="60"/>
  <c r="R116" i="60"/>
  <c r="O116" i="60"/>
  <c r="Z115" i="60"/>
  <c r="Y115" i="60"/>
  <c r="X115" i="60"/>
  <c r="W115" i="60"/>
  <c r="V115" i="60"/>
  <c r="U115" i="60"/>
  <c r="T115" i="60"/>
  <c r="S115" i="60"/>
  <c r="R115" i="60"/>
  <c r="O115" i="60"/>
  <c r="Z114" i="60"/>
  <c r="Y114" i="60"/>
  <c r="X114" i="60"/>
  <c r="W114" i="60"/>
  <c r="V114" i="60"/>
  <c r="U114" i="60"/>
  <c r="T114" i="60"/>
  <c r="S114" i="60"/>
  <c r="R114" i="60"/>
  <c r="O114" i="60"/>
  <c r="Z113" i="60"/>
  <c r="Y113" i="60"/>
  <c r="X113" i="60"/>
  <c r="W113" i="60"/>
  <c r="V113" i="60"/>
  <c r="U113" i="60"/>
  <c r="T113" i="60"/>
  <c r="S113" i="60"/>
  <c r="R113" i="60"/>
  <c r="O113" i="60"/>
  <c r="Z112" i="60"/>
  <c r="Y112" i="60"/>
  <c r="X112" i="60"/>
  <c r="W112" i="60"/>
  <c r="V112" i="60"/>
  <c r="U112" i="60"/>
  <c r="T112" i="60"/>
  <c r="S112" i="60"/>
  <c r="R112" i="60"/>
  <c r="O112" i="60"/>
  <c r="Z111" i="60"/>
  <c r="Y111" i="60"/>
  <c r="X111" i="60"/>
  <c r="W111" i="60"/>
  <c r="V111" i="60"/>
  <c r="U111" i="60"/>
  <c r="T111" i="60"/>
  <c r="S111" i="60"/>
  <c r="R111" i="60"/>
  <c r="O111" i="60"/>
  <c r="O110" i="60"/>
  <c r="S109" i="60"/>
  <c r="T109" i="60" s="1"/>
  <c r="U109" i="60" s="1"/>
  <c r="V109" i="60" s="1"/>
  <c r="W109" i="60" s="1"/>
  <c r="X109" i="60" s="1"/>
  <c r="Y109" i="60" s="1"/>
  <c r="Z109" i="60" s="1"/>
  <c r="Z102" i="60"/>
  <c r="Y102" i="60"/>
  <c r="X102" i="60"/>
  <c r="W102" i="60"/>
  <c r="V102" i="60"/>
  <c r="U102" i="60"/>
  <c r="T102" i="60"/>
  <c r="S102" i="60"/>
  <c r="O102" i="60"/>
  <c r="Z101" i="60"/>
  <c r="Y101" i="60"/>
  <c r="X101" i="60"/>
  <c r="W101" i="60"/>
  <c r="V101" i="60"/>
  <c r="U101" i="60"/>
  <c r="T101" i="60"/>
  <c r="S101" i="60"/>
  <c r="O101" i="60"/>
  <c r="Z100" i="60"/>
  <c r="Y100" i="60"/>
  <c r="X100" i="60"/>
  <c r="W100" i="60"/>
  <c r="V100" i="60"/>
  <c r="U100" i="60"/>
  <c r="T100" i="60"/>
  <c r="S100" i="60"/>
  <c r="O100" i="60"/>
  <c r="Z99" i="60"/>
  <c r="Y99" i="60"/>
  <c r="X99" i="60"/>
  <c r="W99" i="60"/>
  <c r="V99" i="60"/>
  <c r="U99" i="60"/>
  <c r="T99" i="60"/>
  <c r="S99" i="60"/>
  <c r="O99" i="60"/>
  <c r="Z98" i="60"/>
  <c r="Y98" i="60"/>
  <c r="X98" i="60"/>
  <c r="W98" i="60"/>
  <c r="V98" i="60"/>
  <c r="U98" i="60"/>
  <c r="T98" i="60"/>
  <c r="S98" i="60"/>
  <c r="O98" i="60"/>
  <c r="Z97" i="60"/>
  <c r="Y97" i="60"/>
  <c r="X97" i="60"/>
  <c r="W97" i="60"/>
  <c r="V97" i="60"/>
  <c r="U97" i="60"/>
  <c r="T97" i="60"/>
  <c r="S97" i="60"/>
  <c r="O97" i="60"/>
  <c r="Z96" i="60"/>
  <c r="Y96" i="60"/>
  <c r="X96" i="60"/>
  <c r="W96" i="60"/>
  <c r="V96" i="60"/>
  <c r="U96" i="60"/>
  <c r="T96" i="60"/>
  <c r="S96" i="60"/>
  <c r="O96" i="60"/>
  <c r="Z95" i="60"/>
  <c r="Y95" i="60"/>
  <c r="X95" i="60"/>
  <c r="W95" i="60"/>
  <c r="V95" i="60"/>
  <c r="U95" i="60"/>
  <c r="T95" i="60"/>
  <c r="S95" i="60"/>
  <c r="O95" i="60"/>
  <c r="Z94" i="60"/>
  <c r="Y94" i="60"/>
  <c r="X94" i="60"/>
  <c r="W94" i="60"/>
  <c r="V94" i="60"/>
  <c r="U94" i="60"/>
  <c r="T94" i="60"/>
  <c r="S94" i="60"/>
  <c r="O94" i="60"/>
  <c r="Z93" i="60"/>
  <c r="Y93" i="60"/>
  <c r="X93" i="60"/>
  <c r="W93" i="60"/>
  <c r="V93" i="60"/>
  <c r="U93" i="60"/>
  <c r="T93" i="60"/>
  <c r="S93" i="60"/>
  <c r="O93" i="60"/>
  <c r="Z92" i="60"/>
  <c r="Y92" i="60"/>
  <c r="X92" i="60"/>
  <c r="W92" i="60"/>
  <c r="V92" i="60"/>
  <c r="U92" i="60"/>
  <c r="T92" i="60"/>
  <c r="S92" i="60"/>
  <c r="O92" i="60"/>
  <c r="Z91" i="60"/>
  <c r="Y91" i="60"/>
  <c r="X91" i="60"/>
  <c r="W91" i="60"/>
  <c r="V91" i="60"/>
  <c r="U91" i="60"/>
  <c r="T91" i="60"/>
  <c r="S91" i="60"/>
  <c r="O91" i="60"/>
  <c r="Z121" i="59"/>
  <c r="Y121" i="59"/>
  <c r="X121" i="59"/>
  <c r="W121" i="59"/>
  <c r="V121" i="59"/>
  <c r="U121" i="59"/>
  <c r="T121" i="59"/>
  <c r="S121" i="59"/>
  <c r="R121" i="59"/>
  <c r="O121" i="59"/>
  <c r="Z120" i="59"/>
  <c r="Y120" i="59"/>
  <c r="X120" i="59"/>
  <c r="W120" i="59"/>
  <c r="V120" i="59"/>
  <c r="U120" i="59"/>
  <c r="T120" i="59"/>
  <c r="S120" i="59"/>
  <c r="R120" i="59"/>
  <c r="O120" i="59"/>
  <c r="Z119" i="59"/>
  <c r="Y119" i="59"/>
  <c r="X119" i="59"/>
  <c r="W119" i="59"/>
  <c r="V119" i="59"/>
  <c r="U119" i="59"/>
  <c r="T119" i="59"/>
  <c r="S119" i="59"/>
  <c r="R119" i="59"/>
  <c r="O119" i="59"/>
  <c r="Z118" i="59"/>
  <c r="Y118" i="59"/>
  <c r="X118" i="59"/>
  <c r="W118" i="59"/>
  <c r="V118" i="59"/>
  <c r="U118" i="59"/>
  <c r="T118" i="59"/>
  <c r="S118" i="59"/>
  <c r="R118" i="59"/>
  <c r="O118" i="59"/>
  <c r="Z117" i="59"/>
  <c r="Y117" i="59"/>
  <c r="X117" i="59"/>
  <c r="W117" i="59"/>
  <c r="V117" i="59"/>
  <c r="U117" i="59"/>
  <c r="T117" i="59"/>
  <c r="S117" i="59"/>
  <c r="R117" i="59"/>
  <c r="O117" i="59"/>
  <c r="Z116" i="59"/>
  <c r="Y116" i="59"/>
  <c r="X116" i="59"/>
  <c r="W116" i="59"/>
  <c r="V116" i="59"/>
  <c r="U116" i="59"/>
  <c r="T116" i="59"/>
  <c r="S116" i="59"/>
  <c r="R116" i="59"/>
  <c r="O116" i="59"/>
  <c r="Z115" i="59"/>
  <c r="Y115" i="59"/>
  <c r="X115" i="59"/>
  <c r="W115" i="59"/>
  <c r="V115" i="59"/>
  <c r="U115" i="59"/>
  <c r="T115" i="59"/>
  <c r="S115" i="59"/>
  <c r="R115" i="59"/>
  <c r="O115" i="59"/>
  <c r="Z114" i="59"/>
  <c r="Y114" i="59"/>
  <c r="X114" i="59"/>
  <c r="W114" i="59"/>
  <c r="V114" i="59"/>
  <c r="U114" i="59"/>
  <c r="T114" i="59"/>
  <c r="S114" i="59"/>
  <c r="R114" i="59"/>
  <c r="O114" i="59"/>
  <c r="Z113" i="59"/>
  <c r="Y113" i="59"/>
  <c r="X113" i="59"/>
  <c r="W113" i="59"/>
  <c r="V113" i="59"/>
  <c r="U113" i="59"/>
  <c r="T113" i="59"/>
  <c r="S113" i="59"/>
  <c r="R113" i="59"/>
  <c r="O113" i="59"/>
  <c r="Z112" i="59"/>
  <c r="Y112" i="59"/>
  <c r="X112" i="59"/>
  <c r="W112" i="59"/>
  <c r="V112" i="59"/>
  <c r="U112" i="59"/>
  <c r="T112" i="59"/>
  <c r="S112" i="59"/>
  <c r="R112" i="59"/>
  <c r="O112" i="59"/>
  <c r="Z111" i="59"/>
  <c r="Y111" i="59"/>
  <c r="X111" i="59"/>
  <c r="W111" i="59"/>
  <c r="V111" i="59"/>
  <c r="U111" i="59"/>
  <c r="T111" i="59"/>
  <c r="S111" i="59"/>
  <c r="R111" i="59"/>
  <c r="O111" i="59"/>
  <c r="O110" i="59"/>
  <c r="S109" i="59"/>
  <c r="T109" i="59" s="1"/>
  <c r="U109" i="59" s="1"/>
  <c r="V109" i="59" s="1"/>
  <c r="W109" i="59" s="1"/>
  <c r="X109" i="59" s="1"/>
  <c r="Y109" i="59" s="1"/>
  <c r="Z109" i="59" s="1"/>
  <c r="Z102" i="59"/>
  <c r="Y102" i="59"/>
  <c r="X102" i="59"/>
  <c r="W102" i="59"/>
  <c r="V102" i="59"/>
  <c r="U102" i="59"/>
  <c r="T102" i="59"/>
  <c r="S102" i="59"/>
  <c r="O102" i="59"/>
  <c r="Z101" i="59"/>
  <c r="Y101" i="59"/>
  <c r="X101" i="59"/>
  <c r="W101" i="59"/>
  <c r="V101" i="59"/>
  <c r="U101" i="59"/>
  <c r="T101" i="59"/>
  <c r="S101" i="59"/>
  <c r="O101" i="59"/>
  <c r="Z100" i="59"/>
  <c r="Y100" i="59"/>
  <c r="X100" i="59"/>
  <c r="W100" i="59"/>
  <c r="V100" i="59"/>
  <c r="U100" i="59"/>
  <c r="T100" i="59"/>
  <c r="S100" i="59"/>
  <c r="O100" i="59"/>
  <c r="Z99" i="59"/>
  <c r="Y99" i="59"/>
  <c r="X99" i="59"/>
  <c r="W99" i="59"/>
  <c r="V99" i="59"/>
  <c r="U99" i="59"/>
  <c r="T99" i="59"/>
  <c r="S99" i="59"/>
  <c r="O99" i="59"/>
  <c r="Z98" i="59"/>
  <c r="Y98" i="59"/>
  <c r="X98" i="59"/>
  <c r="W98" i="59"/>
  <c r="V98" i="59"/>
  <c r="U98" i="59"/>
  <c r="T98" i="59"/>
  <c r="S98" i="59"/>
  <c r="O98" i="59"/>
  <c r="Z97" i="59"/>
  <c r="Y97" i="59"/>
  <c r="X97" i="59"/>
  <c r="W97" i="59"/>
  <c r="V97" i="59"/>
  <c r="U97" i="59"/>
  <c r="T97" i="59"/>
  <c r="S97" i="59"/>
  <c r="O97" i="59"/>
  <c r="Z96" i="59"/>
  <c r="Y96" i="59"/>
  <c r="X96" i="59"/>
  <c r="W96" i="59"/>
  <c r="V96" i="59"/>
  <c r="U96" i="59"/>
  <c r="T96" i="59"/>
  <c r="S96" i="59"/>
  <c r="O96" i="59"/>
  <c r="Z95" i="59"/>
  <c r="Y95" i="59"/>
  <c r="X95" i="59"/>
  <c r="W95" i="59"/>
  <c r="V95" i="59"/>
  <c r="U95" i="59"/>
  <c r="T95" i="59"/>
  <c r="S95" i="59"/>
  <c r="O95" i="59"/>
  <c r="Z94" i="59"/>
  <c r="Y94" i="59"/>
  <c r="X94" i="59"/>
  <c r="W94" i="59"/>
  <c r="V94" i="59"/>
  <c r="U94" i="59"/>
  <c r="T94" i="59"/>
  <c r="S94" i="59"/>
  <c r="O94" i="59"/>
  <c r="Z93" i="59"/>
  <c r="Y93" i="59"/>
  <c r="X93" i="59"/>
  <c r="W93" i="59"/>
  <c r="V93" i="59"/>
  <c r="U93" i="59"/>
  <c r="T93" i="59"/>
  <c r="S93" i="59"/>
  <c r="O93" i="59"/>
  <c r="Z92" i="59"/>
  <c r="Y92" i="59"/>
  <c r="X92" i="59"/>
  <c r="W92" i="59"/>
  <c r="V92" i="59"/>
  <c r="U92" i="59"/>
  <c r="T92" i="59"/>
  <c r="S92" i="59"/>
  <c r="O92" i="59"/>
  <c r="Z91" i="59"/>
  <c r="Y91" i="59"/>
  <c r="X91" i="59"/>
  <c r="W91" i="59"/>
  <c r="V91" i="59"/>
  <c r="U91" i="59"/>
  <c r="T91" i="59"/>
  <c r="S91" i="59"/>
  <c r="O91" i="59"/>
  <c r="Z125" i="58"/>
  <c r="Y125" i="58"/>
  <c r="X125" i="58"/>
  <c r="W125" i="58"/>
  <c r="V125" i="58"/>
  <c r="U125" i="58"/>
  <c r="T125" i="58"/>
  <c r="S125" i="58"/>
  <c r="R125" i="58"/>
  <c r="O125" i="58"/>
  <c r="Z124" i="58"/>
  <c r="Y124" i="58"/>
  <c r="X124" i="58"/>
  <c r="W124" i="58"/>
  <c r="V124" i="58"/>
  <c r="U124" i="58"/>
  <c r="T124" i="58"/>
  <c r="S124" i="58"/>
  <c r="R124" i="58"/>
  <c r="O124" i="58"/>
  <c r="Z123" i="58"/>
  <c r="Y123" i="58"/>
  <c r="X123" i="58"/>
  <c r="W123" i="58"/>
  <c r="V123" i="58"/>
  <c r="U123" i="58"/>
  <c r="T123" i="58"/>
  <c r="S123" i="58"/>
  <c r="R123" i="58"/>
  <c r="O123" i="58"/>
  <c r="Z122" i="58"/>
  <c r="Y122" i="58"/>
  <c r="X122" i="58"/>
  <c r="W122" i="58"/>
  <c r="V122" i="58"/>
  <c r="U122" i="58"/>
  <c r="T122" i="58"/>
  <c r="S122" i="58"/>
  <c r="R122" i="58"/>
  <c r="O122" i="58"/>
  <c r="Z121" i="58"/>
  <c r="Y121" i="58"/>
  <c r="X121" i="58"/>
  <c r="W121" i="58"/>
  <c r="V121" i="58"/>
  <c r="U121" i="58"/>
  <c r="T121" i="58"/>
  <c r="S121" i="58"/>
  <c r="R121" i="58"/>
  <c r="O121" i="58"/>
  <c r="Z120" i="58"/>
  <c r="Y120" i="58"/>
  <c r="X120" i="58"/>
  <c r="W120" i="58"/>
  <c r="V120" i="58"/>
  <c r="U120" i="58"/>
  <c r="T120" i="58"/>
  <c r="S120" i="58"/>
  <c r="R120" i="58"/>
  <c r="O120" i="58"/>
  <c r="Z119" i="58"/>
  <c r="Y119" i="58"/>
  <c r="X119" i="58"/>
  <c r="W119" i="58"/>
  <c r="V119" i="58"/>
  <c r="U119" i="58"/>
  <c r="T119" i="58"/>
  <c r="S119" i="58"/>
  <c r="R119" i="58"/>
  <c r="O119" i="58"/>
  <c r="Z118" i="58"/>
  <c r="Y118" i="58"/>
  <c r="X118" i="58"/>
  <c r="W118" i="58"/>
  <c r="V118" i="58"/>
  <c r="U118" i="58"/>
  <c r="T118" i="58"/>
  <c r="S118" i="58"/>
  <c r="R118" i="58"/>
  <c r="O118" i="58"/>
  <c r="Z117" i="58"/>
  <c r="Y117" i="58"/>
  <c r="X117" i="58"/>
  <c r="W117" i="58"/>
  <c r="V117" i="58"/>
  <c r="U117" i="58"/>
  <c r="T117" i="58"/>
  <c r="S117" i="58"/>
  <c r="R117" i="58"/>
  <c r="O117" i="58"/>
  <c r="Z116" i="58"/>
  <c r="Y116" i="58"/>
  <c r="X116" i="58"/>
  <c r="W116" i="58"/>
  <c r="V116" i="58"/>
  <c r="U116" i="58"/>
  <c r="T116" i="58"/>
  <c r="S116" i="58"/>
  <c r="R116" i="58"/>
  <c r="O116" i="58"/>
  <c r="Z115" i="58"/>
  <c r="Y115" i="58"/>
  <c r="X115" i="58"/>
  <c r="W115" i="58"/>
  <c r="V115" i="58"/>
  <c r="U115" i="58"/>
  <c r="T115" i="58"/>
  <c r="S115" i="58"/>
  <c r="R115" i="58"/>
  <c r="O115" i="58"/>
  <c r="Z114" i="58"/>
  <c r="Y114" i="58"/>
  <c r="X114" i="58"/>
  <c r="W114" i="58"/>
  <c r="V114" i="58"/>
  <c r="U114" i="58"/>
  <c r="T114" i="58"/>
  <c r="S114" i="58"/>
  <c r="R114" i="58"/>
  <c r="O114" i="58"/>
  <c r="Z113" i="58"/>
  <c r="Y113" i="58"/>
  <c r="X113" i="58"/>
  <c r="W113" i="58"/>
  <c r="V113" i="58"/>
  <c r="U113" i="58"/>
  <c r="T113" i="58"/>
  <c r="S113" i="58"/>
  <c r="R113" i="58"/>
  <c r="O113" i="58"/>
  <c r="Z112" i="58"/>
  <c r="Y112" i="58"/>
  <c r="X112" i="58"/>
  <c r="W112" i="58"/>
  <c r="V112" i="58"/>
  <c r="U112" i="58"/>
  <c r="T112" i="58"/>
  <c r="S112" i="58"/>
  <c r="R112" i="58"/>
  <c r="O112" i="58"/>
  <c r="Z111" i="58"/>
  <c r="Y111" i="58"/>
  <c r="X111" i="58"/>
  <c r="W111" i="58"/>
  <c r="V111" i="58"/>
  <c r="U111" i="58"/>
  <c r="T111" i="58"/>
  <c r="S111" i="58"/>
  <c r="R111" i="58"/>
  <c r="O111" i="58"/>
  <c r="O110" i="58"/>
  <c r="S109" i="58"/>
  <c r="T109" i="58" s="1"/>
  <c r="U109" i="58" s="1"/>
  <c r="V109" i="58" s="1"/>
  <c r="W109" i="58" s="1"/>
  <c r="X109" i="58" s="1"/>
  <c r="Y109" i="58" s="1"/>
  <c r="Z109" i="58" s="1"/>
  <c r="Z106" i="58"/>
  <c r="Y106" i="58"/>
  <c r="X106" i="58"/>
  <c r="W106" i="58"/>
  <c r="V106" i="58"/>
  <c r="U106" i="58"/>
  <c r="T106" i="58"/>
  <c r="S106" i="58"/>
  <c r="O106" i="58"/>
  <c r="Z105" i="58"/>
  <c r="Y105" i="58"/>
  <c r="X105" i="58"/>
  <c r="W105" i="58"/>
  <c r="V105" i="58"/>
  <c r="U105" i="58"/>
  <c r="T105" i="58"/>
  <c r="S105" i="58"/>
  <c r="O105" i="58"/>
  <c r="Z104" i="58"/>
  <c r="Y104" i="58"/>
  <c r="X104" i="58"/>
  <c r="W104" i="58"/>
  <c r="V104" i="58"/>
  <c r="U104" i="58"/>
  <c r="T104" i="58"/>
  <c r="S104" i="58"/>
  <c r="O104" i="58"/>
  <c r="Z103" i="58"/>
  <c r="Y103" i="58"/>
  <c r="X103" i="58"/>
  <c r="W103" i="58"/>
  <c r="V103" i="58"/>
  <c r="U103" i="58"/>
  <c r="T103" i="58"/>
  <c r="S103" i="58"/>
  <c r="O103" i="58"/>
  <c r="Z102" i="58"/>
  <c r="Y102" i="58"/>
  <c r="X102" i="58"/>
  <c r="W102" i="58"/>
  <c r="V102" i="58"/>
  <c r="U102" i="58"/>
  <c r="T102" i="58"/>
  <c r="S102" i="58"/>
  <c r="O102" i="58"/>
  <c r="Z101" i="58"/>
  <c r="Y101" i="58"/>
  <c r="X101" i="58"/>
  <c r="W101" i="58"/>
  <c r="V101" i="58"/>
  <c r="U101" i="58"/>
  <c r="T101" i="58"/>
  <c r="S101" i="58"/>
  <c r="O101" i="58"/>
  <c r="Z100" i="58"/>
  <c r="Y100" i="58"/>
  <c r="X100" i="58"/>
  <c r="W100" i="58"/>
  <c r="V100" i="58"/>
  <c r="U100" i="58"/>
  <c r="T100" i="58"/>
  <c r="S100" i="58"/>
  <c r="O100" i="58"/>
  <c r="Z99" i="58"/>
  <c r="Y99" i="58"/>
  <c r="X99" i="58"/>
  <c r="W99" i="58"/>
  <c r="V99" i="58"/>
  <c r="U99" i="58"/>
  <c r="T99" i="58"/>
  <c r="S99" i="58"/>
  <c r="O99" i="58"/>
  <c r="Z98" i="58"/>
  <c r="Y98" i="58"/>
  <c r="X98" i="58"/>
  <c r="W98" i="58"/>
  <c r="V98" i="58"/>
  <c r="U98" i="58"/>
  <c r="T98" i="58"/>
  <c r="S98" i="58"/>
  <c r="O98" i="58"/>
  <c r="Z97" i="58"/>
  <c r="Y97" i="58"/>
  <c r="X97" i="58"/>
  <c r="W97" i="58"/>
  <c r="V97" i="58"/>
  <c r="U97" i="58"/>
  <c r="T97" i="58"/>
  <c r="S97" i="58"/>
  <c r="O97" i="58"/>
  <c r="Z96" i="58"/>
  <c r="Y96" i="58"/>
  <c r="X96" i="58"/>
  <c r="W96" i="58"/>
  <c r="V96" i="58"/>
  <c r="U96" i="58"/>
  <c r="T96" i="58"/>
  <c r="S96" i="58"/>
  <c r="O96" i="58"/>
  <c r="Z95" i="58"/>
  <c r="Y95" i="58"/>
  <c r="X95" i="58"/>
  <c r="W95" i="58"/>
  <c r="V95" i="58"/>
  <c r="U95" i="58"/>
  <c r="T95" i="58"/>
  <c r="S95" i="58"/>
  <c r="O95" i="58"/>
  <c r="Z94" i="58"/>
  <c r="Y94" i="58"/>
  <c r="X94" i="58"/>
  <c r="W94" i="58"/>
  <c r="V94" i="58"/>
  <c r="U94" i="58"/>
  <c r="T94" i="58"/>
  <c r="S94" i="58"/>
  <c r="O94" i="58"/>
  <c r="Z93" i="58"/>
  <c r="Y93" i="58"/>
  <c r="X93" i="58"/>
  <c r="W93" i="58"/>
  <c r="V93" i="58"/>
  <c r="U93" i="58"/>
  <c r="T93" i="58"/>
  <c r="S93" i="58"/>
  <c r="O93" i="58"/>
  <c r="Z92" i="58"/>
  <c r="Y92" i="58"/>
  <c r="X92" i="58"/>
  <c r="W92" i="58"/>
  <c r="V92" i="58"/>
  <c r="U92" i="58"/>
  <c r="T92" i="58"/>
  <c r="S92" i="58"/>
  <c r="O92" i="58"/>
  <c r="Z91" i="58"/>
  <c r="Y91" i="58"/>
  <c r="X91" i="58"/>
  <c r="W91" i="58"/>
  <c r="V91" i="58"/>
  <c r="U91" i="58"/>
  <c r="T91" i="58"/>
  <c r="S91" i="58"/>
  <c r="O91" i="58"/>
  <c r="Z123" i="57"/>
  <c r="Y123" i="57"/>
  <c r="X123" i="57"/>
  <c r="W123" i="57"/>
  <c r="V123" i="57"/>
  <c r="U123" i="57"/>
  <c r="T123" i="57"/>
  <c r="S123" i="57"/>
  <c r="R123" i="57"/>
  <c r="O123" i="57"/>
  <c r="Z122" i="57"/>
  <c r="Y122" i="57"/>
  <c r="X122" i="57"/>
  <c r="W122" i="57"/>
  <c r="V122" i="57"/>
  <c r="U122" i="57"/>
  <c r="T122" i="57"/>
  <c r="S122" i="57"/>
  <c r="R122" i="57"/>
  <c r="O122" i="57"/>
  <c r="Z121" i="57"/>
  <c r="Y121" i="57"/>
  <c r="X121" i="57"/>
  <c r="W121" i="57"/>
  <c r="V121" i="57"/>
  <c r="U121" i="57"/>
  <c r="T121" i="57"/>
  <c r="S121" i="57"/>
  <c r="R121" i="57"/>
  <c r="O121" i="57"/>
  <c r="Z120" i="57"/>
  <c r="Y120" i="57"/>
  <c r="X120" i="57"/>
  <c r="W120" i="57"/>
  <c r="V120" i="57"/>
  <c r="U120" i="57"/>
  <c r="T120" i="57"/>
  <c r="S120" i="57"/>
  <c r="R120" i="57"/>
  <c r="O120" i="57"/>
  <c r="Z119" i="57"/>
  <c r="Y119" i="57"/>
  <c r="X119" i="57"/>
  <c r="W119" i="57"/>
  <c r="V119" i="57"/>
  <c r="U119" i="57"/>
  <c r="T119" i="57"/>
  <c r="S119" i="57"/>
  <c r="R119" i="57"/>
  <c r="O119" i="57"/>
  <c r="Z118" i="57"/>
  <c r="Y118" i="57"/>
  <c r="X118" i="57"/>
  <c r="W118" i="57"/>
  <c r="V118" i="57"/>
  <c r="U118" i="57"/>
  <c r="T118" i="57"/>
  <c r="S118" i="57"/>
  <c r="R118" i="57"/>
  <c r="O118" i="57"/>
  <c r="Z117" i="57"/>
  <c r="Y117" i="57"/>
  <c r="X117" i="57"/>
  <c r="W117" i="57"/>
  <c r="V117" i="57"/>
  <c r="U117" i="57"/>
  <c r="T117" i="57"/>
  <c r="S117" i="57"/>
  <c r="R117" i="57"/>
  <c r="O117" i="57"/>
  <c r="Z116" i="57"/>
  <c r="Y116" i="57"/>
  <c r="X116" i="57"/>
  <c r="W116" i="57"/>
  <c r="V116" i="57"/>
  <c r="U116" i="57"/>
  <c r="T116" i="57"/>
  <c r="S116" i="57"/>
  <c r="R116" i="57"/>
  <c r="O116" i="57"/>
  <c r="Z115" i="57"/>
  <c r="Y115" i="57"/>
  <c r="X115" i="57"/>
  <c r="W115" i="57"/>
  <c r="V115" i="57"/>
  <c r="U115" i="57"/>
  <c r="T115" i="57"/>
  <c r="S115" i="57"/>
  <c r="R115" i="57"/>
  <c r="O115" i="57"/>
  <c r="Z114" i="57"/>
  <c r="Y114" i="57"/>
  <c r="X114" i="57"/>
  <c r="W114" i="57"/>
  <c r="V114" i="57"/>
  <c r="U114" i="57"/>
  <c r="T114" i="57"/>
  <c r="S114" i="57"/>
  <c r="R114" i="57"/>
  <c r="O114" i="57"/>
  <c r="Z113" i="57"/>
  <c r="Y113" i="57"/>
  <c r="X113" i="57"/>
  <c r="W113" i="57"/>
  <c r="V113" i="57"/>
  <c r="U113" i="57"/>
  <c r="T113" i="57"/>
  <c r="S113" i="57"/>
  <c r="R113" i="57"/>
  <c r="O113" i="57"/>
  <c r="Z112" i="57"/>
  <c r="Y112" i="57"/>
  <c r="X112" i="57"/>
  <c r="W112" i="57"/>
  <c r="V112" i="57"/>
  <c r="U112" i="57"/>
  <c r="T112" i="57"/>
  <c r="S112" i="57"/>
  <c r="R112" i="57"/>
  <c r="O112" i="57"/>
  <c r="Z111" i="57"/>
  <c r="Y111" i="57"/>
  <c r="X111" i="57"/>
  <c r="W111" i="57"/>
  <c r="V111" i="57"/>
  <c r="U111" i="57"/>
  <c r="T111" i="57"/>
  <c r="S111" i="57"/>
  <c r="R111" i="57"/>
  <c r="O111" i="57"/>
  <c r="O110" i="57"/>
  <c r="U109" i="57"/>
  <c r="V109" i="57" s="1"/>
  <c r="W109" i="57" s="1"/>
  <c r="X109" i="57" s="1"/>
  <c r="Y109" i="57" s="1"/>
  <c r="Z109" i="57" s="1"/>
  <c r="T109" i="57"/>
  <c r="S109" i="57"/>
  <c r="Z104" i="57"/>
  <c r="Y104" i="57"/>
  <c r="X104" i="57"/>
  <c r="W104" i="57"/>
  <c r="V104" i="57"/>
  <c r="U104" i="57"/>
  <c r="T104" i="57"/>
  <c r="S104" i="57"/>
  <c r="O104" i="57"/>
  <c r="Z103" i="57"/>
  <c r="Y103" i="57"/>
  <c r="X103" i="57"/>
  <c r="W103" i="57"/>
  <c r="V103" i="57"/>
  <c r="U103" i="57"/>
  <c r="T103" i="57"/>
  <c r="S103" i="57"/>
  <c r="O103" i="57"/>
  <c r="Z102" i="57"/>
  <c r="Y102" i="57"/>
  <c r="X102" i="57"/>
  <c r="W102" i="57"/>
  <c r="V102" i="57"/>
  <c r="U102" i="57"/>
  <c r="T102" i="57"/>
  <c r="S102" i="57"/>
  <c r="O102" i="57"/>
  <c r="Z101" i="57"/>
  <c r="Y101" i="57"/>
  <c r="X101" i="57"/>
  <c r="W101" i="57"/>
  <c r="V101" i="57"/>
  <c r="U101" i="57"/>
  <c r="T101" i="57"/>
  <c r="S101" i="57"/>
  <c r="O101" i="57"/>
  <c r="Z100" i="57"/>
  <c r="Y100" i="57"/>
  <c r="X100" i="57"/>
  <c r="W100" i="57"/>
  <c r="V100" i="57"/>
  <c r="U100" i="57"/>
  <c r="T100" i="57"/>
  <c r="S100" i="57"/>
  <c r="O100" i="57"/>
  <c r="Z99" i="57"/>
  <c r="Y99" i="57"/>
  <c r="X99" i="57"/>
  <c r="W99" i="57"/>
  <c r="V99" i="57"/>
  <c r="U99" i="57"/>
  <c r="T99" i="57"/>
  <c r="S99" i="57"/>
  <c r="O99" i="57"/>
  <c r="Z98" i="57"/>
  <c r="Y98" i="57"/>
  <c r="X98" i="57"/>
  <c r="W98" i="57"/>
  <c r="V98" i="57"/>
  <c r="U98" i="57"/>
  <c r="T98" i="57"/>
  <c r="S98" i="57"/>
  <c r="O98" i="57"/>
  <c r="Z97" i="57"/>
  <c r="Y97" i="57"/>
  <c r="X97" i="57"/>
  <c r="W97" i="57"/>
  <c r="V97" i="57"/>
  <c r="U97" i="57"/>
  <c r="T97" i="57"/>
  <c r="S97" i="57"/>
  <c r="O97" i="57"/>
  <c r="Z96" i="57"/>
  <c r="Y96" i="57"/>
  <c r="X96" i="57"/>
  <c r="W96" i="57"/>
  <c r="V96" i="57"/>
  <c r="U96" i="57"/>
  <c r="T96" i="57"/>
  <c r="S96" i="57"/>
  <c r="O96" i="57"/>
  <c r="Z95" i="57"/>
  <c r="Y95" i="57"/>
  <c r="X95" i="57"/>
  <c r="W95" i="57"/>
  <c r="V95" i="57"/>
  <c r="U95" i="57"/>
  <c r="T95" i="57"/>
  <c r="S95" i="57"/>
  <c r="O95" i="57"/>
  <c r="Z94" i="57"/>
  <c r="Y94" i="57"/>
  <c r="X94" i="57"/>
  <c r="W94" i="57"/>
  <c r="V94" i="57"/>
  <c r="U94" i="57"/>
  <c r="T94" i="57"/>
  <c r="S94" i="57"/>
  <c r="O94" i="57"/>
  <c r="Z93" i="57"/>
  <c r="Y93" i="57"/>
  <c r="X93" i="57"/>
  <c r="W93" i="57"/>
  <c r="V93" i="57"/>
  <c r="U93" i="57"/>
  <c r="T93" i="57"/>
  <c r="S93" i="57"/>
  <c r="O93" i="57"/>
  <c r="Z92" i="57"/>
  <c r="Y92" i="57"/>
  <c r="X92" i="57"/>
  <c r="W92" i="57"/>
  <c r="V92" i="57"/>
  <c r="U92" i="57"/>
  <c r="T92" i="57"/>
  <c r="S92" i="57"/>
  <c r="O92" i="57"/>
  <c r="Z91" i="57"/>
  <c r="Y91" i="57"/>
  <c r="X91" i="57"/>
  <c r="W91" i="57"/>
  <c r="V91" i="57"/>
  <c r="U91" i="57"/>
  <c r="T91" i="57"/>
  <c r="S91" i="57"/>
  <c r="O91" i="57"/>
  <c r="P158" i="56"/>
  <c r="Q158" i="56" s="1"/>
  <c r="R158" i="56" s="1"/>
  <c r="S158" i="56" s="1"/>
  <c r="T158" i="56" s="1"/>
  <c r="U158" i="56" s="1"/>
  <c r="V158" i="56" s="1"/>
  <c r="W158" i="56" s="1"/>
  <c r="X158" i="56" s="1"/>
  <c r="Y158" i="56" s="1"/>
  <c r="Z158" i="56" s="1"/>
  <c r="AA158" i="56" s="1"/>
  <c r="AB158" i="56" s="1"/>
  <c r="AC158" i="56" s="1"/>
  <c r="AD158" i="56" s="1"/>
  <c r="Z125" i="56"/>
  <c r="Y125" i="56"/>
  <c r="X125" i="56"/>
  <c r="W125" i="56"/>
  <c r="V125" i="56"/>
  <c r="U125" i="56"/>
  <c r="T125" i="56"/>
  <c r="S125" i="56"/>
  <c r="R125" i="56"/>
  <c r="O125" i="56"/>
  <c r="Z124" i="56"/>
  <c r="Y124" i="56"/>
  <c r="X124" i="56"/>
  <c r="W124" i="56"/>
  <c r="V124" i="56"/>
  <c r="U124" i="56"/>
  <c r="T124" i="56"/>
  <c r="S124" i="56"/>
  <c r="R124" i="56"/>
  <c r="O124" i="56"/>
  <c r="Z123" i="56"/>
  <c r="Y123" i="56"/>
  <c r="X123" i="56"/>
  <c r="W123" i="56"/>
  <c r="V123" i="56"/>
  <c r="U123" i="56"/>
  <c r="T123" i="56"/>
  <c r="S123" i="56"/>
  <c r="R123" i="56"/>
  <c r="O123" i="56"/>
  <c r="Z122" i="56"/>
  <c r="Y122" i="56"/>
  <c r="X122" i="56"/>
  <c r="W122" i="56"/>
  <c r="V122" i="56"/>
  <c r="U122" i="56"/>
  <c r="T122" i="56"/>
  <c r="S122" i="56"/>
  <c r="R122" i="56"/>
  <c r="O122" i="56"/>
  <c r="Z121" i="56"/>
  <c r="Y121" i="56"/>
  <c r="X121" i="56"/>
  <c r="W121" i="56"/>
  <c r="V121" i="56"/>
  <c r="U121" i="56"/>
  <c r="T121" i="56"/>
  <c r="S121" i="56"/>
  <c r="R121" i="56"/>
  <c r="O121" i="56"/>
  <c r="Z120" i="56"/>
  <c r="Y120" i="56"/>
  <c r="X120" i="56"/>
  <c r="W120" i="56"/>
  <c r="V120" i="56"/>
  <c r="U120" i="56"/>
  <c r="T120" i="56"/>
  <c r="S120" i="56"/>
  <c r="R120" i="56"/>
  <c r="O120" i="56"/>
  <c r="Z119" i="56"/>
  <c r="Y119" i="56"/>
  <c r="X119" i="56"/>
  <c r="W119" i="56"/>
  <c r="V119" i="56"/>
  <c r="U119" i="56"/>
  <c r="T119" i="56"/>
  <c r="S119" i="56"/>
  <c r="R119" i="56"/>
  <c r="O119" i="56"/>
  <c r="Z118" i="56"/>
  <c r="Y118" i="56"/>
  <c r="X118" i="56"/>
  <c r="W118" i="56"/>
  <c r="V118" i="56"/>
  <c r="U118" i="56"/>
  <c r="T118" i="56"/>
  <c r="S118" i="56"/>
  <c r="R118" i="56"/>
  <c r="O118" i="56"/>
  <c r="Z117" i="56"/>
  <c r="Y117" i="56"/>
  <c r="X117" i="56"/>
  <c r="W117" i="56"/>
  <c r="V117" i="56"/>
  <c r="U117" i="56"/>
  <c r="T117" i="56"/>
  <c r="S117" i="56"/>
  <c r="R117" i="56"/>
  <c r="O117" i="56"/>
  <c r="Z116" i="56"/>
  <c r="Y116" i="56"/>
  <c r="X116" i="56"/>
  <c r="W116" i="56"/>
  <c r="V116" i="56"/>
  <c r="U116" i="56"/>
  <c r="T116" i="56"/>
  <c r="S116" i="56"/>
  <c r="R116" i="56"/>
  <c r="O116" i="56"/>
  <c r="Z115" i="56"/>
  <c r="Y115" i="56"/>
  <c r="X115" i="56"/>
  <c r="W115" i="56"/>
  <c r="V115" i="56"/>
  <c r="U115" i="56"/>
  <c r="T115" i="56"/>
  <c r="S115" i="56"/>
  <c r="R115" i="56"/>
  <c r="O115" i="56"/>
  <c r="Z114" i="56"/>
  <c r="Y114" i="56"/>
  <c r="X114" i="56"/>
  <c r="W114" i="56"/>
  <c r="V114" i="56"/>
  <c r="U114" i="56"/>
  <c r="T114" i="56"/>
  <c r="S114" i="56"/>
  <c r="R114" i="56"/>
  <c r="O114" i="56"/>
  <c r="Z113" i="56"/>
  <c r="Y113" i="56"/>
  <c r="X113" i="56"/>
  <c r="W113" i="56"/>
  <c r="V113" i="56"/>
  <c r="U113" i="56"/>
  <c r="T113" i="56"/>
  <c r="S113" i="56"/>
  <c r="R113" i="56"/>
  <c r="O113" i="56"/>
  <c r="Z112" i="56"/>
  <c r="Y112" i="56"/>
  <c r="X112" i="56"/>
  <c r="W112" i="56"/>
  <c r="V112" i="56"/>
  <c r="U112" i="56"/>
  <c r="T112" i="56"/>
  <c r="S112" i="56"/>
  <c r="R112" i="56"/>
  <c r="O112" i="56"/>
  <c r="Z111" i="56"/>
  <c r="Y111" i="56"/>
  <c r="X111" i="56"/>
  <c r="W111" i="56"/>
  <c r="V111" i="56"/>
  <c r="U111" i="56"/>
  <c r="T111" i="56"/>
  <c r="S111" i="56"/>
  <c r="R111" i="56"/>
  <c r="O111" i="56"/>
  <c r="O110" i="56"/>
  <c r="S109" i="56"/>
  <c r="T109" i="56" s="1"/>
  <c r="U109" i="56" s="1"/>
  <c r="V109" i="56" s="1"/>
  <c r="W109" i="56" s="1"/>
  <c r="X109" i="56" s="1"/>
  <c r="Y109" i="56" s="1"/>
  <c r="Z109" i="56" s="1"/>
  <c r="Z106" i="56"/>
  <c r="Y106" i="56"/>
  <c r="X106" i="56"/>
  <c r="W106" i="56"/>
  <c r="V106" i="56"/>
  <c r="U106" i="56"/>
  <c r="T106" i="56"/>
  <c r="S106" i="56"/>
  <c r="O106" i="56"/>
  <c r="Z105" i="56"/>
  <c r="Y105" i="56"/>
  <c r="X105" i="56"/>
  <c r="W105" i="56"/>
  <c r="V105" i="56"/>
  <c r="U105" i="56"/>
  <c r="T105" i="56"/>
  <c r="S105" i="56"/>
  <c r="O105" i="56"/>
  <c r="Z104" i="56"/>
  <c r="Y104" i="56"/>
  <c r="X104" i="56"/>
  <c r="W104" i="56"/>
  <c r="V104" i="56"/>
  <c r="U104" i="56"/>
  <c r="T104" i="56"/>
  <c r="S104" i="56"/>
  <c r="O104" i="56"/>
  <c r="Z103" i="56"/>
  <c r="Y103" i="56"/>
  <c r="X103" i="56"/>
  <c r="W103" i="56"/>
  <c r="V103" i="56"/>
  <c r="U103" i="56"/>
  <c r="T103" i="56"/>
  <c r="S103" i="56"/>
  <c r="O103" i="56"/>
  <c r="Z102" i="56"/>
  <c r="Y102" i="56"/>
  <c r="X102" i="56"/>
  <c r="W102" i="56"/>
  <c r="V102" i="56"/>
  <c r="U102" i="56"/>
  <c r="T102" i="56"/>
  <c r="S102" i="56"/>
  <c r="O102" i="56"/>
  <c r="Z101" i="56"/>
  <c r="Y101" i="56"/>
  <c r="X101" i="56"/>
  <c r="W101" i="56"/>
  <c r="V101" i="56"/>
  <c r="U101" i="56"/>
  <c r="T101" i="56"/>
  <c r="S101" i="56"/>
  <c r="O101" i="56"/>
  <c r="Z100" i="56"/>
  <c r="Y100" i="56"/>
  <c r="X100" i="56"/>
  <c r="W100" i="56"/>
  <c r="V100" i="56"/>
  <c r="U100" i="56"/>
  <c r="T100" i="56"/>
  <c r="S100" i="56"/>
  <c r="O100" i="56"/>
  <c r="Z99" i="56"/>
  <c r="Y99" i="56"/>
  <c r="X99" i="56"/>
  <c r="W99" i="56"/>
  <c r="V99" i="56"/>
  <c r="U99" i="56"/>
  <c r="T99" i="56"/>
  <c r="S99" i="56"/>
  <c r="O99" i="56"/>
  <c r="Z98" i="56"/>
  <c r="Y98" i="56"/>
  <c r="X98" i="56"/>
  <c r="W98" i="56"/>
  <c r="V98" i="56"/>
  <c r="U98" i="56"/>
  <c r="T98" i="56"/>
  <c r="S98" i="56"/>
  <c r="O98" i="56"/>
  <c r="Z97" i="56"/>
  <c r="Y97" i="56"/>
  <c r="X97" i="56"/>
  <c r="W97" i="56"/>
  <c r="V97" i="56"/>
  <c r="U97" i="56"/>
  <c r="T97" i="56"/>
  <c r="S97" i="56"/>
  <c r="O97" i="56"/>
  <c r="Z96" i="56"/>
  <c r="Y96" i="56"/>
  <c r="X96" i="56"/>
  <c r="W96" i="56"/>
  <c r="V96" i="56"/>
  <c r="U96" i="56"/>
  <c r="T96" i="56"/>
  <c r="S96" i="56"/>
  <c r="O96" i="56"/>
  <c r="Z95" i="56"/>
  <c r="Y95" i="56"/>
  <c r="X95" i="56"/>
  <c r="W95" i="56"/>
  <c r="V95" i="56"/>
  <c r="U95" i="56"/>
  <c r="T95" i="56"/>
  <c r="S95" i="56"/>
  <c r="O95" i="56"/>
  <c r="Z94" i="56"/>
  <c r="Y94" i="56"/>
  <c r="X94" i="56"/>
  <c r="W94" i="56"/>
  <c r="V94" i="56"/>
  <c r="U94" i="56"/>
  <c r="T94" i="56"/>
  <c r="S94" i="56"/>
  <c r="O94" i="56"/>
  <c r="Z93" i="56"/>
  <c r="Y93" i="56"/>
  <c r="X93" i="56"/>
  <c r="W93" i="56"/>
  <c r="V93" i="56"/>
  <c r="U93" i="56"/>
  <c r="T93" i="56"/>
  <c r="S93" i="56"/>
  <c r="O93" i="56"/>
  <c r="Z92" i="56"/>
  <c r="Y92" i="56"/>
  <c r="X92" i="56"/>
  <c r="W92" i="56"/>
  <c r="V92" i="56"/>
  <c r="U92" i="56"/>
  <c r="T92" i="56"/>
  <c r="S92" i="56"/>
  <c r="O92" i="56"/>
  <c r="Z91" i="56"/>
  <c r="Y91" i="56"/>
  <c r="X91" i="56"/>
  <c r="W91" i="56"/>
  <c r="V91" i="56"/>
  <c r="U91" i="56"/>
  <c r="T91" i="56"/>
  <c r="S91" i="56"/>
  <c r="O91" i="56"/>
  <c r="Z121" i="55"/>
  <c r="Y121" i="55"/>
  <c r="X121" i="55"/>
  <c r="W121" i="55"/>
  <c r="V121" i="55"/>
  <c r="U121" i="55"/>
  <c r="T121" i="55"/>
  <c r="S121" i="55"/>
  <c r="R121" i="55"/>
  <c r="Z120" i="55"/>
  <c r="Y120" i="55"/>
  <c r="X120" i="55"/>
  <c r="W120" i="55"/>
  <c r="V120" i="55"/>
  <c r="U120" i="55"/>
  <c r="T120" i="55"/>
  <c r="S120" i="55"/>
  <c r="R120" i="55"/>
  <c r="Z119" i="55"/>
  <c r="Y119" i="55"/>
  <c r="X119" i="55"/>
  <c r="W119" i="55"/>
  <c r="V119" i="55"/>
  <c r="U119" i="55"/>
  <c r="T119" i="55"/>
  <c r="S119" i="55"/>
  <c r="R119" i="55"/>
  <c r="Z118" i="55"/>
  <c r="Y118" i="55"/>
  <c r="X118" i="55"/>
  <c r="W118" i="55"/>
  <c r="V118" i="55"/>
  <c r="U118" i="55"/>
  <c r="T118" i="55"/>
  <c r="S118" i="55"/>
  <c r="R118" i="55"/>
  <c r="Z117" i="55"/>
  <c r="Y117" i="55"/>
  <c r="X117" i="55"/>
  <c r="W117" i="55"/>
  <c r="V117" i="55"/>
  <c r="U117" i="55"/>
  <c r="T117" i="55"/>
  <c r="S117" i="55"/>
  <c r="R117" i="55"/>
  <c r="Z116" i="55"/>
  <c r="Y116" i="55"/>
  <c r="X116" i="55"/>
  <c r="W116" i="55"/>
  <c r="V116" i="55"/>
  <c r="U116" i="55"/>
  <c r="T116" i="55"/>
  <c r="S116" i="55"/>
  <c r="R116" i="55"/>
  <c r="Z115" i="55"/>
  <c r="Y115" i="55"/>
  <c r="X115" i="55"/>
  <c r="W115" i="55"/>
  <c r="V115" i="55"/>
  <c r="U115" i="55"/>
  <c r="T115" i="55"/>
  <c r="S115" i="55"/>
  <c r="R115" i="55"/>
  <c r="Z114" i="55"/>
  <c r="Y114" i="55"/>
  <c r="X114" i="55"/>
  <c r="W114" i="55"/>
  <c r="V114" i="55"/>
  <c r="U114" i="55"/>
  <c r="T114" i="55"/>
  <c r="S114" i="55"/>
  <c r="R114" i="55"/>
  <c r="O114" i="55"/>
  <c r="O115" i="55" s="1"/>
  <c r="O116" i="55" s="1"/>
  <c r="O117" i="55" s="1"/>
  <c r="O118" i="55" s="1"/>
  <c r="O119" i="55" s="1"/>
  <c r="O120" i="55" s="1"/>
  <c r="O121" i="55" s="1"/>
  <c r="Z113" i="55"/>
  <c r="Y113" i="55"/>
  <c r="X113" i="55"/>
  <c r="W113" i="55"/>
  <c r="V113" i="55"/>
  <c r="U113" i="55"/>
  <c r="T113" i="55"/>
  <c r="S113" i="55"/>
  <c r="R113" i="55"/>
  <c r="O113" i="55"/>
  <c r="Z112" i="55"/>
  <c r="Y112" i="55"/>
  <c r="X112" i="55"/>
  <c r="W112" i="55"/>
  <c r="V112" i="55"/>
  <c r="U112" i="55"/>
  <c r="T112" i="55"/>
  <c r="S112" i="55"/>
  <c r="R112" i="55"/>
  <c r="O112" i="55"/>
  <c r="Z111" i="55"/>
  <c r="Y111" i="55"/>
  <c r="X111" i="55"/>
  <c r="W111" i="55"/>
  <c r="V111" i="55"/>
  <c r="U111" i="55"/>
  <c r="T111" i="55"/>
  <c r="S111" i="55"/>
  <c r="R111" i="55"/>
  <c r="S109" i="55"/>
  <c r="T109" i="55" s="1"/>
  <c r="U109" i="55" s="1"/>
  <c r="V109" i="55" s="1"/>
  <c r="W109" i="55" s="1"/>
  <c r="X109" i="55" s="1"/>
  <c r="Y109" i="55" s="1"/>
  <c r="Z109" i="55" s="1"/>
  <c r="Z102" i="55"/>
  <c r="Y102" i="55"/>
  <c r="X102" i="55"/>
  <c r="W102" i="55"/>
  <c r="V102" i="55"/>
  <c r="U102" i="55"/>
  <c r="T102" i="55"/>
  <c r="S102" i="55"/>
  <c r="Z101" i="55"/>
  <c r="Y101" i="55"/>
  <c r="X101" i="55"/>
  <c r="W101" i="55"/>
  <c r="V101" i="55"/>
  <c r="U101" i="55"/>
  <c r="T101" i="55"/>
  <c r="S101" i="55"/>
  <c r="Z100" i="55"/>
  <c r="Y100" i="55"/>
  <c r="X100" i="55"/>
  <c r="W100" i="55"/>
  <c r="V100" i="55"/>
  <c r="U100" i="55"/>
  <c r="T100" i="55"/>
  <c r="S100" i="55"/>
  <c r="Z99" i="55"/>
  <c r="Y99" i="55"/>
  <c r="X99" i="55"/>
  <c r="W99" i="55"/>
  <c r="V99" i="55"/>
  <c r="U99" i="55"/>
  <c r="T99" i="55"/>
  <c r="S99" i="55"/>
  <c r="Z98" i="55"/>
  <c r="Y98" i="55"/>
  <c r="X98" i="55"/>
  <c r="W98" i="55"/>
  <c r="V98" i="55"/>
  <c r="U98" i="55"/>
  <c r="T98" i="55"/>
  <c r="S98" i="55"/>
  <c r="Z97" i="55"/>
  <c r="Y97" i="55"/>
  <c r="X97" i="55"/>
  <c r="W97" i="55"/>
  <c r="V97" i="55"/>
  <c r="U97" i="55"/>
  <c r="T97" i="55"/>
  <c r="S97" i="55"/>
  <c r="Z96" i="55"/>
  <c r="Y96" i="55"/>
  <c r="X96" i="55"/>
  <c r="W96" i="55"/>
  <c r="V96" i="55"/>
  <c r="U96" i="55"/>
  <c r="T96" i="55"/>
  <c r="S96" i="55"/>
  <c r="Z95" i="55"/>
  <c r="Y95" i="55"/>
  <c r="X95" i="55"/>
  <c r="W95" i="55"/>
  <c r="V95" i="55"/>
  <c r="U95" i="55"/>
  <c r="T95" i="55"/>
  <c r="S95" i="55"/>
  <c r="Z94" i="55"/>
  <c r="Y94" i="55"/>
  <c r="X94" i="55"/>
  <c r="W94" i="55"/>
  <c r="V94" i="55"/>
  <c r="U94" i="55"/>
  <c r="T94" i="55"/>
  <c r="S94" i="55"/>
  <c r="Z93" i="55"/>
  <c r="Y93" i="55"/>
  <c r="X93" i="55"/>
  <c r="W93" i="55"/>
  <c r="V93" i="55"/>
  <c r="U93" i="55"/>
  <c r="T93" i="55"/>
  <c r="S93" i="55"/>
  <c r="Z92" i="55"/>
  <c r="Y92" i="55"/>
  <c r="X92" i="55"/>
  <c r="W92" i="55"/>
  <c r="V92" i="55"/>
  <c r="U92" i="55"/>
  <c r="T92" i="55"/>
  <c r="S92" i="55"/>
  <c r="Z91" i="55"/>
  <c r="Y91" i="55"/>
  <c r="X91" i="55"/>
  <c r="W91" i="55"/>
  <c r="V91" i="55"/>
  <c r="U91" i="55"/>
  <c r="T91" i="55"/>
  <c r="S91" i="55"/>
  <c r="Z121" i="54"/>
  <c r="Y121" i="54"/>
  <c r="X121" i="54"/>
  <c r="W121" i="54"/>
  <c r="V121" i="54"/>
  <c r="U121" i="54"/>
  <c r="T121" i="54"/>
  <c r="S121" i="54"/>
  <c r="R121" i="54"/>
  <c r="Z120" i="54"/>
  <c r="Y120" i="54"/>
  <c r="X120" i="54"/>
  <c r="W120" i="54"/>
  <c r="V120" i="54"/>
  <c r="U120" i="54"/>
  <c r="T120" i="54"/>
  <c r="S120" i="54"/>
  <c r="R120" i="54"/>
  <c r="Z119" i="54"/>
  <c r="Y119" i="54"/>
  <c r="X119" i="54"/>
  <c r="W119" i="54"/>
  <c r="V119" i="54"/>
  <c r="U119" i="54"/>
  <c r="T119" i="54"/>
  <c r="S119" i="54"/>
  <c r="R119" i="54"/>
  <c r="Z118" i="54"/>
  <c r="Y118" i="54"/>
  <c r="X118" i="54"/>
  <c r="W118" i="54"/>
  <c r="V118" i="54"/>
  <c r="U118" i="54"/>
  <c r="T118" i="54"/>
  <c r="S118" i="54"/>
  <c r="R118" i="54"/>
  <c r="Z117" i="54"/>
  <c r="Y117" i="54"/>
  <c r="X117" i="54"/>
  <c r="W117" i="54"/>
  <c r="V117" i="54"/>
  <c r="U117" i="54"/>
  <c r="T117" i="54"/>
  <c r="S117" i="54"/>
  <c r="R117" i="54"/>
  <c r="Z116" i="54"/>
  <c r="Y116" i="54"/>
  <c r="X116" i="54"/>
  <c r="W116" i="54"/>
  <c r="V116" i="54"/>
  <c r="U116" i="54"/>
  <c r="T116" i="54"/>
  <c r="S116" i="54"/>
  <c r="R116" i="54"/>
  <c r="Z115" i="54"/>
  <c r="Y115" i="54"/>
  <c r="X115" i="54"/>
  <c r="W115" i="54"/>
  <c r="V115" i="54"/>
  <c r="U115" i="54"/>
  <c r="T115" i="54"/>
  <c r="S115" i="54"/>
  <c r="R115" i="54"/>
  <c r="Z114" i="54"/>
  <c r="Y114" i="54"/>
  <c r="X114" i="54"/>
  <c r="W114" i="54"/>
  <c r="V114" i="54"/>
  <c r="U114" i="54"/>
  <c r="T114" i="54"/>
  <c r="S114" i="54"/>
  <c r="R114" i="54"/>
  <c r="Z113" i="54"/>
  <c r="Y113" i="54"/>
  <c r="X113" i="54"/>
  <c r="W113" i="54"/>
  <c r="V113" i="54"/>
  <c r="U113" i="54"/>
  <c r="T113" i="54"/>
  <c r="S113" i="54"/>
  <c r="R113" i="54"/>
  <c r="Z112" i="54"/>
  <c r="Y112" i="54"/>
  <c r="X112" i="54"/>
  <c r="W112" i="54"/>
  <c r="V112" i="54"/>
  <c r="U112" i="54"/>
  <c r="T112" i="54"/>
  <c r="S112" i="54"/>
  <c r="R112" i="54"/>
  <c r="O112" i="54"/>
  <c r="O113" i="54" s="1"/>
  <c r="O114" i="54" s="1"/>
  <c r="O115" i="54" s="1"/>
  <c r="O116" i="54" s="1"/>
  <c r="O117" i="54" s="1"/>
  <c r="O118" i="54" s="1"/>
  <c r="O119" i="54" s="1"/>
  <c r="O120" i="54" s="1"/>
  <c r="O121" i="54" s="1"/>
  <c r="Z111" i="54"/>
  <c r="Y111" i="54"/>
  <c r="X111" i="54"/>
  <c r="W111" i="54"/>
  <c r="V111" i="54"/>
  <c r="U111" i="54"/>
  <c r="T111" i="54"/>
  <c r="S111" i="54"/>
  <c r="R111" i="54"/>
  <c r="T109" i="54"/>
  <c r="U109" i="54" s="1"/>
  <c r="V109" i="54" s="1"/>
  <c r="W109" i="54" s="1"/>
  <c r="X109" i="54" s="1"/>
  <c r="Y109" i="54" s="1"/>
  <c r="Z109" i="54" s="1"/>
  <c r="S109" i="54"/>
  <c r="Z102" i="54"/>
  <c r="Y102" i="54"/>
  <c r="X102" i="54"/>
  <c r="W102" i="54"/>
  <c r="V102" i="54"/>
  <c r="U102" i="54"/>
  <c r="T102" i="54"/>
  <c r="S102" i="54"/>
  <c r="Z101" i="54"/>
  <c r="Y101" i="54"/>
  <c r="X101" i="54"/>
  <c r="W101" i="54"/>
  <c r="V101" i="54"/>
  <c r="U101" i="54"/>
  <c r="T101" i="54"/>
  <c r="S101" i="54"/>
  <c r="Z100" i="54"/>
  <c r="Y100" i="54"/>
  <c r="X100" i="54"/>
  <c r="W100" i="54"/>
  <c r="V100" i="54"/>
  <c r="U100" i="54"/>
  <c r="T100" i="54"/>
  <c r="S100" i="54"/>
  <c r="Z99" i="54"/>
  <c r="Y99" i="54"/>
  <c r="X99" i="54"/>
  <c r="W99" i="54"/>
  <c r="V99" i="54"/>
  <c r="U99" i="54"/>
  <c r="T99" i="54"/>
  <c r="S99" i="54"/>
  <c r="Z98" i="54"/>
  <c r="Y98" i="54"/>
  <c r="X98" i="54"/>
  <c r="W98" i="54"/>
  <c r="V98" i="54"/>
  <c r="U98" i="54"/>
  <c r="T98" i="54"/>
  <c r="S98" i="54"/>
  <c r="Z97" i="54"/>
  <c r="Y97" i="54"/>
  <c r="X97" i="54"/>
  <c r="W97" i="54"/>
  <c r="V97" i="54"/>
  <c r="U97" i="54"/>
  <c r="T97" i="54"/>
  <c r="S97" i="54"/>
  <c r="Z96" i="54"/>
  <c r="Y96" i="54"/>
  <c r="X96" i="54"/>
  <c r="W96" i="54"/>
  <c r="V96" i="54"/>
  <c r="U96" i="54"/>
  <c r="T96" i="54"/>
  <c r="S96" i="54"/>
  <c r="Z95" i="54"/>
  <c r="Y95" i="54"/>
  <c r="X95" i="54"/>
  <c r="W95" i="54"/>
  <c r="V95" i="54"/>
  <c r="U95" i="54"/>
  <c r="T95" i="54"/>
  <c r="S95" i="54"/>
  <c r="Z94" i="54"/>
  <c r="Y94" i="54"/>
  <c r="X94" i="54"/>
  <c r="W94" i="54"/>
  <c r="V94" i="54"/>
  <c r="U94" i="54"/>
  <c r="T94" i="54"/>
  <c r="S94" i="54"/>
  <c r="Z93" i="54"/>
  <c r="Y93" i="54"/>
  <c r="X93" i="54"/>
  <c r="W93" i="54"/>
  <c r="V93" i="54"/>
  <c r="U93" i="54"/>
  <c r="T93" i="54"/>
  <c r="S93" i="54"/>
  <c r="Z92" i="54"/>
  <c r="Y92" i="54"/>
  <c r="X92" i="54"/>
  <c r="W92" i="54"/>
  <c r="V92" i="54"/>
  <c r="U92" i="54"/>
  <c r="T92" i="54"/>
  <c r="S92" i="54"/>
  <c r="Z91" i="54"/>
  <c r="Y91" i="54"/>
  <c r="X91" i="54"/>
  <c r="W91" i="54"/>
  <c r="V91" i="54"/>
  <c r="U91" i="54"/>
  <c r="T91" i="54"/>
  <c r="S91" i="54"/>
  <c r="Z121" i="53"/>
  <c r="Y121" i="53"/>
  <c r="X121" i="53"/>
  <c r="W121" i="53"/>
  <c r="V121" i="53"/>
  <c r="U121" i="53"/>
  <c r="T121" i="53"/>
  <c r="S121" i="53"/>
  <c r="R121" i="53"/>
  <c r="Z120" i="53"/>
  <c r="Y120" i="53"/>
  <c r="X120" i="53"/>
  <c r="W120" i="53"/>
  <c r="V120" i="53"/>
  <c r="U120" i="53"/>
  <c r="T120" i="53"/>
  <c r="S120" i="53"/>
  <c r="R120" i="53"/>
  <c r="Z119" i="53"/>
  <c r="Y119" i="53"/>
  <c r="X119" i="53"/>
  <c r="W119" i="53"/>
  <c r="V119" i="53"/>
  <c r="U119" i="53"/>
  <c r="T119" i="53"/>
  <c r="S119" i="53"/>
  <c r="R119" i="53"/>
  <c r="Z118" i="53"/>
  <c r="Y118" i="53"/>
  <c r="X118" i="53"/>
  <c r="W118" i="53"/>
  <c r="V118" i="53"/>
  <c r="U118" i="53"/>
  <c r="T118" i="53"/>
  <c r="S118" i="53"/>
  <c r="R118" i="53"/>
  <c r="Z117" i="53"/>
  <c r="Y117" i="53"/>
  <c r="X117" i="53"/>
  <c r="W117" i="53"/>
  <c r="V117" i="53"/>
  <c r="U117" i="53"/>
  <c r="T117" i="53"/>
  <c r="S117" i="53"/>
  <c r="R117" i="53"/>
  <c r="Z116" i="53"/>
  <c r="Y116" i="53"/>
  <c r="X116" i="53"/>
  <c r="W116" i="53"/>
  <c r="V116" i="53"/>
  <c r="U116" i="53"/>
  <c r="T116" i="53"/>
  <c r="S116" i="53"/>
  <c r="R116" i="53"/>
  <c r="Z115" i="53"/>
  <c r="Y115" i="53"/>
  <c r="X115" i="53"/>
  <c r="W115" i="53"/>
  <c r="V115" i="53"/>
  <c r="U115" i="53"/>
  <c r="T115" i="53"/>
  <c r="S115" i="53"/>
  <c r="R115" i="53"/>
  <c r="Z114" i="53"/>
  <c r="Y114" i="53"/>
  <c r="X114" i="53"/>
  <c r="W114" i="53"/>
  <c r="V114" i="53"/>
  <c r="U114" i="53"/>
  <c r="T114" i="53"/>
  <c r="S114" i="53"/>
  <c r="R114" i="53"/>
  <c r="Z113" i="53"/>
  <c r="Y113" i="53"/>
  <c r="X113" i="53"/>
  <c r="W113" i="53"/>
  <c r="V113" i="53"/>
  <c r="U113" i="53"/>
  <c r="T113" i="53"/>
  <c r="S113" i="53"/>
  <c r="R113" i="53"/>
  <c r="Z112" i="53"/>
  <c r="Y112" i="53"/>
  <c r="X112" i="53"/>
  <c r="W112" i="53"/>
  <c r="V112" i="53"/>
  <c r="U112" i="53"/>
  <c r="T112" i="53"/>
  <c r="S112" i="53"/>
  <c r="R112" i="53"/>
  <c r="O112" i="53"/>
  <c r="O113" i="53" s="1"/>
  <c r="O114" i="53" s="1"/>
  <c r="O115" i="53" s="1"/>
  <c r="O116" i="53" s="1"/>
  <c r="O117" i="53" s="1"/>
  <c r="O118" i="53" s="1"/>
  <c r="O119" i="53" s="1"/>
  <c r="O120" i="53" s="1"/>
  <c r="O121" i="53" s="1"/>
  <c r="Z111" i="53"/>
  <c r="Y111" i="53"/>
  <c r="X111" i="53"/>
  <c r="W111" i="53"/>
  <c r="V111" i="53"/>
  <c r="U111" i="53"/>
  <c r="T111" i="53"/>
  <c r="S111" i="53"/>
  <c r="R111" i="53"/>
  <c r="T109" i="53"/>
  <c r="U109" i="53" s="1"/>
  <c r="V109" i="53" s="1"/>
  <c r="W109" i="53" s="1"/>
  <c r="X109" i="53" s="1"/>
  <c r="Y109" i="53" s="1"/>
  <c r="Z109" i="53" s="1"/>
  <c r="S109" i="53"/>
  <c r="Z102" i="53"/>
  <c r="Y102" i="53"/>
  <c r="X102" i="53"/>
  <c r="W102" i="53"/>
  <c r="V102" i="53"/>
  <c r="U102" i="53"/>
  <c r="T102" i="53"/>
  <c r="S102" i="53"/>
  <c r="Z101" i="53"/>
  <c r="Y101" i="53"/>
  <c r="X101" i="53"/>
  <c r="W101" i="53"/>
  <c r="V101" i="53"/>
  <c r="U101" i="53"/>
  <c r="T101" i="53"/>
  <c r="S101" i="53"/>
  <c r="Z100" i="53"/>
  <c r="Y100" i="53"/>
  <c r="X100" i="53"/>
  <c r="W100" i="53"/>
  <c r="V100" i="53"/>
  <c r="U100" i="53"/>
  <c r="T100" i="53"/>
  <c r="S100" i="53"/>
  <c r="Z99" i="53"/>
  <c r="Y99" i="53"/>
  <c r="X99" i="53"/>
  <c r="W99" i="53"/>
  <c r="V99" i="53"/>
  <c r="U99" i="53"/>
  <c r="T99" i="53"/>
  <c r="S99" i="53"/>
  <c r="Z98" i="53"/>
  <c r="Y98" i="53"/>
  <c r="X98" i="53"/>
  <c r="W98" i="53"/>
  <c r="V98" i="53"/>
  <c r="U98" i="53"/>
  <c r="T98" i="53"/>
  <c r="S98" i="53"/>
  <c r="Z97" i="53"/>
  <c r="Y97" i="53"/>
  <c r="X97" i="53"/>
  <c r="W97" i="53"/>
  <c r="V97" i="53"/>
  <c r="U97" i="53"/>
  <c r="T97" i="53"/>
  <c r="S97" i="53"/>
  <c r="Z96" i="53"/>
  <c r="Y96" i="53"/>
  <c r="X96" i="53"/>
  <c r="W96" i="53"/>
  <c r="V96" i="53"/>
  <c r="U96" i="53"/>
  <c r="T96" i="53"/>
  <c r="S96" i="53"/>
  <c r="Z95" i="53"/>
  <c r="Y95" i="53"/>
  <c r="X95" i="53"/>
  <c r="W95" i="53"/>
  <c r="V95" i="53"/>
  <c r="U95" i="53"/>
  <c r="T95" i="53"/>
  <c r="S95" i="53"/>
  <c r="Z94" i="53"/>
  <c r="Y94" i="53"/>
  <c r="X94" i="53"/>
  <c r="W94" i="53"/>
  <c r="V94" i="53"/>
  <c r="U94" i="53"/>
  <c r="T94" i="53"/>
  <c r="S94" i="53"/>
  <c r="Z93" i="53"/>
  <c r="Y93" i="53"/>
  <c r="X93" i="53"/>
  <c r="W93" i="53"/>
  <c r="V93" i="53"/>
  <c r="U93" i="53"/>
  <c r="T93" i="53"/>
  <c r="S93" i="53"/>
  <c r="Z92" i="53"/>
  <c r="Y92" i="53"/>
  <c r="X92" i="53"/>
  <c r="W92" i="53"/>
  <c r="V92" i="53"/>
  <c r="U92" i="53"/>
  <c r="T92" i="53"/>
  <c r="S92" i="53"/>
  <c r="Z91" i="53"/>
  <c r="Y91" i="53"/>
  <c r="X91" i="53"/>
  <c r="W91" i="53"/>
  <c r="V91" i="53"/>
  <c r="U91" i="53"/>
  <c r="T91" i="53"/>
  <c r="S91" i="53"/>
  <c r="Z121" i="52"/>
  <c r="Y121" i="52"/>
  <c r="X121" i="52"/>
  <c r="W121" i="52"/>
  <c r="V121" i="52"/>
  <c r="U121" i="52"/>
  <c r="T121" i="52"/>
  <c r="S121" i="52"/>
  <c r="R121" i="52"/>
  <c r="Z120" i="52"/>
  <c r="Y120" i="52"/>
  <c r="X120" i="52"/>
  <c r="W120" i="52"/>
  <c r="V120" i="52"/>
  <c r="U120" i="52"/>
  <c r="T120" i="52"/>
  <c r="S120" i="52"/>
  <c r="R120" i="52"/>
  <c r="Z119" i="52"/>
  <c r="Y119" i="52"/>
  <c r="X119" i="52"/>
  <c r="W119" i="52"/>
  <c r="V119" i="52"/>
  <c r="U119" i="52"/>
  <c r="T119" i="52"/>
  <c r="S119" i="52"/>
  <c r="R119" i="52"/>
  <c r="Z118" i="52"/>
  <c r="Y118" i="52"/>
  <c r="X118" i="52"/>
  <c r="W118" i="52"/>
  <c r="V118" i="52"/>
  <c r="U118" i="52"/>
  <c r="T118" i="52"/>
  <c r="S118" i="52"/>
  <c r="R118" i="52"/>
  <c r="Z117" i="52"/>
  <c r="Y117" i="52"/>
  <c r="X117" i="52"/>
  <c r="W117" i="52"/>
  <c r="V117" i="52"/>
  <c r="U117" i="52"/>
  <c r="T117" i="52"/>
  <c r="S117" i="52"/>
  <c r="R117" i="52"/>
  <c r="Z116" i="52"/>
  <c r="Y116" i="52"/>
  <c r="X116" i="52"/>
  <c r="W116" i="52"/>
  <c r="V116" i="52"/>
  <c r="U116" i="52"/>
  <c r="T116" i="52"/>
  <c r="S116" i="52"/>
  <c r="R116" i="52"/>
  <c r="Z115" i="52"/>
  <c r="Y115" i="52"/>
  <c r="X115" i="52"/>
  <c r="W115" i="52"/>
  <c r="V115" i="52"/>
  <c r="U115" i="52"/>
  <c r="T115" i="52"/>
  <c r="S115" i="52"/>
  <c r="R115" i="52"/>
  <c r="Z114" i="52"/>
  <c r="Y114" i="52"/>
  <c r="X114" i="52"/>
  <c r="W114" i="52"/>
  <c r="V114" i="52"/>
  <c r="U114" i="52"/>
  <c r="T114" i="52"/>
  <c r="S114" i="52"/>
  <c r="R114" i="52"/>
  <c r="Z113" i="52"/>
  <c r="Y113" i="52"/>
  <c r="X113" i="52"/>
  <c r="W113" i="52"/>
  <c r="V113" i="52"/>
  <c r="U113" i="52"/>
  <c r="T113" i="52"/>
  <c r="S113" i="52"/>
  <c r="R113" i="52"/>
  <c r="Z112" i="52"/>
  <c r="Y112" i="52"/>
  <c r="X112" i="52"/>
  <c r="W112" i="52"/>
  <c r="V112" i="52"/>
  <c r="U112" i="52"/>
  <c r="T112" i="52"/>
  <c r="S112" i="52"/>
  <c r="R112" i="52"/>
  <c r="O112" i="52"/>
  <c r="O113" i="52" s="1"/>
  <c r="O114" i="52" s="1"/>
  <c r="O115" i="52" s="1"/>
  <c r="O116" i="52" s="1"/>
  <c r="O117" i="52" s="1"/>
  <c r="O118" i="52" s="1"/>
  <c r="O119" i="52" s="1"/>
  <c r="O120" i="52" s="1"/>
  <c r="O121" i="52" s="1"/>
  <c r="Z111" i="52"/>
  <c r="Y111" i="52"/>
  <c r="X111" i="52"/>
  <c r="W111" i="52"/>
  <c r="V111" i="52"/>
  <c r="U111" i="52"/>
  <c r="T111" i="52"/>
  <c r="S111" i="52"/>
  <c r="R111" i="52"/>
  <c r="S109" i="52"/>
  <c r="T109" i="52" s="1"/>
  <c r="U109" i="52" s="1"/>
  <c r="V109" i="52" s="1"/>
  <c r="W109" i="52" s="1"/>
  <c r="X109" i="52" s="1"/>
  <c r="Y109" i="52" s="1"/>
  <c r="Z109" i="52" s="1"/>
  <c r="Z102" i="52"/>
  <c r="Y102" i="52"/>
  <c r="X102" i="52"/>
  <c r="W102" i="52"/>
  <c r="V102" i="52"/>
  <c r="U102" i="52"/>
  <c r="T102" i="52"/>
  <c r="S102" i="52"/>
  <c r="Z101" i="52"/>
  <c r="Y101" i="52"/>
  <c r="X101" i="52"/>
  <c r="W101" i="52"/>
  <c r="V101" i="52"/>
  <c r="U101" i="52"/>
  <c r="T101" i="52"/>
  <c r="S101" i="52"/>
  <c r="Z100" i="52"/>
  <c r="Y100" i="52"/>
  <c r="X100" i="52"/>
  <c r="W100" i="52"/>
  <c r="V100" i="52"/>
  <c r="U100" i="52"/>
  <c r="T100" i="52"/>
  <c r="S100" i="52"/>
  <c r="Z99" i="52"/>
  <c r="Y99" i="52"/>
  <c r="X99" i="52"/>
  <c r="W99" i="52"/>
  <c r="V99" i="52"/>
  <c r="U99" i="52"/>
  <c r="T99" i="52"/>
  <c r="S99" i="52"/>
  <c r="Z98" i="52"/>
  <c r="Y98" i="52"/>
  <c r="X98" i="52"/>
  <c r="W98" i="52"/>
  <c r="V98" i="52"/>
  <c r="U98" i="52"/>
  <c r="T98" i="52"/>
  <c r="S98" i="52"/>
  <c r="Z97" i="52"/>
  <c r="Y97" i="52"/>
  <c r="X97" i="52"/>
  <c r="W97" i="52"/>
  <c r="V97" i="52"/>
  <c r="U97" i="52"/>
  <c r="T97" i="52"/>
  <c r="S97" i="52"/>
  <c r="Z96" i="52"/>
  <c r="Y96" i="52"/>
  <c r="X96" i="52"/>
  <c r="W96" i="52"/>
  <c r="V96" i="52"/>
  <c r="U96" i="52"/>
  <c r="T96" i="52"/>
  <c r="S96" i="52"/>
  <c r="Z95" i="52"/>
  <c r="Y95" i="52"/>
  <c r="X95" i="52"/>
  <c r="W95" i="52"/>
  <c r="V95" i="52"/>
  <c r="U95" i="52"/>
  <c r="T95" i="52"/>
  <c r="S95" i="52"/>
  <c r="Z94" i="52"/>
  <c r="Y94" i="52"/>
  <c r="X94" i="52"/>
  <c r="W94" i="52"/>
  <c r="V94" i="52"/>
  <c r="U94" i="52"/>
  <c r="T94" i="52"/>
  <c r="S94" i="52"/>
  <c r="Z93" i="52"/>
  <c r="Y93" i="52"/>
  <c r="X93" i="52"/>
  <c r="W93" i="52"/>
  <c r="V93" i="52"/>
  <c r="U93" i="52"/>
  <c r="T93" i="52"/>
  <c r="S93" i="52"/>
  <c r="Z92" i="52"/>
  <c r="Y92" i="52"/>
  <c r="X92" i="52"/>
  <c r="W92" i="52"/>
  <c r="V92" i="52"/>
  <c r="U92" i="52"/>
  <c r="T92" i="52"/>
  <c r="S92" i="52"/>
  <c r="Z91" i="52"/>
  <c r="Y91" i="52"/>
  <c r="X91" i="52"/>
  <c r="W91" i="52"/>
  <c r="V91" i="52"/>
  <c r="U91" i="52"/>
  <c r="T91" i="52"/>
  <c r="S91" i="52"/>
  <c r="Z121" i="46"/>
  <c r="Y121" i="46"/>
  <c r="X121" i="46"/>
  <c r="W121" i="46"/>
  <c r="V121" i="46"/>
  <c r="U121" i="46"/>
  <c r="T121" i="46"/>
  <c r="S121" i="46"/>
  <c r="R121" i="46"/>
  <c r="Z120" i="46"/>
  <c r="Y120" i="46"/>
  <c r="X120" i="46"/>
  <c r="W120" i="46"/>
  <c r="V120" i="46"/>
  <c r="U120" i="46"/>
  <c r="T120" i="46"/>
  <c r="S120" i="46"/>
  <c r="R120" i="46"/>
  <c r="Z119" i="46"/>
  <c r="Y119" i="46"/>
  <c r="X119" i="46"/>
  <c r="W119" i="46"/>
  <c r="V119" i="46"/>
  <c r="U119" i="46"/>
  <c r="T119" i="46"/>
  <c r="S119" i="46"/>
  <c r="R119" i="46"/>
  <c r="Z118" i="46"/>
  <c r="Y118" i="46"/>
  <c r="X118" i="46"/>
  <c r="W118" i="46"/>
  <c r="V118" i="46"/>
  <c r="U118" i="46"/>
  <c r="T118" i="46"/>
  <c r="S118" i="46"/>
  <c r="R118" i="46"/>
  <c r="Z117" i="46"/>
  <c r="Y117" i="46"/>
  <c r="X117" i="46"/>
  <c r="W117" i="46"/>
  <c r="V117" i="46"/>
  <c r="U117" i="46"/>
  <c r="T117" i="46"/>
  <c r="S117" i="46"/>
  <c r="R117" i="46"/>
  <c r="Z116" i="46"/>
  <c r="Y116" i="46"/>
  <c r="X116" i="46"/>
  <c r="W116" i="46"/>
  <c r="V116" i="46"/>
  <c r="U116" i="46"/>
  <c r="T116" i="46"/>
  <c r="S116" i="46"/>
  <c r="R116" i="46"/>
  <c r="Z115" i="46"/>
  <c r="Y115" i="46"/>
  <c r="X115" i="46"/>
  <c r="W115" i="46"/>
  <c r="V115" i="46"/>
  <c r="U115" i="46"/>
  <c r="T115" i="46"/>
  <c r="S115" i="46"/>
  <c r="R115" i="46"/>
  <c r="Z114" i="46"/>
  <c r="Y114" i="46"/>
  <c r="X114" i="46"/>
  <c r="W114" i="46"/>
  <c r="V114" i="46"/>
  <c r="U114" i="46"/>
  <c r="T114" i="46"/>
  <c r="S114" i="46"/>
  <c r="R114" i="46"/>
  <c r="O114" i="46"/>
  <c r="O115" i="46" s="1"/>
  <c r="O116" i="46" s="1"/>
  <c r="O117" i="46" s="1"/>
  <c r="O118" i="46" s="1"/>
  <c r="O119" i="46" s="1"/>
  <c r="O120" i="46" s="1"/>
  <c r="O121" i="46" s="1"/>
  <c r="Z113" i="46"/>
  <c r="Y113" i="46"/>
  <c r="X113" i="46"/>
  <c r="W113" i="46"/>
  <c r="V113" i="46"/>
  <c r="U113" i="46"/>
  <c r="T113" i="46"/>
  <c r="S113" i="46"/>
  <c r="R113" i="46"/>
  <c r="O113" i="46"/>
  <c r="Z112" i="46"/>
  <c r="Y112" i="46"/>
  <c r="X112" i="46"/>
  <c r="W112" i="46"/>
  <c r="V112" i="46"/>
  <c r="U112" i="46"/>
  <c r="T112" i="46"/>
  <c r="S112" i="46"/>
  <c r="R112" i="46"/>
  <c r="O112" i="46"/>
  <c r="Z111" i="46"/>
  <c r="Y111" i="46"/>
  <c r="X111" i="46"/>
  <c r="W111" i="46"/>
  <c r="V111" i="46"/>
  <c r="U111" i="46"/>
  <c r="T111" i="46"/>
  <c r="S111" i="46"/>
  <c r="R111" i="46"/>
  <c r="S109" i="46"/>
  <c r="T109" i="46" s="1"/>
  <c r="U109" i="46" s="1"/>
  <c r="V109" i="46" s="1"/>
  <c r="W109" i="46" s="1"/>
  <c r="X109" i="46" s="1"/>
  <c r="Y109" i="46" s="1"/>
  <c r="Z109" i="46" s="1"/>
  <c r="Z102" i="46"/>
  <c r="Y102" i="46"/>
  <c r="X102" i="46"/>
  <c r="W102" i="46"/>
  <c r="V102" i="46"/>
  <c r="U102" i="46"/>
  <c r="T102" i="46"/>
  <c r="S102" i="46"/>
  <c r="Z101" i="46"/>
  <c r="Y101" i="46"/>
  <c r="X101" i="46"/>
  <c r="W101" i="46"/>
  <c r="V101" i="46"/>
  <c r="U101" i="46"/>
  <c r="T101" i="46"/>
  <c r="S101" i="46"/>
  <c r="Z100" i="46"/>
  <c r="Y100" i="46"/>
  <c r="X100" i="46"/>
  <c r="W100" i="46"/>
  <c r="V100" i="46"/>
  <c r="U100" i="46"/>
  <c r="T100" i="46"/>
  <c r="S100" i="46"/>
  <c r="Z99" i="46"/>
  <c r="Y99" i="46"/>
  <c r="X99" i="46"/>
  <c r="W99" i="46"/>
  <c r="V99" i="46"/>
  <c r="U99" i="46"/>
  <c r="T99" i="46"/>
  <c r="S99" i="46"/>
  <c r="Z98" i="46"/>
  <c r="Y98" i="46"/>
  <c r="X98" i="46"/>
  <c r="W98" i="46"/>
  <c r="V98" i="46"/>
  <c r="U98" i="46"/>
  <c r="T98" i="46"/>
  <c r="S98" i="46"/>
  <c r="Z97" i="46"/>
  <c r="Y97" i="46"/>
  <c r="X97" i="46"/>
  <c r="W97" i="46"/>
  <c r="V97" i="46"/>
  <c r="U97" i="46"/>
  <c r="T97" i="46"/>
  <c r="S97" i="46"/>
  <c r="Z96" i="46"/>
  <c r="Y96" i="46"/>
  <c r="X96" i="46"/>
  <c r="W96" i="46"/>
  <c r="V96" i="46"/>
  <c r="U96" i="46"/>
  <c r="T96" i="46"/>
  <c r="S96" i="46"/>
  <c r="Z95" i="46"/>
  <c r="Y95" i="46"/>
  <c r="X95" i="46"/>
  <c r="W95" i="46"/>
  <c r="V95" i="46"/>
  <c r="U95" i="46"/>
  <c r="T95" i="46"/>
  <c r="S95" i="46"/>
  <c r="Z94" i="46"/>
  <c r="Y94" i="46"/>
  <c r="X94" i="46"/>
  <c r="W94" i="46"/>
  <c r="V94" i="46"/>
  <c r="U94" i="46"/>
  <c r="T94" i="46"/>
  <c r="S94" i="46"/>
  <c r="Z93" i="46"/>
  <c r="Y93" i="46"/>
  <c r="X93" i="46"/>
  <c r="W93" i="46"/>
  <c r="V93" i="46"/>
  <c r="U93" i="46"/>
  <c r="T93" i="46"/>
  <c r="S93" i="46"/>
  <c r="Z92" i="46"/>
  <c r="Y92" i="46"/>
  <c r="X92" i="46"/>
  <c r="W92" i="46"/>
  <c r="V92" i="46"/>
  <c r="U92" i="46"/>
  <c r="T92" i="46"/>
  <c r="S92" i="46"/>
  <c r="Z91" i="46"/>
  <c r="Y91" i="46"/>
  <c r="X91" i="46"/>
  <c r="W91" i="46"/>
  <c r="V91" i="46"/>
  <c r="U91" i="46"/>
  <c r="T91" i="46"/>
  <c r="S91" i="46"/>
  <c r="AP16" i="2"/>
  <c r="AP17" i="2"/>
  <c r="AO16" i="2"/>
  <c r="AO17" i="2"/>
  <c r="AO18" i="2"/>
  <c r="AO19" i="2"/>
  <c r="AQ16" i="2"/>
  <c r="AQ17" i="2"/>
  <c r="AQ18" i="2"/>
  <c r="AQ19" i="2"/>
  <c r="AO5" i="2"/>
  <c r="AP5" i="2"/>
  <c r="AQ5" i="2"/>
  <c r="AR5" i="2"/>
  <c r="AS5" i="2"/>
  <c r="AO6" i="2"/>
  <c r="AP6" i="2"/>
  <c r="AQ6" i="2"/>
  <c r="AR6" i="2"/>
  <c r="AS6" i="2"/>
  <c r="AO7" i="2"/>
  <c r="AP7" i="2"/>
  <c r="AQ7" i="2"/>
  <c r="AR7" i="2"/>
  <c r="AS7" i="2"/>
  <c r="AO8" i="2"/>
  <c r="AP8" i="2"/>
  <c r="AQ8" i="2"/>
  <c r="AR8" i="2"/>
  <c r="AS8" i="2"/>
  <c r="AO9" i="2"/>
  <c r="AP9" i="2"/>
  <c r="AQ9" i="2"/>
  <c r="AR9" i="2"/>
  <c r="AS9" i="2"/>
  <c r="AO10" i="2"/>
  <c r="AP10" i="2"/>
  <c r="AQ10" i="2"/>
  <c r="AR10" i="2"/>
  <c r="AS10" i="2"/>
  <c r="AO11" i="2"/>
  <c r="AP11" i="2"/>
  <c r="AQ11" i="2"/>
  <c r="AR11" i="2"/>
  <c r="AS11" i="2"/>
  <c r="AO12" i="2"/>
  <c r="AP12" i="2"/>
  <c r="AQ12" i="2"/>
  <c r="AR12" i="2"/>
  <c r="AS12" i="2"/>
  <c r="AO13" i="2"/>
  <c r="AP13" i="2"/>
  <c r="AQ13" i="2"/>
  <c r="AR13" i="2"/>
  <c r="AS13" i="2"/>
  <c r="AO14" i="2"/>
  <c r="AP14" i="2"/>
  <c r="AQ14" i="2"/>
  <c r="AR14" i="2"/>
  <c r="AS14" i="2"/>
  <c r="AO15" i="2"/>
  <c r="AP15" i="2"/>
  <c r="AQ15" i="2"/>
  <c r="AR15" i="2"/>
  <c r="AS15" i="2"/>
  <c r="AP4" i="2"/>
  <c r="AQ4" i="2"/>
  <c r="AR4" i="2"/>
  <c r="AS4" i="2"/>
  <c r="AO4" i="2"/>
  <c r="N41" i="65" l="1"/>
  <c r="N43" i="65"/>
  <c r="N40" i="65"/>
  <c r="S73" i="60" l="1"/>
  <c r="S73" i="59"/>
  <c r="S73" i="58"/>
  <c r="S73" i="57"/>
  <c r="I16" i="6" l="1"/>
  <c r="I15" i="68"/>
  <c r="C4" i="60"/>
  <c r="C4" i="59"/>
  <c r="C4" i="58"/>
  <c r="C4" i="57"/>
  <c r="C4" i="56"/>
  <c r="C5" i="57"/>
  <c r="C5" i="60"/>
  <c r="C6" i="60"/>
  <c r="C5" i="59"/>
  <c r="C5" i="58"/>
  <c r="C5" i="56"/>
  <c r="C6" i="56"/>
  <c r="C3" i="60"/>
  <c r="C3" i="59"/>
  <c r="C3" i="58"/>
  <c r="C3" i="57"/>
  <c r="C44" i="57" s="1"/>
  <c r="C3" i="56"/>
  <c r="C5" i="52"/>
  <c r="C6" i="53"/>
  <c r="C6" i="52"/>
  <c r="C5" i="53"/>
  <c r="K21" i="56" l="1"/>
  <c r="C45" i="56"/>
  <c r="AL48" i="56" s="1"/>
  <c r="K21" i="59"/>
  <c r="P74" i="59"/>
  <c r="S81" i="59"/>
  <c r="P74" i="58"/>
  <c r="S81" i="58"/>
  <c r="S81" i="57"/>
  <c r="P74" i="57"/>
  <c r="P81" i="60"/>
  <c r="P83" i="60" s="1"/>
  <c r="S81" i="60"/>
  <c r="P74" i="60"/>
  <c r="P81" i="59"/>
  <c r="P83" i="59" s="1"/>
  <c r="U73" i="59"/>
  <c r="P81" i="58"/>
  <c r="P83" i="58" s="1"/>
  <c r="U73" i="58"/>
  <c r="U73" i="57"/>
  <c r="P81" i="57"/>
  <c r="P83" i="57" s="1"/>
  <c r="W21" i="60"/>
  <c r="W21" i="58"/>
  <c r="W21" i="57"/>
  <c r="W21" i="59"/>
  <c r="S82" i="55"/>
  <c r="S80" i="55"/>
  <c r="S82" i="54"/>
  <c r="S80" i="54"/>
  <c r="S82" i="53"/>
  <c r="S80" i="53"/>
  <c r="S82" i="46"/>
  <c r="S80" i="46"/>
  <c r="S80" i="52"/>
  <c r="S82" i="52"/>
  <c r="S73" i="55" l="1"/>
  <c r="S73" i="54"/>
  <c r="S73" i="53"/>
  <c r="S73" i="46"/>
  <c r="S73" i="52"/>
  <c r="V25" i="60" l="1"/>
  <c r="V24" i="60"/>
  <c r="V23" i="60"/>
  <c r="V22" i="60"/>
  <c r="V21" i="60"/>
  <c r="V20" i="60"/>
  <c r="V25" i="59"/>
  <c r="V24" i="59"/>
  <c r="V23" i="59"/>
  <c r="V22" i="59"/>
  <c r="V21" i="59"/>
  <c r="V20" i="59"/>
  <c r="V25" i="58"/>
  <c r="V24" i="58"/>
  <c r="V23" i="58"/>
  <c r="V22" i="58"/>
  <c r="V21" i="58"/>
  <c r="V20" i="58"/>
  <c r="V25" i="57"/>
  <c r="V24" i="57"/>
  <c r="V23" i="57"/>
  <c r="V22" i="57"/>
  <c r="V21" i="57"/>
  <c r="V20" i="57"/>
  <c r="E14" i="68" l="1"/>
  <c r="F14" i="68"/>
  <c r="E15" i="6"/>
  <c r="F15" i="6"/>
  <c r="G19" i="55" l="1"/>
  <c r="G20" i="52" l="1"/>
  <c r="G19" i="52"/>
  <c r="F19" i="52"/>
  <c r="E18" i="52"/>
  <c r="BR54" i="52"/>
  <c r="BR55" i="52"/>
  <c r="FG22" i="52"/>
  <c r="K24" i="46"/>
  <c r="E18" i="46"/>
  <c r="DP28" i="46"/>
  <c r="DS21" i="46" l="1"/>
  <c r="N42" i="65" l="1"/>
  <c r="N30" i="65"/>
  <c r="N29" i="65"/>
  <c r="N28" i="65"/>
  <c r="N27" i="65"/>
  <c r="N17" i="65"/>
  <c r="N16" i="65"/>
  <c r="N15" i="65"/>
  <c r="N14" i="65"/>
  <c r="N41" i="63"/>
  <c r="N42" i="63"/>
  <c r="N43" i="63"/>
  <c r="N40" i="63"/>
  <c r="N28" i="63"/>
  <c r="N29" i="63"/>
  <c r="N30" i="63"/>
  <c r="N27" i="63"/>
  <c r="N15" i="63"/>
  <c r="N16" i="63"/>
  <c r="N17" i="63"/>
  <c r="N14" i="63"/>
  <c r="D45" i="65"/>
  <c r="D44" i="65"/>
  <c r="D43" i="65"/>
  <c r="D42" i="65"/>
  <c r="D41" i="65"/>
  <c r="D40" i="65"/>
  <c r="D32" i="65"/>
  <c r="D31" i="65"/>
  <c r="D30" i="65"/>
  <c r="D29" i="65"/>
  <c r="D28" i="65"/>
  <c r="D27" i="65"/>
  <c r="D19" i="65"/>
  <c r="D18" i="65"/>
  <c r="D17" i="65"/>
  <c r="D16" i="65"/>
  <c r="D15" i="65"/>
  <c r="D14" i="65"/>
  <c r="D45" i="63"/>
  <c r="D32" i="63"/>
  <c r="O24" i="1" l="1"/>
  <c r="N24" i="1" s="1"/>
  <c r="C38" i="1" l="1"/>
  <c r="B20" i="68"/>
  <c r="B21" i="68" s="1"/>
  <c r="A20" i="68"/>
  <c r="E19" i="68"/>
  <c r="C19" i="68"/>
  <c r="B19" i="68"/>
  <c r="D15" i="68"/>
  <c r="D16" i="68" s="1"/>
  <c r="H14" i="68"/>
  <c r="C15" i="68"/>
  <c r="C16" i="68" s="1"/>
  <c r="B15" i="68"/>
  <c r="B16" i="68" s="1"/>
  <c r="A15" i="68"/>
  <c r="A5" i="68"/>
  <c r="E2" i="68"/>
  <c r="C2" i="68" s="1"/>
  <c r="E1" i="68"/>
  <c r="C1" i="68" s="1"/>
  <c r="F84" i="67"/>
  <c r="F83" i="67"/>
  <c r="F82" i="67"/>
  <c r="F81" i="67"/>
  <c r="F80" i="67"/>
  <c r="F79" i="67"/>
  <c r="F78" i="67"/>
  <c r="F77" i="67"/>
  <c r="F76" i="67"/>
  <c r="F75" i="67"/>
  <c r="F74" i="67"/>
  <c r="F73" i="67"/>
  <c r="F68" i="67"/>
  <c r="F48" i="67"/>
  <c r="F67" i="67"/>
  <c r="F47" i="67"/>
  <c r="F66" i="67"/>
  <c r="F46" i="67"/>
  <c r="F65" i="67"/>
  <c r="F45" i="67"/>
  <c r="F64" i="67"/>
  <c r="F44" i="67"/>
  <c r="F63" i="67"/>
  <c r="F43" i="67"/>
  <c r="F62" i="67"/>
  <c r="F42" i="67"/>
  <c r="F61" i="67"/>
  <c r="F41" i="67"/>
  <c r="F60" i="67"/>
  <c r="F40" i="67"/>
  <c r="F59" i="67"/>
  <c r="F39" i="67"/>
  <c r="F58" i="67"/>
  <c r="F38" i="67"/>
  <c r="F57" i="67"/>
  <c r="F37" i="67"/>
  <c r="F56" i="67"/>
  <c r="F36" i="67"/>
  <c r="F55" i="67"/>
  <c r="F35" i="67"/>
  <c r="F54" i="67"/>
  <c r="F34" i="67"/>
  <c r="F53" i="67"/>
  <c r="F33" i="67"/>
  <c r="O20" i="67"/>
  <c r="I20" i="67"/>
  <c r="N4" i="67"/>
  <c r="N5" i="67"/>
  <c r="N6" i="67"/>
  <c r="N7" i="67"/>
  <c r="N8" i="67"/>
  <c r="N9" i="67"/>
  <c r="N10" i="67"/>
  <c r="N11" i="67"/>
  <c r="N12" i="67"/>
  <c r="N13" i="67"/>
  <c r="N14" i="67"/>
  <c r="N3" i="67"/>
  <c r="K14" i="67"/>
  <c r="K4" i="67"/>
  <c r="K5" i="67"/>
  <c r="K6" i="67"/>
  <c r="K7" i="67"/>
  <c r="K8" i="67"/>
  <c r="K9" i="67"/>
  <c r="K10" i="67"/>
  <c r="K11" i="67"/>
  <c r="K12" i="67"/>
  <c r="K13" i="67"/>
  <c r="K3" i="67"/>
  <c r="H4" i="67"/>
  <c r="H5" i="67"/>
  <c r="H6" i="67"/>
  <c r="H7" i="67"/>
  <c r="H8" i="67"/>
  <c r="H9" i="67"/>
  <c r="H10" i="67"/>
  <c r="H11" i="67"/>
  <c r="H12" i="67"/>
  <c r="H13" i="67"/>
  <c r="H14" i="67"/>
  <c r="H15" i="67"/>
  <c r="H16" i="67"/>
  <c r="H17" i="67"/>
  <c r="H18" i="67"/>
  <c r="H3" i="67"/>
  <c r="H20" i="67" s="1"/>
  <c r="E4" i="67"/>
  <c r="E5" i="67"/>
  <c r="E6" i="67"/>
  <c r="E7" i="67"/>
  <c r="E8" i="67"/>
  <c r="E9" i="67"/>
  <c r="E10" i="67"/>
  <c r="E11" i="67"/>
  <c r="E12" i="67"/>
  <c r="E13" i="67"/>
  <c r="E14" i="67"/>
  <c r="E15" i="67"/>
  <c r="E16" i="67"/>
  <c r="E3" i="67"/>
  <c r="B4" i="67"/>
  <c r="B5" i="67"/>
  <c r="B6" i="67"/>
  <c r="B7" i="67"/>
  <c r="B8" i="67"/>
  <c r="B9" i="67"/>
  <c r="B10" i="67"/>
  <c r="B11" i="67"/>
  <c r="B12" i="67"/>
  <c r="B13" i="67"/>
  <c r="B14" i="67"/>
  <c r="B15" i="67"/>
  <c r="B16" i="67"/>
  <c r="B17" i="67"/>
  <c r="B18" i="67"/>
  <c r="B3" i="67"/>
  <c r="C7" i="60"/>
  <c r="C7" i="59"/>
  <c r="C6" i="59"/>
  <c r="C7" i="58"/>
  <c r="C6" i="58"/>
  <c r="C7" i="57"/>
  <c r="C6" i="57"/>
  <c r="B14" i="64"/>
  <c r="B15" i="64"/>
  <c r="B16" i="64"/>
  <c r="B26" i="64" s="1"/>
  <c r="B17" i="64"/>
  <c r="B18" i="64"/>
  <c r="B19" i="64"/>
  <c r="A14" i="64"/>
  <c r="A15" i="64"/>
  <c r="A16" i="64"/>
  <c r="A17" i="64"/>
  <c r="A18" i="64"/>
  <c r="A19" i="64"/>
  <c r="A13" i="64"/>
  <c r="B13" i="64"/>
  <c r="C7" i="56"/>
  <c r="O26" i="2"/>
  <c r="P26" i="2" s="1"/>
  <c r="F26" i="1"/>
  <c r="F18" i="64" s="1"/>
  <c r="D36" i="66"/>
  <c r="D35" i="66"/>
  <c r="D34" i="66"/>
  <c r="D33" i="66"/>
  <c r="D32" i="66"/>
  <c r="D31" i="66"/>
  <c r="D30" i="66"/>
  <c r="D29" i="66"/>
  <c r="D28" i="66"/>
  <c r="D27" i="66"/>
  <c r="D26" i="66"/>
  <c r="D19" i="66"/>
  <c r="D18" i="66"/>
  <c r="D17" i="66"/>
  <c r="D16" i="66"/>
  <c r="D15" i="66"/>
  <c r="D14" i="66"/>
  <c r="D13" i="66"/>
  <c r="D12" i="66"/>
  <c r="D11" i="66"/>
  <c r="D10" i="66"/>
  <c r="D9" i="66"/>
  <c r="B25" i="64" l="1"/>
  <c r="G30" i="64" s="1"/>
  <c r="E17" i="64"/>
  <c r="E13" i="64"/>
  <c r="K24" i="59"/>
  <c r="K23" i="59"/>
  <c r="K22" i="59"/>
  <c r="K24" i="60"/>
  <c r="K23" i="60"/>
  <c r="K22" i="60"/>
  <c r="K21" i="60"/>
  <c r="K21" i="57"/>
  <c r="K24" i="57"/>
  <c r="K23" i="57"/>
  <c r="K22" i="57"/>
  <c r="K24" i="56"/>
  <c r="K23" i="56"/>
  <c r="K22" i="56"/>
  <c r="K24" i="58"/>
  <c r="K23" i="58"/>
  <c r="K22" i="58"/>
  <c r="K21" i="58"/>
  <c r="C45" i="57"/>
  <c r="C57" i="58"/>
  <c r="C57" i="59"/>
  <c r="K19" i="56"/>
  <c r="P23" i="56"/>
  <c r="P23" i="58"/>
  <c r="K19" i="58"/>
  <c r="K19" i="57"/>
  <c r="P23" i="57"/>
  <c r="P23" i="59"/>
  <c r="K19" i="59"/>
  <c r="P23" i="60"/>
  <c r="K19" i="60"/>
  <c r="C57" i="60"/>
  <c r="C45" i="60"/>
  <c r="A22" i="68"/>
  <c r="C45" i="59"/>
  <c r="C57" i="57"/>
  <c r="AL53" i="57" s="1"/>
  <c r="C45" i="58"/>
  <c r="C57" i="56"/>
  <c r="AL53" i="56" s="1"/>
  <c r="N20" i="67"/>
  <c r="F15" i="64"/>
  <c r="E19" i="64"/>
  <c r="E14" i="64"/>
  <c r="E16" i="64"/>
  <c r="E20" i="64"/>
  <c r="C4" i="66"/>
  <c r="C4" i="65"/>
  <c r="K48" i="65" s="1"/>
  <c r="AJ20" i="2"/>
  <c r="AJ17" i="2"/>
  <c r="AI20" i="2"/>
  <c r="AI17" i="2"/>
  <c r="AH20" i="2"/>
  <c r="AH17" i="2"/>
  <c r="AG20" i="2"/>
  <c r="AG17" i="2"/>
  <c r="AF20" i="2"/>
  <c r="AF17" i="2"/>
  <c r="AE20" i="2"/>
  <c r="AE17" i="2"/>
  <c r="AD20" i="2"/>
  <c r="AD17" i="2"/>
  <c r="AC20" i="2"/>
  <c r="AC17" i="2"/>
  <c r="AC18" i="2" s="1"/>
  <c r="M18" i="1" s="1"/>
  <c r="AB20" i="2"/>
  <c r="AB17" i="2"/>
  <c r="AA20" i="2"/>
  <c r="AA17" i="2"/>
  <c r="Z20" i="2"/>
  <c r="Z17" i="2"/>
  <c r="Y20" i="2"/>
  <c r="Y17" i="2"/>
  <c r="X20" i="2"/>
  <c r="X17" i="2"/>
  <c r="O11" i="1" s="1"/>
  <c r="W20" i="2"/>
  <c r="O23" i="1" s="1"/>
  <c r="W17" i="2"/>
  <c r="O10" i="1" s="1"/>
  <c r="V20" i="2"/>
  <c r="O22" i="1" s="1"/>
  <c r="V17" i="2"/>
  <c r="O9" i="1" s="1"/>
  <c r="U20" i="2"/>
  <c r="U17" i="2"/>
  <c r="U18" i="2" s="1"/>
  <c r="M17" i="1" s="1"/>
  <c r="O30" i="2"/>
  <c r="O29" i="2"/>
  <c r="O28" i="2"/>
  <c r="O27" i="2"/>
  <c r="O25" i="2"/>
  <c r="O24" i="2"/>
  <c r="O23" i="2"/>
  <c r="O22" i="2"/>
  <c r="O21" i="2"/>
  <c r="O20" i="2"/>
  <c r="AB55" i="59"/>
  <c r="AC55" i="59"/>
  <c r="AD55" i="59" s="1"/>
  <c r="AE55" i="59" s="1"/>
  <c r="AF55" i="59" s="1"/>
  <c r="AG55" i="59" s="1"/>
  <c r="AH55" i="59" s="1"/>
  <c r="AI55" i="59" s="1"/>
  <c r="AC56" i="59"/>
  <c r="AD56" i="59" s="1"/>
  <c r="AE56" i="59" s="1"/>
  <c r="AF56" i="59" s="1"/>
  <c r="AG56" i="59" s="1"/>
  <c r="AH56" i="59" s="1"/>
  <c r="AI56" i="59" s="1"/>
  <c r="AC57" i="59"/>
  <c r="AD57" i="59" s="1"/>
  <c r="AE57" i="59" s="1"/>
  <c r="AF57" i="59" s="1"/>
  <c r="AG57" i="59" s="1"/>
  <c r="AH57" i="59" s="1"/>
  <c r="AI57" i="59" s="1"/>
  <c r="AJ57" i="59" s="1"/>
  <c r="AB57" i="59"/>
  <c r="AB56" i="59"/>
  <c r="AC49" i="59"/>
  <c r="AD49" i="59"/>
  <c r="AE49" i="59" s="1"/>
  <c r="AF49" i="59" s="1"/>
  <c r="AG49" i="59" s="1"/>
  <c r="AH49" i="59" s="1"/>
  <c r="AI49" i="59" s="1"/>
  <c r="AJ49" i="59" s="1"/>
  <c r="AC50" i="59"/>
  <c r="AD50" i="59"/>
  <c r="AE50" i="59" s="1"/>
  <c r="AF50" i="59" s="1"/>
  <c r="AG50" i="59" s="1"/>
  <c r="AH50" i="59" s="1"/>
  <c r="AI50" i="59" s="1"/>
  <c r="AJ50" i="59" s="1"/>
  <c r="AC51" i="59"/>
  <c r="AD51" i="59"/>
  <c r="AE51" i="59" s="1"/>
  <c r="AF51" i="59" s="1"/>
  <c r="AG51" i="59" s="1"/>
  <c r="AH51" i="59" s="1"/>
  <c r="AI51" i="59" s="1"/>
  <c r="AJ51" i="59" s="1"/>
  <c r="AC52" i="59"/>
  <c r="AD52" i="59"/>
  <c r="AE52" i="59" s="1"/>
  <c r="AF52" i="59" s="1"/>
  <c r="AG52" i="59" s="1"/>
  <c r="AH52" i="59" s="1"/>
  <c r="AI52" i="59" s="1"/>
  <c r="AJ52" i="59" s="1"/>
  <c r="AC53" i="59"/>
  <c r="AD53" i="59"/>
  <c r="AE53" i="59" s="1"/>
  <c r="AF53" i="59" s="1"/>
  <c r="AG53" i="59" s="1"/>
  <c r="AH53" i="59" s="1"/>
  <c r="AI53" i="59" s="1"/>
  <c r="AJ53" i="59" s="1"/>
  <c r="AB53" i="59"/>
  <c r="AB51" i="59"/>
  <c r="AB52" i="59"/>
  <c r="AB50" i="59"/>
  <c r="AB49" i="59"/>
  <c r="AC47" i="59"/>
  <c r="AD47" i="59"/>
  <c r="AE47" i="59"/>
  <c r="AF47" i="59"/>
  <c r="AG47" i="59" s="1"/>
  <c r="AH47" i="59" s="1"/>
  <c r="AI47" i="59" s="1"/>
  <c r="AJ47" i="59" s="1"/>
  <c r="AB47" i="59"/>
  <c r="AC46" i="59"/>
  <c r="AD46" i="59" s="1"/>
  <c r="AE46" i="59" s="1"/>
  <c r="AF46" i="59" s="1"/>
  <c r="AG46" i="59" s="1"/>
  <c r="AH46" i="59" s="1"/>
  <c r="AI46" i="59" s="1"/>
  <c r="AJ46" i="59" s="1"/>
  <c r="AB46" i="59"/>
  <c r="W48" i="59"/>
  <c r="X48" i="59" s="1"/>
  <c r="Y48" i="59" s="1"/>
  <c r="Z48" i="59" s="1"/>
  <c r="AA48" i="59" s="1"/>
  <c r="AB48" i="59" s="1"/>
  <c r="AC48" i="59" s="1"/>
  <c r="AD48" i="59" s="1"/>
  <c r="AE48" i="59" s="1"/>
  <c r="AF48" i="59" s="1"/>
  <c r="AG48" i="59" s="1"/>
  <c r="AH48" i="59" s="1"/>
  <c r="AI48" i="59" s="1"/>
  <c r="V48" i="59"/>
  <c r="W54" i="59"/>
  <c r="X54" i="59" s="1"/>
  <c r="Y54" i="59" s="1"/>
  <c r="Z54" i="59" s="1"/>
  <c r="AA54" i="59" s="1"/>
  <c r="AB54" i="59" s="1"/>
  <c r="AC54" i="59" s="1"/>
  <c r="AD54" i="59" s="1"/>
  <c r="AE54" i="59" s="1"/>
  <c r="AF54" i="59" s="1"/>
  <c r="AG54" i="59" s="1"/>
  <c r="AH54" i="59" s="1"/>
  <c r="AI54" i="59" s="1"/>
  <c r="AJ54" i="59" s="1"/>
  <c r="V54" i="59"/>
  <c r="F19" i="64"/>
  <c r="L43" i="66" l="1"/>
  <c r="K5" i="66" s="1"/>
  <c r="L26" i="66"/>
  <c r="K3" i="66"/>
  <c r="G27" i="64"/>
  <c r="G29" i="64"/>
  <c r="G38" i="64"/>
  <c r="G41" i="64"/>
  <c r="G40" i="64"/>
  <c r="G42" i="64"/>
  <c r="G28" i="64"/>
  <c r="G39" i="64"/>
  <c r="G31" i="64"/>
  <c r="U48" i="65"/>
  <c r="K10" i="65" s="1"/>
  <c r="K23" i="65"/>
  <c r="K5" i="65" s="1"/>
  <c r="A35" i="65"/>
  <c r="K3" i="65" s="1"/>
  <c r="A48" i="65"/>
  <c r="K4" i="65" s="1"/>
  <c r="K7" i="65"/>
  <c r="K35" i="65"/>
  <c r="K6" i="65" s="1"/>
  <c r="A23" i="65"/>
  <c r="K2" i="65" s="1"/>
  <c r="N22" i="1"/>
  <c r="A10" i="68"/>
  <c r="AC21" i="2"/>
  <c r="M31" i="1" s="1"/>
  <c r="U21" i="2"/>
  <c r="M30" i="1" s="1"/>
  <c r="U35" i="65"/>
  <c r="K9" i="65" s="1"/>
  <c r="U23" i="65"/>
  <c r="K8" i="65" s="1"/>
  <c r="K4" i="66"/>
  <c r="AC61" i="58"/>
  <c r="AD61" i="58" s="1"/>
  <c r="AE61" i="58" s="1"/>
  <c r="AF61" i="58" s="1"/>
  <c r="AG61" i="58" s="1"/>
  <c r="AH61" i="58" s="1"/>
  <c r="AI61" i="58" s="1"/>
  <c r="AC60" i="58"/>
  <c r="AD60" i="58" s="1"/>
  <c r="AE60" i="58" s="1"/>
  <c r="AF60" i="58" s="1"/>
  <c r="AG60" i="58" s="1"/>
  <c r="AH60" i="58" s="1"/>
  <c r="AI60" i="58" s="1"/>
  <c r="AB60" i="58"/>
  <c r="AC59" i="58"/>
  <c r="AD59" i="58" s="1"/>
  <c r="AE59" i="58" s="1"/>
  <c r="AF59" i="58" s="1"/>
  <c r="AG59" i="58" s="1"/>
  <c r="AH59" i="58" s="1"/>
  <c r="AI59" i="58" s="1"/>
  <c r="AB59" i="58"/>
  <c r="AB58" i="58"/>
  <c r="AC58" i="58"/>
  <c r="AD58" i="58" s="1"/>
  <c r="AE58" i="58" s="1"/>
  <c r="AF58" i="58" s="1"/>
  <c r="AG58" i="58" s="1"/>
  <c r="AH58" i="58" s="1"/>
  <c r="AI58" i="58" s="1"/>
  <c r="AC57" i="58"/>
  <c r="AD57" i="58" s="1"/>
  <c r="AE57" i="58" s="1"/>
  <c r="AF57" i="58" s="1"/>
  <c r="AG57" i="58" s="1"/>
  <c r="AH57" i="58" s="1"/>
  <c r="AI57" i="58" s="1"/>
  <c r="AB57" i="58"/>
  <c r="AC56" i="58"/>
  <c r="AD56" i="58" s="1"/>
  <c r="AE56" i="58" s="1"/>
  <c r="AF56" i="58" s="1"/>
  <c r="AG56" i="58" s="1"/>
  <c r="AH56" i="58" s="1"/>
  <c r="AI56" i="58" s="1"/>
  <c r="AJ56" i="58" s="1"/>
  <c r="AB56" i="58"/>
  <c r="AB55" i="58"/>
  <c r="AC55" i="58" s="1"/>
  <c r="AD55" i="58" s="1"/>
  <c r="AE55" i="58" s="1"/>
  <c r="AF55" i="58" s="1"/>
  <c r="AG55" i="58" s="1"/>
  <c r="AH55" i="58" s="1"/>
  <c r="AI55" i="58" s="1"/>
  <c r="AJ55" i="58" s="1"/>
  <c r="AC54" i="58"/>
  <c r="AD54" i="58" s="1"/>
  <c r="AE54" i="58" s="1"/>
  <c r="AF54" i="58" s="1"/>
  <c r="AG54" i="58" s="1"/>
  <c r="AH54" i="58" s="1"/>
  <c r="AI54" i="58" s="1"/>
  <c r="AJ54" i="58" s="1"/>
  <c r="AB54" i="58"/>
  <c r="AC53" i="58"/>
  <c r="AD53" i="58" s="1"/>
  <c r="AE53" i="58" s="1"/>
  <c r="AF53" i="58" s="1"/>
  <c r="AG53" i="58" s="1"/>
  <c r="AH53" i="58" s="1"/>
  <c r="AI53" i="58" s="1"/>
  <c r="AJ53" i="58" s="1"/>
  <c r="AB53" i="58"/>
  <c r="AC52" i="58"/>
  <c r="AD52" i="58" s="1"/>
  <c r="AE52" i="58" s="1"/>
  <c r="AF52" i="58" s="1"/>
  <c r="AG52" i="58" s="1"/>
  <c r="AH52" i="58" s="1"/>
  <c r="AI52" i="58" s="1"/>
  <c r="AJ52" i="58" s="1"/>
  <c r="AB52" i="58"/>
  <c r="AC51" i="58"/>
  <c r="AD51" i="58" s="1"/>
  <c r="AE51" i="58" s="1"/>
  <c r="AF51" i="58" s="1"/>
  <c r="AG51" i="58" s="1"/>
  <c r="AH51" i="58" s="1"/>
  <c r="AI51" i="58" s="1"/>
  <c r="AJ51" i="58" s="1"/>
  <c r="AB51" i="58"/>
  <c r="AC50" i="58"/>
  <c r="AD50" i="58" s="1"/>
  <c r="AE50" i="58" s="1"/>
  <c r="AF50" i="58" s="1"/>
  <c r="AG50" i="58" s="1"/>
  <c r="AH50" i="58" s="1"/>
  <c r="AI50" i="58" s="1"/>
  <c r="AB50" i="58"/>
  <c r="AB49" i="58"/>
  <c r="AC49" i="58" s="1"/>
  <c r="AD49" i="58" s="1"/>
  <c r="AE49" i="58" s="1"/>
  <c r="AF49" i="58" s="1"/>
  <c r="AG49" i="58" s="1"/>
  <c r="AH49" i="58" s="1"/>
  <c r="AI49" i="58" s="1"/>
  <c r="AJ49" i="58" s="1"/>
  <c r="AB48" i="58"/>
  <c r="AC48" i="58" s="1"/>
  <c r="AD48" i="58" s="1"/>
  <c r="AE48" i="58" s="1"/>
  <c r="AF48" i="58" s="1"/>
  <c r="AG48" i="58" s="1"/>
  <c r="AH48" i="58" s="1"/>
  <c r="AI48" i="58" s="1"/>
  <c r="AB61" i="58"/>
  <c r="U61" i="58"/>
  <c r="U58" i="58"/>
  <c r="V58" i="58" s="1"/>
  <c r="U55" i="58"/>
  <c r="V52" i="58"/>
  <c r="U52" i="58"/>
  <c r="V49" i="58"/>
  <c r="W49" i="58" s="1"/>
  <c r="X49" i="58" s="1"/>
  <c r="Y49" i="58" s="1"/>
  <c r="Z49" i="58" s="1"/>
  <c r="AA49" i="58" s="1"/>
  <c r="U49" i="58"/>
  <c r="AC47" i="58"/>
  <c r="AD47" i="58" s="1"/>
  <c r="AE47" i="58" s="1"/>
  <c r="AF47" i="58" s="1"/>
  <c r="AG47" i="58" s="1"/>
  <c r="AH47" i="58" s="1"/>
  <c r="AI47" i="58" s="1"/>
  <c r="AB47" i="58"/>
  <c r="V46" i="58"/>
  <c r="W46" i="58" s="1"/>
  <c r="X46" i="58" s="1"/>
  <c r="Y46" i="58" s="1"/>
  <c r="Z46" i="58" s="1"/>
  <c r="AA46" i="58" s="1"/>
  <c r="AB46" i="58" s="1"/>
  <c r="AC46" i="58" s="1"/>
  <c r="AD46" i="58" s="1"/>
  <c r="AE46" i="58" s="1"/>
  <c r="AG46" i="58" s="1"/>
  <c r="AH46" i="58" s="1"/>
  <c r="AI46" i="58" s="1"/>
  <c r="G33" i="64" l="1"/>
  <c r="G24" i="64" s="1"/>
  <c r="G44" i="64"/>
  <c r="V73" i="58"/>
  <c r="V76" i="58" s="1"/>
  <c r="V73" i="59"/>
  <c r="V76" i="59" s="1"/>
  <c r="V73" i="57"/>
  <c r="V76" i="57" s="1"/>
  <c r="N23" i="1"/>
  <c r="A11" i="68"/>
  <c r="W58" i="58"/>
  <c r="V55" i="58"/>
  <c r="V61" i="58"/>
  <c r="W52" i="58"/>
  <c r="W61" i="58" l="1"/>
  <c r="X58" i="58"/>
  <c r="W55" i="58"/>
  <c r="X52" i="58"/>
  <c r="X55" i="58" l="1"/>
  <c r="X61" i="58"/>
  <c r="Y52" i="58"/>
  <c r="Y58" i="58"/>
  <c r="Y61" i="58" l="1"/>
  <c r="Z58" i="58"/>
  <c r="AA58" i="58" s="1"/>
  <c r="Z52" i="58"/>
  <c r="AA52" i="58" s="1"/>
  <c r="Y55" i="58"/>
  <c r="Z55" i="58" l="1"/>
  <c r="AA55" i="58" s="1"/>
  <c r="Z61" i="58"/>
  <c r="F13" i="1" l="1"/>
  <c r="C26" i="1"/>
  <c r="C18" i="64" s="1"/>
  <c r="C25" i="1"/>
  <c r="C17" i="64" s="1"/>
  <c r="C24" i="1"/>
  <c r="C16" i="64" s="1"/>
  <c r="C23" i="1"/>
  <c r="AD49" i="57"/>
  <c r="AE49" i="57" s="1"/>
  <c r="AF49" i="57" s="1"/>
  <c r="AG49" i="57" s="1"/>
  <c r="AH49" i="57" s="1"/>
  <c r="AI49" i="57" s="1"/>
  <c r="AJ49" i="57" s="1"/>
  <c r="AC48" i="57"/>
  <c r="AC50" i="57"/>
  <c r="AD50" i="57" s="1"/>
  <c r="AE50" i="57" s="1"/>
  <c r="AF50" i="57" s="1"/>
  <c r="AG50" i="57" s="1"/>
  <c r="AH50" i="57" s="1"/>
  <c r="AI50" i="57" s="1"/>
  <c r="AJ50" i="57" s="1"/>
  <c r="AC52" i="57"/>
  <c r="AC53" i="57"/>
  <c r="AC54" i="57"/>
  <c r="AD54" i="57" s="1"/>
  <c r="AE54" i="57" s="1"/>
  <c r="AF54" i="57" s="1"/>
  <c r="AG54" i="57" s="1"/>
  <c r="AH54" i="57" s="1"/>
  <c r="AI54" i="57" s="1"/>
  <c r="AC55" i="57"/>
  <c r="AC56" i="57"/>
  <c r="AC57" i="57"/>
  <c r="AC58" i="57"/>
  <c r="AD58" i="57" s="1"/>
  <c r="AE58" i="57" s="1"/>
  <c r="AF58" i="57" s="1"/>
  <c r="AG58" i="57" s="1"/>
  <c r="AH58" i="57" s="1"/>
  <c r="AI58" i="57" s="1"/>
  <c r="AJ58" i="57" s="1"/>
  <c r="AC51" i="57"/>
  <c r="AC59" i="57"/>
  <c r="AD51" i="57"/>
  <c r="AE51" i="57" s="1"/>
  <c r="AF51" i="57" s="1"/>
  <c r="AG51" i="57" s="1"/>
  <c r="AH51" i="57" s="1"/>
  <c r="AI51" i="57" s="1"/>
  <c r="AJ51" i="57" s="1"/>
  <c r="AD52" i="57"/>
  <c r="AE52" i="57" s="1"/>
  <c r="AF52" i="57" s="1"/>
  <c r="AG52" i="57" s="1"/>
  <c r="AH52" i="57" s="1"/>
  <c r="AI52" i="57" s="1"/>
  <c r="AJ52" i="57" s="1"/>
  <c r="AD53" i="57"/>
  <c r="AE53" i="57" s="1"/>
  <c r="AF53" i="57" s="1"/>
  <c r="AG53" i="57" s="1"/>
  <c r="AH53" i="57" s="1"/>
  <c r="AI53" i="57" s="1"/>
  <c r="AJ53" i="57" s="1"/>
  <c r="AD55" i="57"/>
  <c r="AE55" i="57" s="1"/>
  <c r="AF55" i="57" s="1"/>
  <c r="AG55" i="57" s="1"/>
  <c r="AH55" i="57" s="1"/>
  <c r="AI55" i="57" s="1"/>
  <c r="AJ55" i="57" s="1"/>
  <c r="AD56" i="57"/>
  <c r="AE56" i="57" s="1"/>
  <c r="AF56" i="57" s="1"/>
  <c r="AG56" i="57" s="1"/>
  <c r="AH56" i="57" s="1"/>
  <c r="AI56" i="57" s="1"/>
  <c r="AJ56" i="57" s="1"/>
  <c r="AD57" i="57"/>
  <c r="AE57" i="57" s="1"/>
  <c r="AF57" i="57" s="1"/>
  <c r="AG57" i="57" s="1"/>
  <c r="AH57" i="57" s="1"/>
  <c r="AI57" i="57" s="1"/>
  <c r="AJ57" i="57" s="1"/>
  <c r="AB55" i="57"/>
  <c r="AB54" i="57"/>
  <c r="AB53" i="57"/>
  <c r="AB52" i="57"/>
  <c r="AB51" i="57"/>
  <c r="AB50" i="57"/>
  <c r="AB49" i="57"/>
  <c r="AB56" i="57"/>
  <c r="AB57" i="57"/>
  <c r="AB58" i="57"/>
  <c r="AB59" i="57"/>
  <c r="W59" i="57"/>
  <c r="X59" i="57" s="1"/>
  <c r="Y59" i="57" s="1"/>
  <c r="Z59" i="57" s="1"/>
  <c r="AA59" i="57" s="1"/>
  <c r="V59" i="57"/>
  <c r="W56" i="57"/>
  <c r="X56" i="57"/>
  <c r="Y56" i="57" s="1"/>
  <c r="Z56" i="57" s="1"/>
  <c r="AA56" i="57" s="1"/>
  <c r="V56" i="57"/>
  <c r="V52" i="57"/>
  <c r="W52" i="57"/>
  <c r="X52" i="57" s="1"/>
  <c r="Y52" i="57" s="1"/>
  <c r="Z52" i="57" s="1"/>
  <c r="AA52" i="57" s="1"/>
  <c r="U52" i="57"/>
  <c r="C14" i="68" l="1"/>
  <c r="B14" i="68"/>
  <c r="C15" i="64"/>
  <c r="D14" i="68"/>
  <c r="F8" i="64"/>
  <c r="H26" i="1"/>
  <c r="AD59" i="57"/>
  <c r="AE59" i="57" s="1"/>
  <c r="AF59" i="57" s="1"/>
  <c r="AH59" i="57" s="1"/>
  <c r="AI59" i="57" s="1"/>
  <c r="AJ59" i="57" s="1"/>
  <c r="AG48" i="57" l="1"/>
  <c r="AH48" i="57" s="1"/>
  <c r="AI48" i="57" s="1"/>
  <c r="Y48" i="57"/>
  <c r="Z48" i="57" s="1"/>
  <c r="AA48" i="57" s="1"/>
  <c r="AB48" i="57" s="1"/>
  <c r="AD48" i="57" s="1"/>
  <c r="AE48" i="57" s="1"/>
  <c r="V48" i="57"/>
  <c r="W48" i="57"/>
  <c r="U48" i="57"/>
  <c r="AG47" i="57"/>
  <c r="AH47" i="57" s="1"/>
  <c r="AI47" i="57" s="1"/>
  <c r="Y47" i="57"/>
  <c r="Z47" i="57" s="1"/>
  <c r="AA47" i="57" s="1"/>
  <c r="AB47" i="57" s="1"/>
  <c r="AD47" i="57" s="1"/>
  <c r="AE47" i="57" s="1"/>
  <c r="V47" i="57"/>
  <c r="W47" i="57" s="1"/>
  <c r="X47" i="57" s="1"/>
  <c r="U47" i="57"/>
  <c r="AH46" i="57"/>
  <c r="AI46" i="57"/>
  <c r="AG46" i="57"/>
  <c r="Y46" i="57"/>
  <c r="Z46" i="57" s="1"/>
  <c r="AA46" i="57" s="1"/>
  <c r="AB46" i="57" s="1"/>
  <c r="AD46" i="57" s="1"/>
  <c r="AE46" i="57" s="1"/>
  <c r="V46" i="57"/>
  <c r="W46" i="57" s="1"/>
  <c r="X46" i="57" s="1"/>
  <c r="U46" i="57"/>
  <c r="S73" i="56" l="1"/>
  <c r="H83" i="46" l="1"/>
  <c r="V25" i="56"/>
  <c r="V24" i="56"/>
  <c r="V23" i="56"/>
  <c r="V22" i="56"/>
  <c r="V21" i="56"/>
  <c r="V20" i="56"/>
  <c r="H88" i="55"/>
  <c r="H87" i="55"/>
  <c r="H86" i="55"/>
  <c r="H85" i="55"/>
  <c r="H84" i="55"/>
  <c r="H83" i="55"/>
  <c r="H88" i="54"/>
  <c r="H87" i="54"/>
  <c r="H86" i="54"/>
  <c r="H85" i="54"/>
  <c r="H84" i="54"/>
  <c r="H83" i="54"/>
  <c r="H88" i="53"/>
  <c r="H87" i="53"/>
  <c r="H86" i="53"/>
  <c r="H85" i="53"/>
  <c r="H84" i="53"/>
  <c r="H83" i="53"/>
  <c r="H88" i="52"/>
  <c r="H87" i="52"/>
  <c r="H86" i="52"/>
  <c r="H85" i="52"/>
  <c r="H84" i="52"/>
  <c r="H83" i="52"/>
  <c r="H88" i="46"/>
  <c r="H87" i="46"/>
  <c r="H86" i="46"/>
  <c r="H85" i="46"/>
  <c r="H84" i="46"/>
  <c r="B4" i="64"/>
  <c r="B5" i="64"/>
  <c r="B6" i="64"/>
  <c r="B7" i="64"/>
  <c r="B8" i="64"/>
  <c r="B9" i="64"/>
  <c r="A4" i="64"/>
  <c r="A5" i="64"/>
  <c r="A6" i="64"/>
  <c r="A7" i="64"/>
  <c r="A8" i="64"/>
  <c r="A9" i="64"/>
  <c r="B3" i="64"/>
  <c r="A3" i="64"/>
  <c r="E9" i="64" l="1"/>
  <c r="E10" i="64"/>
  <c r="E7" i="64"/>
  <c r="E6" i="64"/>
  <c r="F5" i="64"/>
  <c r="E3" i="64"/>
  <c r="E4" i="64"/>
  <c r="F21" i="64" l="1"/>
  <c r="G13" i="56" s="1"/>
  <c r="E2" i="6"/>
  <c r="C2" i="6" s="1"/>
  <c r="E1" i="6"/>
  <c r="C1" i="6" s="1"/>
  <c r="H15" i="6"/>
  <c r="E20" i="6"/>
  <c r="C20" i="6"/>
  <c r="K26" i="56" l="1"/>
  <c r="K27" i="56"/>
  <c r="P75" i="56"/>
  <c r="S74" i="56" s="1"/>
  <c r="S82" i="56"/>
  <c r="G13" i="60"/>
  <c r="G13" i="59"/>
  <c r="G13" i="58"/>
  <c r="G13" i="57"/>
  <c r="B20" i="6"/>
  <c r="C6" i="55"/>
  <c r="C6" i="54"/>
  <c r="C6" i="46"/>
  <c r="C13" i="1"/>
  <c r="C8" i="64" s="1"/>
  <c r="B37" i="1"/>
  <c r="C37" i="1"/>
  <c r="K26" i="57" l="1"/>
  <c r="K27" i="57"/>
  <c r="K27" i="58"/>
  <c r="K26" i="58"/>
  <c r="K27" i="59"/>
  <c r="K26" i="59"/>
  <c r="K27" i="60"/>
  <c r="K26" i="60"/>
  <c r="K28" i="56"/>
  <c r="K30" i="56" s="1"/>
  <c r="P75" i="60"/>
  <c r="S82" i="60"/>
  <c r="S83" i="60" s="1"/>
  <c r="P75" i="58"/>
  <c r="S82" i="58"/>
  <c r="S83" i="58" s="1"/>
  <c r="P75" i="57"/>
  <c r="S82" i="57"/>
  <c r="S83" i="57" s="1"/>
  <c r="S82" i="59"/>
  <c r="S83" i="59" s="1"/>
  <c r="P75" i="59"/>
  <c r="S76" i="56"/>
  <c r="K28" i="60" l="1"/>
  <c r="K30" i="60" s="1"/>
  <c r="P22" i="60" s="1"/>
  <c r="P5" i="60" s="1"/>
  <c r="K28" i="59"/>
  <c r="K30" i="59" s="1"/>
  <c r="W20" i="59" s="1"/>
  <c r="K28" i="57"/>
  <c r="K30" i="57" s="1"/>
  <c r="W20" i="57" s="1"/>
  <c r="K28" i="58"/>
  <c r="K30" i="58" s="1"/>
  <c r="P22" i="58" s="1"/>
  <c r="P5" i="58" s="1"/>
  <c r="S74" i="59"/>
  <c r="S76" i="59" s="1"/>
  <c r="AB75" i="59" s="1"/>
  <c r="P76" i="59"/>
  <c r="S74" i="58"/>
  <c r="S76" i="58" s="1"/>
  <c r="AB75" i="58" s="1"/>
  <c r="P76" i="58"/>
  <c r="P76" i="57"/>
  <c r="S74" i="57"/>
  <c r="S76" i="57" s="1"/>
  <c r="AB75" i="57" s="1"/>
  <c r="S74" i="60"/>
  <c r="S76" i="60" s="1"/>
  <c r="AB75" i="60" s="1"/>
  <c r="P76" i="60"/>
  <c r="P22" i="56"/>
  <c r="P5" i="56" s="1"/>
  <c r="W20" i="56"/>
  <c r="O8" i="2"/>
  <c r="D27" i="63"/>
  <c r="D28" i="63"/>
  <c r="D29" i="63"/>
  <c r="D30" i="63"/>
  <c r="D44" i="63"/>
  <c r="D43" i="63"/>
  <c r="D42" i="63"/>
  <c r="D41" i="63"/>
  <c r="D40" i="63"/>
  <c r="D31" i="63"/>
  <c r="D15" i="63"/>
  <c r="D16" i="63"/>
  <c r="D17" i="63"/>
  <c r="D18" i="63"/>
  <c r="D19" i="63"/>
  <c r="D14" i="63"/>
  <c r="W20" i="60" l="1"/>
  <c r="W23" i="60" s="1"/>
  <c r="P22" i="59"/>
  <c r="P5" i="59" s="1"/>
  <c r="P22" i="57"/>
  <c r="P5" i="57" s="1"/>
  <c r="W20" i="58"/>
  <c r="W23" i="58" s="1"/>
  <c r="P24" i="58"/>
  <c r="P6" i="58" s="1"/>
  <c r="P26" i="60"/>
  <c r="P7" i="60" s="1"/>
  <c r="P26" i="58"/>
  <c r="P7" i="58" s="1"/>
  <c r="P24" i="60"/>
  <c r="P6" i="60" s="1"/>
  <c r="W23" i="59"/>
  <c r="W22" i="59"/>
  <c r="W23" i="57"/>
  <c r="W22" i="57"/>
  <c r="P26" i="56"/>
  <c r="C4" i="62"/>
  <c r="L43" i="62" s="1"/>
  <c r="C4" i="63"/>
  <c r="W22" i="60" l="1"/>
  <c r="L26" i="62"/>
  <c r="K3" i="62"/>
  <c r="P8" i="2" s="1"/>
  <c r="W22" i="58"/>
  <c r="P26" i="59"/>
  <c r="P7" i="59" s="1"/>
  <c r="P24" i="59"/>
  <c r="P6" i="59" s="1"/>
  <c r="P26" i="57"/>
  <c r="P7" i="57" s="1"/>
  <c r="P24" i="57"/>
  <c r="P6" i="57" s="1"/>
  <c r="P27" i="58"/>
  <c r="P8" i="58" s="1"/>
  <c r="P27" i="60"/>
  <c r="P8" i="60" s="1"/>
  <c r="P28" i="60"/>
  <c r="P9" i="60" s="1"/>
  <c r="P28" i="58"/>
  <c r="P9" i="58" s="1"/>
  <c r="W24" i="59"/>
  <c r="W25" i="59"/>
  <c r="W25" i="60"/>
  <c r="W24" i="60"/>
  <c r="W25" i="57"/>
  <c r="W24" i="57"/>
  <c r="W24" i="58"/>
  <c r="W25" i="58"/>
  <c r="P28" i="56"/>
  <c r="P9" i="56" s="1"/>
  <c r="P7" i="56"/>
  <c r="P27" i="56"/>
  <c r="P8" i="56" s="1"/>
  <c r="A48" i="63"/>
  <c r="K4" i="63" s="1"/>
  <c r="K35" i="63"/>
  <c r="K6" i="63" s="1"/>
  <c r="K23" i="63"/>
  <c r="K5" i="63" s="1"/>
  <c r="A23" i="63"/>
  <c r="K2" i="63" s="1"/>
  <c r="K48" i="63"/>
  <c r="K7" i="63" s="1"/>
  <c r="A35" i="63"/>
  <c r="K3" i="63" s="1"/>
  <c r="K4" i="62"/>
  <c r="K5" i="62"/>
  <c r="U48" i="63"/>
  <c r="K10" i="63" s="1"/>
  <c r="U35" i="63"/>
  <c r="K9" i="63" s="1"/>
  <c r="U23" i="63"/>
  <c r="K8" i="63" s="1"/>
  <c r="D19" i="62"/>
  <c r="D18" i="62"/>
  <c r="D17" i="62"/>
  <c r="D16" i="62"/>
  <c r="D15" i="62"/>
  <c r="D14" i="62"/>
  <c r="D13" i="62"/>
  <c r="D12" i="62"/>
  <c r="D11" i="62"/>
  <c r="D10" i="62"/>
  <c r="D9" i="62"/>
  <c r="D36" i="62"/>
  <c r="D35" i="62"/>
  <c r="D27" i="62"/>
  <c r="D28" i="62"/>
  <c r="D29" i="62"/>
  <c r="D30" i="62"/>
  <c r="D31" i="62"/>
  <c r="D32" i="62"/>
  <c r="D33" i="62"/>
  <c r="D34" i="62"/>
  <c r="D26" i="62"/>
  <c r="P27" i="59" l="1"/>
  <c r="P8" i="59" s="1"/>
  <c r="P27" i="57"/>
  <c r="P8" i="57" s="1"/>
  <c r="P28" i="59"/>
  <c r="P9" i="59" s="1"/>
  <c r="P28" i="57"/>
  <c r="P9" i="57" s="1"/>
  <c r="V9" i="52"/>
  <c r="V9" i="60"/>
  <c r="V9" i="59"/>
  <c r="V9" i="58"/>
  <c r="V9" i="57"/>
  <c r="V9" i="56"/>
  <c r="V9" i="55"/>
  <c r="V9" i="54"/>
  <c r="V9" i="53"/>
  <c r="V9" i="46"/>
  <c r="V8" i="46"/>
  <c r="O12" i="2"/>
  <c r="O11" i="2"/>
  <c r="O10" i="2"/>
  <c r="V8" i="60"/>
  <c r="V7" i="60"/>
  <c r="V8" i="59"/>
  <c r="V7" i="59"/>
  <c r="V8" i="58"/>
  <c r="V7" i="58"/>
  <c r="V8" i="57"/>
  <c r="V7" i="57"/>
  <c r="V8" i="56"/>
  <c r="V7" i="56"/>
  <c r="V8" i="55"/>
  <c r="V7" i="55"/>
  <c r="V8" i="54"/>
  <c r="V7" i="54"/>
  <c r="V8" i="53"/>
  <c r="V7" i="53"/>
  <c r="V7" i="52"/>
  <c r="V8" i="52"/>
  <c r="V7" i="46"/>
  <c r="V44" i="60" l="1"/>
  <c r="W44" i="60" s="1"/>
  <c r="X44" i="60" s="1"/>
  <c r="Y44" i="60" s="1"/>
  <c r="Z44" i="60" s="1"/>
  <c r="AA44" i="60" s="1"/>
  <c r="AB44" i="60" s="1"/>
  <c r="AC44" i="60" s="1"/>
  <c r="AD44" i="60" s="1"/>
  <c r="AE44" i="60" s="1"/>
  <c r="AF44" i="60" s="1"/>
  <c r="AG44" i="60" s="1"/>
  <c r="AH44" i="60" s="1"/>
  <c r="AI44" i="60" s="1"/>
  <c r="AJ44" i="60" s="1"/>
  <c r="S44" i="60"/>
  <c r="T44" i="60" s="1"/>
  <c r="U44" i="60" s="1"/>
  <c r="O12" i="60"/>
  <c r="O11" i="60"/>
  <c r="O10" i="60"/>
  <c r="O9" i="60"/>
  <c r="O8" i="60"/>
  <c r="O7" i="60"/>
  <c r="V6" i="60"/>
  <c r="O6" i="60"/>
  <c r="V5" i="60"/>
  <c r="O5" i="60"/>
  <c r="O4" i="60"/>
  <c r="C56" i="60"/>
  <c r="C44" i="60"/>
  <c r="V44" i="59"/>
  <c r="W44" i="59" s="1"/>
  <c r="X44" i="59" s="1"/>
  <c r="Y44" i="59" s="1"/>
  <c r="Z44" i="59" s="1"/>
  <c r="AA44" i="59" s="1"/>
  <c r="AB44" i="59" s="1"/>
  <c r="AC44" i="59" s="1"/>
  <c r="AD44" i="59" s="1"/>
  <c r="AE44" i="59" s="1"/>
  <c r="AF44" i="59" s="1"/>
  <c r="AG44" i="59" s="1"/>
  <c r="AH44" i="59" s="1"/>
  <c r="AI44" i="59" s="1"/>
  <c r="AJ44" i="59" s="1"/>
  <c r="S44" i="59"/>
  <c r="T44" i="59" s="1"/>
  <c r="U44" i="59" s="1"/>
  <c r="O12" i="59"/>
  <c r="O11" i="59"/>
  <c r="O10" i="59"/>
  <c r="O9" i="59"/>
  <c r="O8" i="59"/>
  <c r="O7" i="59"/>
  <c r="V6" i="59"/>
  <c r="O6" i="59"/>
  <c r="V5" i="59"/>
  <c r="O5" i="59"/>
  <c r="O4" i="59"/>
  <c r="C56" i="59"/>
  <c r="C44" i="59"/>
  <c r="S44" i="58"/>
  <c r="T44" i="58" s="1"/>
  <c r="U44" i="58" s="1"/>
  <c r="V44" i="58" s="1"/>
  <c r="W44" i="58" s="1"/>
  <c r="X44" i="58" s="1"/>
  <c r="Y44" i="58" s="1"/>
  <c r="Z44" i="58" s="1"/>
  <c r="AA44" i="58" s="1"/>
  <c r="AB44" i="58" s="1"/>
  <c r="AC44" i="58" s="1"/>
  <c r="AD44" i="58" s="1"/>
  <c r="AE44" i="58" s="1"/>
  <c r="AF44" i="58" s="1"/>
  <c r="AG44" i="58" s="1"/>
  <c r="AH44" i="58" s="1"/>
  <c r="AI44" i="58" s="1"/>
  <c r="AJ44" i="58" s="1"/>
  <c r="O12" i="58"/>
  <c r="O11" i="58"/>
  <c r="O10" i="58"/>
  <c r="O9" i="58"/>
  <c r="O8" i="58"/>
  <c r="O7" i="58"/>
  <c r="V6" i="58"/>
  <c r="O6" i="58"/>
  <c r="V5" i="58"/>
  <c r="O5" i="58"/>
  <c r="O4" i="58"/>
  <c r="C56" i="58"/>
  <c r="C44" i="58"/>
  <c r="W44" i="57"/>
  <c r="X44" i="57" s="1"/>
  <c r="Y44" i="57" s="1"/>
  <c r="Z44" i="57" s="1"/>
  <c r="AA44" i="57" s="1"/>
  <c r="AB44" i="57" s="1"/>
  <c r="AC44" i="57" s="1"/>
  <c r="AD44" i="57" s="1"/>
  <c r="AE44" i="57" s="1"/>
  <c r="AF44" i="57" s="1"/>
  <c r="AG44" i="57" s="1"/>
  <c r="AH44" i="57" s="1"/>
  <c r="AI44" i="57" s="1"/>
  <c r="AJ44" i="57" s="1"/>
  <c r="V44" i="57"/>
  <c r="S44" i="57"/>
  <c r="T44" i="57" s="1"/>
  <c r="U44" i="57" s="1"/>
  <c r="O12" i="57"/>
  <c r="O11" i="57"/>
  <c r="O10" i="57"/>
  <c r="O9" i="57"/>
  <c r="O8" i="57"/>
  <c r="O7" i="57"/>
  <c r="V6" i="57"/>
  <c r="O6" i="57"/>
  <c r="V5" i="57"/>
  <c r="O5" i="57"/>
  <c r="O4" i="57"/>
  <c r="C56" i="57"/>
  <c r="S44" i="56"/>
  <c r="T44" i="56" s="1"/>
  <c r="U44" i="56" s="1"/>
  <c r="V44" i="56" s="1"/>
  <c r="W44" i="56" s="1"/>
  <c r="X44" i="56" s="1"/>
  <c r="Y44" i="56" s="1"/>
  <c r="Z44" i="56" s="1"/>
  <c r="AA44" i="56" s="1"/>
  <c r="AB44" i="56" s="1"/>
  <c r="AC44" i="56" s="1"/>
  <c r="AD44" i="56" s="1"/>
  <c r="AE44" i="56" s="1"/>
  <c r="AF44" i="56" s="1"/>
  <c r="AG44" i="56" s="1"/>
  <c r="AH44" i="56" s="1"/>
  <c r="AI44" i="56" s="1"/>
  <c r="AJ44" i="56" s="1"/>
  <c r="O12" i="56"/>
  <c r="O11" i="56"/>
  <c r="O10" i="56"/>
  <c r="O9" i="56"/>
  <c r="O8" i="56"/>
  <c r="O7" i="56"/>
  <c r="V6" i="56"/>
  <c r="O6" i="56"/>
  <c r="V5" i="56"/>
  <c r="O5" i="56"/>
  <c r="O4" i="56"/>
  <c r="C56" i="56"/>
  <c r="C11" i="1"/>
  <c r="C6" i="64" s="1"/>
  <c r="C44" i="56" l="1"/>
  <c r="D50" i="56" s="1"/>
  <c r="D51" i="56" s="1"/>
  <c r="AM48" i="56" s="1"/>
  <c r="U73" i="56"/>
  <c r="V73" i="56" s="1"/>
  <c r="V76" i="56" s="1"/>
  <c r="AB77" i="56" s="1"/>
  <c r="D62" i="58"/>
  <c r="D63" i="58" s="1"/>
  <c r="AN52" i="58"/>
  <c r="D62" i="59"/>
  <c r="D63" i="59" s="1"/>
  <c r="AN52" i="59"/>
  <c r="D62" i="60"/>
  <c r="D63" i="60" s="1"/>
  <c r="AN52" i="60"/>
  <c r="AN52" i="57"/>
  <c r="D62" i="57"/>
  <c r="D63" i="57" s="1"/>
  <c r="AM53" i="57" s="1"/>
  <c r="U73" i="60"/>
  <c r="AB73" i="57"/>
  <c r="AL48" i="57"/>
  <c r="AB74" i="57"/>
  <c r="AB73" i="59"/>
  <c r="AL53" i="59"/>
  <c r="AB74" i="59"/>
  <c r="AL48" i="59"/>
  <c r="AB74" i="58"/>
  <c r="AL48" i="58"/>
  <c r="AL53" i="58"/>
  <c r="AB73" i="58"/>
  <c r="AL53" i="60"/>
  <c r="AB73" i="60"/>
  <c r="AL48" i="60"/>
  <c r="AB74" i="60"/>
  <c r="P74" i="56"/>
  <c r="P76" i="56" s="1"/>
  <c r="AB73" i="56" s="1"/>
  <c r="W9" i="56"/>
  <c r="W9" i="60"/>
  <c r="W9" i="59"/>
  <c r="W9" i="57"/>
  <c r="W9" i="58"/>
  <c r="I9" i="56"/>
  <c r="I10" i="56" s="1"/>
  <c r="I9" i="57"/>
  <c r="I10" i="57" s="1"/>
  <c r="I9" i="59"/>
  <c r="I10" i="59" s="1"/>
  <c r="I9" i="60"/>
  <c r="I10" i="60" s="1"/>
  <c r="I9" i="58"/>
  <c r="I10" i="58" s="1"/>
  <c r="W5" i="59"/>
  <c r="W5" i="60"/>
  <c r="W5" i="56"/>
  <c r="W21" i="56"/>
  <c r="W5" i="57"/>
  <c r="W5" i="58"/>
  <c r="W6" i="59"/>
  <c r="W6" i="60"/>
  <c r="F9" i="57"/>
  <c r="F10" i="57" s="1"/>
  <c r="W6" i="57"/>
  <c r="F9" i="58"/>
  <c r="F10" i="58" s="1"/>
  <c r="W6" i="58"/>
  <c r="F9" i="56"/>
  <c r="F10" i="56" s="1"/>
  <c r="W6" i="56"/>
  <c r="S81" i="56"/>
  <c r="S83" i="56" s="1"/>
  <c r="C9" i="56"/>
  <c r="C10" i="56" s="1"/>
  <c r="P81" i="56"/>
  <c r="P83" i="56" s="1"/>
  <c r="AB74" i="56" s="1"/>
  <c r="C9" i="58"/>
  <c r="C10" i="58" s="1"/>
  <c r="C9" i="59"/>
  <c r="C10" i="59" s="1"/>
  <c r="C9" i="57"/>
  <c r="C10" i="57" s="1"/>
  <c r="C9" i="60"/>
  <c r="C10" i="60" s="1"/>
  <c r="F9" i="59"/>
  <c r="F10" i="59" s="1"/>
  <c r="F9" i="60"/>
  <c r="F10" i="60" s="1"/>
  <c r="IT40" i="55"/>
  <c r="IQ40" i="55"/>
  <c r="IQ39" i="55"/>
  <c r="IQ38" i="55"/>
  <c r="IQ37" i="55"/>
  <c r="IQ36" i="55"/>
  <c r="IT35" i="55"/>
  <c r="IQ35" i="55"/>
  <c r="IQ34" i="55"/>
  <c r="IQ33" i="55"/>
  <c r="IQ32" i="55"/>
  <c r="IQ31" i="55"/>
  <c r="IT30" i="55"/>
  <c r="IQ30" i="55"/>
  <c r="IQ29" i="55"/>
  <c r="IQ28" i="55"/>
  <c r="IQ27" i="55"/>
  <c r="IQ26" i="55"/>
  <c r="IT25" i="55"/>
  <c r="IQ25" i="55"/>
  <c r="IQ24" i="55"/>
  <c r="IQ23" i="55"/>
  <c r="IQ22" i="55"/>
  <c r="O62" i="55"/>
  <c r="O63" i="55" s="1"/>
  <c r="O64" i="55" s="1"/>
  <c r="O65" i="55" s="1"/>
  <c r="O51" i="55"/>
  <c r="O52" i="55" s="1"/>
  <c r="O53" i="55" s="1"/>
  <c r="O54" i="55" s="1"/>
  <c r="O55" i="55" s="1"/>
  <c r="O56" i="55" s="1"/>
  <c r="O57" i="55" s="1"/>
  <c r="O58" i="55" s="1"/>
  <c r="O59" i="55" s="1"/>
  <c r="O60" i="55" s="1"/>
  <c r="O61" i="55" s="1"/>
  <c r="O48" i="55"/>
  <c r="O49" i="55" s="1"/>
  <c r="O50" i="55" s="1"/>
  <c r="O46" i="55"/>
  <c r="U44" i="55"/>
  <c r="V44" i="55" s="1"/>
  <c r="W44" i="55" s="1"/>
  <c r="X44" i="55" s="1"/>
  <c r="Y44" i="55" s="1"/>
  <c r="Z44" i="55" s="1"/>
  <c r="AA44" i="55" s="1"/>
  <c r="AB44" i="55" s="1"/>
  <c r="AC44" i="55" s="1"/>
  <c r="AD44" i="55" s="1"/>
  <c r="AE44" i="55" s="1"/>
  <c r="AF44" i="55" s="1"/>
  <c r="AG44" i="55" s="1"/>
  <c r="AH44" i="55" s="1"/>
  <c r="AI44" i="55" s="1"/>
  <c r="AJ44" i="55" s="1"/>
  <c r="S44" i="55"/>
  <c r="T44" i="55" s="1"/>
  <c r="FK40" i="55"/>
  <c r="FI40" i="55"/>
  <c r="FG40" i="55"/>
  <c r="FL40" i="55" s="1"/>
  <c r="FB40" i="55"/>
  <c r="FA40" i="55"/>
  <c r="EY40" i="55"/>
  <c r="EW40" i="55"/>
  <c r="EQ40" i="55"/>
  <c r="EO40" i="55"/>
  <c r="EM40" i="55"/>
  <c r="EG40" i="55"/>
  <c r="EE40" i="55"/>
  <c r="EH40" i="55" s="1"/>
  <c r="EC40" i="55"/>
  <c r="DW40" i="55"/>
  <c r="DU40" i="55"/>
  <c r="DS40" i="55"/>
  <c r="DX40" i="55" s="1"/>
  <c r="DM40" i="55"/>
  <c r="DK40" i="55"/>
  <c r="DI40" i="55"/>
  <c r="DN40" i="55" s="1"/>
  <c r="DC40" i="55"/>
  <c r="DA40" i="55"/>
  <c r="CY40" i="55"/>
  <c r="CS40" i="55"/>
  <c r="CQ40" i="55"/>
  <c r="CO40" i="55"/>
  <c r="CI40" i="55"/>
  <c r="CG40" i="55"/>
  <c r="CE40" i="55"/>
  <c r="BY40" i="55"/>
  <c r="BW40" i="55"/>
  <c r="BU40" i="55"/>
  <c r="BZ40" i="55" s="1"/>
  <c r="BO40" i="55"/>
  <c r="BM40" i="55"/>
  <c r="BK40" i="55"/>
  <c r="BE40" i="55"/>
  <c r="BC40" i="55"/>
  <c r="BA40" i="55"/>
  <c r="FK39" i="55"/>
  <c r="FI39" i="55"/>
  <c r="FG39" i="55"/>
  <c r="FA39" i="55"/>
  <c r="EY39" i="55"/>
  <c r="FB39" i="55" s="1"/>
  <c r="EW39" i="55"/>
  <c r="EQ39" i="55"/>
  <c r="EO39" i="55"/>
  <c r="EM39" i="55"/>
  <c r="ER39" i="55" s="1"/>
  <c r="EG39" i="55"/>
  <c r="EE39" i="55"/>
  <c r="EC39" i="55"/>
  <c r="EH39" i="55" s="1"/>
  <c r="DW39" i="55"/>
  <c r="DU39" i="55"/>
  <c r="DS39" i="55"/>
  <c r="DM39" i="55"/>
  <c r="DK39" i="55"/>
  <c r="DI39" i="55"/>
  <c r="DC39" i="55"/>
  <c r="DA39" i="55"/>
  <c r="CY39" i="55"/>
  <c r="CS39" i="55"/>
  <c r="CQ39" i="55"/>
  <c r="CO39" i="55"/>
  <c r="CT39" i="55" s="1"/>
  <c r="CI39" i="55"/>
  <c r="CG39" i="55"/>
  <c r="CE39" i="55"/>
  <c r="BY39" i="55"/>
  <c r="BW39" i="55"/>
  <c r="BU39" i="55"/>
  <c r="BQ39" i="55"/>
  <c r="BH39" i="55" s="1"/>
  <c r="BI39" i="55" s="1"/>
  <c r="BO39" i="55"/>
  <c r="BM39" i="55"/>
  <c r="BK39" i="55"/>
  <c r="BP39" i="55" s="1"/>
  <c r="BF39" i="55"/>
  <c r="BE39" i="55"/>
  <c r="BC39" i="55"/>
  <c r="BA39" i="55"/>
  <c r="BG39" i="55" s="1"/>
  <c r="AX39" i="55" s="1"/>
  <c r="AY39" i="55"/>
  <c r="FK38" i="55"/>
  <c r="FI38" i="55"/>
  <c r="FG38" i="55"/>
  <c r="FL38" i="55" s="1"/>
  <c r="FB38" i="55"/>
  <c r="FA38" i="55"/>
  <c r="EY38" i="55"/>
  <c r="EW38" i="55"/>
  <c r="EQ38" i="55"/>
  <c r="EO38" i="55"/>
  <c r="EM38" i="55"/>
  <c r="EG38" i="55"/>
  <c r="EE38" i="55"/>
  <c r="EH38" i="55" s="1"/>
  <c r="EC38" i="55"/>
  <c r="DW38" i="55"/>
  <c r="DU38" i="55"/>
  <c r="DS38" i="55"/>
  <c r="DX38" i="55" s="1"/>
  <c r="DM38" i="55"/>
  <c r="DK38" i="55"/>
  <c r="DI38" i="55"/>
  <c r="DN38" i="55" s="1"/>
  <c r="DC38" i="55"/>
  <c r="DA38" i="55"/>
  <c r="CY38" i="55"/>
  <c r="CS38" i="55"/>
  <c r="CQ38" i="55"/>
  <c r="CO38" i="55"/>
  <c r="CI38" i="55"/>
  <c r="CG38" i="55"/>
  <c r="CE38" i="55"/>
  <c r="BY38" i="55"/>
  <c r="BW38" i="55"/>
  <c r="BU38" i="55"/>
  <c r="BZ38" i="55" s="1"/>
  <c r="BO38" i="55"/>
  <c r="BM38" i="55"/>
  <c r="BK38" i="55"/>
  <c r="BE38" i="55"/>
  <c r="BC38" i="55"/>
  <c r="BA38" i="55"/>
  <c r="BG38" i="55" s="1"/>
  <c r="AX38" i="55" s="1"/>
  <c r="AY38" i="55" s="1"/>
  <c r="FK37" i="55"/>
  <c r="FI37" i="55"/>
  <c r="FG37" i="55"/>
  <c r="FA37" i="55"/>
  <c r="EY37" i="55"/>
  <c r="FB37" i="55" s="1"/>
  <c r="EW37" i="55"/>
  <c r="EQ37" i="55"/>
  <c r="EO37" i="55"/>
  <c r="EM37" i="55"/>
  <c r="ER37" i="55" s="1"/>
  <c r="EG37" i="55"/>
  <c r="EE37" i="55"/>
  <c r="EC37" i="55"/>
  <c r="EH37" i="55" s="1"/>
  <c r="DW37" i="55"/>
  <c r="DU37" i="55"/>
  <c r="DS37" i="55"/>
  <c r="DM37" i="55"/>
  <c r="DK37" i="55"/>
  <c r="DI37" i="55"/>
  <c r="DC37" i="55"/>
  <c r="DA37" i="55"/>
  <c r="CY37" i="55"/>
  <c r="CS37" i="55"/>
  <c r="CQ37" i="55"/>
  <c r="CO37" i="55"/>
  <c r="CT37" i="55" s="1"/>
  <c r="CI37" i="55"/>
  <c r="CG37" i="55"/>
  <c r="CE37" i="55"/>
  <c r="BY37" i="55"/>
  <c r="BW37" i="55"/>
  <c r="BU37" i="55"/>
  <c r="BO37" i="55"/>
  <c r="BM37" i="55"/>
  <c r="BK37" i="55"/>
  <c r="BE37" i="55"/>
  <c r="BF37" i="55" s="1"/>
  <c r="BC37" i="55"/>
  <c r="BA37" i="55"/>
  <c r="FK36" i="55"/>
  <c r="FI36" i="55"/>
  <c r="FL36" i="55" s="1"/>
  <c r="FG36" i="55"/>
  <c r="FA36" i="55"/>
  <c r="EY36" i="55"/>
  <c r="EW36" i="55"/>
  <c r="FB36" i="55" s="1"/>
  <c r="EQ36" i="55"/>
  <c r="EO36" i="55"/>
  <c r="EM36" i="55"/>
  <c r="ER36" i="55" s="1"/>
  <c r="EG36" i="55"/>
  <c r="EE36" i="55"/>
  <c r="EC36" i="55"/>
  <c r="EH36" i="55" s="1"/>
  <c r="DW36" i="55"/>
  <c r="DU36" i="55"/>
  <c r="DS36" i="55"/>
  <c r="DM36" i="55"/>
  <c r="DK36" i="55"/>
  <c r="DI36" i="55"/>
  <c r="DC36" i="55"/>
  <c r="DA36" i="55"/>
  <c r="CY36" i="55"/>
  <c r="DD36" i="55" s="1"/>
  <c r="CS36" i="55"/>
  <c r="CQ36" i="55"/>
  <c r="CO36" i="55"/>
  <c r="CT36" i="55" s="1"/>
  <c r="CI36" i="55"/>
  <c r="CG36" i="55"/>
  <c r="CE36" i="55"/>
  <c r="BY36" i="55"/>
  <c r="BW36" i="55"/>
  <c r="BU36" i="55"/>
  <c r="BO36" i="55"/>
  <c r="BQ36" i="55" s="1"/>
  <c r="BH36" i="55" s="1"/>
  <c r="BI36" i="55" s="1"/>
  <c r="BM36" i="55"/>
  <c r="BK36" i="55"/>
  <c r="BE36" i="55"/>
  <c r="BF36" i="55" s="1"/>
  <c r="BC36" i="55"/>
  <c r="BA36" i="55"/>
  <c r="FK35" i="55"/>
  <c r="FI35" i="55"/>
  <c r="FG35" i="55"/>
  <c r="FA35" i="55"/>
  <c r="EY35" i="55"/>
  <c r="EW35" i="55"/>
  <c r="EQ35" i="55"/>
  <c r="EO35" i="55"/>
  <c r="EM35" i="55"/>
  <c r="ER35" i="55" s="1"/>
  <c r="EG35" i="55"/>
  <c r="EE35" i="55"/>
  <c r="EC35" i="55"/>
  <c r="DW35" i="55"/>
  <c r="DU35" i="55"/>
  <c r="DS35" i="55"/>
  <c r="DM35" i="55"/>
  <c r="DK35" i="55"/>
  <c r="DI35" i="55"/>
  <c r="DC35" i="55"/>
  <c r="DD35" i="55" s="1"/>
  <c r="DA35" i="55"/>
  <c r="CY35" i="55"/>
  <c r="CS35" i="55"/>
  <c r="CQ35" i="55"/>
  <c r="CO35" i="55"/>
  <c r="CI35" i="55"/>
  <c r="CG35" i="55"/>
  <c r="CE35" i="55"/>
  <c r="BY35" i="55"/>
  <c r="BW35" i="55"/>
  <c r="BU35" i="55"/>
  <c r="BP35" i="55"/>
  <c r="BO35" i="55"/>
  <c r="BM35" i="55"/>
  <c r="BK35" i="55"/>
  <c r="BE35" i="55"/>
  <c r="BC35" i="55"/>
  <c r="BA35" i="55"/>
  <c r="FK34" i="55"/>
  <c r="FI34" i="55"/>
  <c r="FG34" i="55"/>
  <c r="FA34" i="55"/>
  <c r="EY34" i="55"/>
  <c r="EW34" i="55"/>
  <c r="FB34" i="55" s="1"/>
  <c r="EQ34" i="55"/>
  <c r="EO34" i="55"/>
  <c r="EM34" i="55"/>
  <c r="ER34" i="55" s="1"/>
  <c r="EG34" i="55"/>
  <c r="EE34" i="55"/>
  <c r="EC34" i="55"/>
  <c r="DW34" i="55"/>
  <c r="DU34" i="55"/>
  <c r="DS34" i="55"/>
  <c r="DM34" i="55"/>
  <c r="DN34" i="55" s="1"/>
  <c r="DK34" i="55"/>
  <c r="DI34" i="55"/>
  <c r="DC34" i="55"/>
  <c r="DA34" i="55"/>
  <c r="CY34" i="55"/>
  <c r="CS34" i="55"/>
  <c r="CQ34" i="55"/>
  <c r="CO34" i="55"/>
  <c r="CI34" i="55"/>
  <c r="CG34" i="55"/>
  <c r="CE34" i="55"/>
  <c r="BZ34" i="55"/>
  <c r="BY34" i="55"/>
  <c r="BW34" i="55"/>
  <c r="BU34" i="55"/>
  <c r="BO34" i="55"/>
  <c r="BM34" i="55"/>
  <c r="BK34" i="55"/>
  <c r="BE34" i="55"/>
  <c r="BC34" i="55"/>
  <c r="BF34" i="55" s="1"/>
  <c r="BA34" i="55"/>
  <c r="FK33" i="55"/>
  <c r="FI33" i="55"/>
  <c r="FG33" i="55"/>
  <c r="FA33" i="55"/>
  <c r="EY33" i="55"/>
  <c r="EW33" i="55"/>
  <c r="ER33" i="55"/>
  <c r="EQ33" i="55"/>
  <c r="EO33" i="55"/>
  <c r="EM33" i="55"/>
  <c r="EG33" i="55"/>
  <c r="EE33" i="55"/>
  <c r="EC33" i="55"/>
  <c r="DW33" i="55"/>
  <c r="DU33" i="55"/>
  <c r="DX33" i="55" s="1"/>
  <c r="DS33" i="55"/>
  <c r="DM33" i="55"/>
  <c r="DK33" i="55"/>
  <c r="DI33" i="55"/>
  <c r="DC33" i="55"/>
  <c r="DA33" i="55"/>
  <c r="CY33" i="55"/>
  <c r="DD33" i="55" s="1"/>
  <c r="CS33" i="55"/>
  <c r="CQ33" i="55"/>
  <c r="CO33" i="55"/>
  <c r="CT33" i="55" s="1"/>
  <c r="CI33" i="55"/>
  <c r="CG33" i="55"/>
  <c r="CE33" i="55"/>
  <c r="BY33" i="55"/>
  <c r="BW33" i="55"/>
  <c r="BU33" i="55"/>
  <c r="BO33" i="55"/>
  <c r="BM33" i="55"/>
  <c r="BK33" i="55"/>
  <c r="BP33" i="55" s="1"/>
  <c r="BE33" i="55"/>
  <c r="BC33" i="55"/>
  <c r="BA33" i="55"/>
  <c r="BG33" i="55" s="1"/>
  <c r="AX33" i="55" s="1"/>
  <c r="AY33" i="55" s="1"/>
  <c r="IM32" i="55"/>
  <c r="IK32" i="55"/>
  <c r="II32" i="55"/>
  <c r="IC32" i="55"/>
  <c r="IA32" i="55"/>
  <c r="HY32" i="55"/>
  <c r="ID32" i="55" s="1"/>
  <c r="HS32" i="55"/>
  <c r="HQ32" i="55"/>
  <c r="HO32" i="55"/>
  <c r="HT32" i="55" s="1"/>
  <c r="HI32" i="55"/>
  <c r="HG32" i="55"/>
  <c r="HE32" i="55"/>
  <c r="GY32" i="55"/>
  <c r="GW32" i="55"/>
  <c r="GU32" i="55"/>
  <c r="GO32" i="55"/>
  <c r="GP32" i="55" s="1"/>
  <c r="GM32" i="55"/>
  <c r="GK32" i="55"/>
  <c r="GE32" i="55"/>
  <c r="GC32" i="55"/>
  <c r="GA32" i="55"/>
  <c r="FU32" i="55"/>
  <c r="FS32" i="55"/>
  <c r="FQ32" i="55"/>
  <c r="FK32" i="55"/>
  <c r="FI32" i="55"/>
  <c r="FG32" i="55"/>
  <c r="FB32" i="55"/>
  <c r="FA32" i="55"/>
  <c r="EY32" i="55"/>
  <c r="EW32" i="55"/>
  <c r="EQ32" i="55"/>
  <c r="EO32" i="55"/>
  <c r="EM32" i="55"/>
  <c r="EG32" i="55"/>
  <c r="EE32" i="55"/>
  <c r="EH32" i="55" s="1"/>
  <c r="EC32" i="55"/>
  <c r="DW32" i="55"/>
  <c r="DU32" i="55"/>
  <c r="DS32" i="55"/>
  <c r="DM32" i="55"/>
  <c r="DK32" i="55"/>
  <c r="DI32" i="55"/>
  <c r="DN32" i="55" s="1"/>
  <c r="DC32" i="55"/>
  <c r="DA32" i="55"/>
  <c r="CY32" i="55"/>
  <c r="CS32" i="55"/>
  <c r="CQ32" i="55"/>
  <c r="CO32" i="55"/>
  <c r="CI32" i="55"/>
  <c r="CJ32" i="55" s="1"/>
  <c r="CG32" i="55"/>
  <c r="CE32" i="55"/>
  <c r="BY32" i="55"/>
  <c r="BW32" i="55"/>
  <c r="BU32" i="55"/>
  <c r="BO32" i="55"/>
  <c r="BM32" i="55"/>
  <c r="BK32" i="55"/>
  <c r="BQ32" i="55" s="1"/>
  <c r="BH32" i="55" s="1"/>
  <c r="BE32" i="55"/>
  <c r="BC32" i="55"/>
  <c r="BA32" i="55"/>
  <c r="IM31" i="55"/>
  <c r="IK31" i="55"/>
  <c r="II31" i="55"/>
  <c r="IC31" i="55"/>
  <c r="IA31" i="55"/>
  <c r="ID31" i="55" s="1"/>
  <c r="HY31" i="55"/>
  <c r="HS31" i="55"/>
  <c r="HQ31" i="55"/>
  <c r="HO31" i="55"/>
  <c r="HT31" i="55" s="1"/>
  <c r="HI31" i="55"/>
  <c r="HG31" i="55"/>
  <c r="HE31" i="55"/>
  <c r="HJ31" i="55" s="1"/>
  <c r="GY31" i="55"/>
  <c r="GW31" i="55"/>
  <c r="GU31" i="55"/>
  <c r="GZ31" i="55" s="1"/>
  <c r="GO31" i="55"/>
  <c r="GM31" i="55"/>
  <c r="GK31" i="55"/>
  <c r="GE31" i="55"/>
  <c r="GC31" i="55"/>
  <c r="GA31" i="55"/>
  <c r="FU31" i="55"/>
  <c r="FS31" i="55"/>
  <c r="FQ31" i="55"/>
  <c r="FV31" i="55" s="1"/>
  <c r="FK31" i="55"/>
  <c r="FI31" i="55"/>
  <c r="FG31" i="55"/>
  <c r="FL31" i="55" s="1"/>
  <c r="FA31" i="55"/>
  <c r="EY31" i="55"/>
  <c r="EW31" i="55"/>
  <c r="EQ31" i="55"/>
  <c r="EO31" i="55"/>
  <c r="EM31" i="55"/>
  <c r="EG31" i="55"/>
  <c r="EH31" i="55" s="1"/>
  <c r="EE31" i="55"/>
  <c r="EC31" i="55"/>
  <c r="DW31" i="55"/>
  <c r="DU31" i="55"/>
  <c r="DS31" i="55"/>
  <c r="DM31" i="55"/>
  <c r="DK31" i="55"/>
  <c r="DI31" i="55"/>
  <c r="DC31" i="55"/>
  <c r="DA31" i="55"/>
  <c r="CY31" i="55"/>
  <c r="DD31" i="55" s="1"/>
  <c r="CT31" i="55"/>
  <c r="CS31" i="55"/>
  <c r="CQ31" i="55"/>
  <c r="CO31" i="55"/>
  <c r="CI31" i="55"/>
  <c r="CG31" i="55"/>
  <c r="CE31" i="55"/>
  <c r="BY31" i="55"/>
  <c r="BW31" i="55"/>
  <c r="BZ31" i="55" s="1"/>
  <c r="BU31" i="55"/>
  <c r="BO31" i="55"/>
  <c r="BM31" i="55"/>
  <c r="BK31" i="55"/>
  <c r="BE31" i="55"/>
  <c r="BC31" i="55"/>
  <c r="BA31" i="55"/>
  <c r="BG31" i="55" s="1"/>
  <c r="AX31" i="55" s="1"/>
  <c r="AY31" i="55" s="1"/>
  <c r="IM30" i="55"/>
  <c r="IK30" i="55"/>
  <c r="II30" i="55"/>
  <c r="IC30" i="55"/>
  <c r="IA30" i="55"/>
  <c r="HY30" i="55"/>
  <c r="HS30" i="55"/>
  <c r="HT30" i="55" s="1"/>
  <c r="HQ30" i="55"/>
  <c r="HO30" i="55"/>
  <c r="HI30" i="55"/>
  <c r="HG30" i="55"/>
  <c r="HE30" i="55"/>
  <c r="GY30" i="55"/>
  <c r="GW30" i="55"/>
  <c r="GU30" i="55"/>
  <c r="GO30" i="55"/>
  <c r="GM30" i="55"/>
  <c r="GK30" i="55"/>
  <c r="GP30" i="55" s="1"/>
  <c r="GF30" i="55"/>
  <c r="GE30" i="55"/>
  <c r="GC30" i="55"/>
  <c r="GA30" i="55"/>
  <c r="FU30" i="55"/>
  <c r="FS30" i="55"/>
  <c r="FQ30" i="55"/>
  <c r="FK30" i="55"/>
  <c r="FI30" i="55"/>
  <c r="FL30" i="55" s="1"/>
  <c r="FG30" i="55"/>
  <c r="FA30" i="55"/>
  <c r="EY30" i="55"/>
  <c r="EW30" i="55"/>
  <c r="FB30" i="55" s="1"/>
  <c r="EQ30" i="55"/>
  <c r="EO30" i="55"/>
  <c r="EM30" i="55"/>
  <c r="ER30" i="55" s="1"/>
  <c r="EG30" i="55"/>
  <c r="EE30" i="55"/>
  <c r="EC30" i="55"/>
  <c r="DW30" i="55"/>
  <c r="DU30" i="55"/>
  <c r="DS30" i="55"/>
  <c r="DM30" i="55"/>
  <c r="DK30" i="55"/>
  <c r="DI30" i="55"/>
  <c r="DC30" i="55"/>
  <c r="DA30" i="55"/>
  <c r="CY30" i="55"/>
  <c r="DD30" i="55" s="1"/>
  <c r="CS30" i="55"/>
  <c r="CQ30" i="55"/>
  <c r="CO30" i="55"/>
  <c r="CI30" i="55"/>
  <c r="CG30" i="55"/>
  <c r="CE30" i="55"/>
  <c r="BY30" i="55"/>
  <c r="BW30" i="55"/>
  <c r="BU30" i="55"/>
  <c r="BO30" i="55"/>
  <c r="BP30" i="55" s="1"/>
  <c r="BM30" i="55"/>
  <c r="BK30" i="55"/>
  <c r="BE30" i="55"/>
  <c r="BC30" i="55"/>
  <c r="BA30" i="55"/>
  <c r="IM29" i="55"/>
  <c r="IK29" i="55"/>
  <c r="II29" i="55"/>
  <c r="IN29" i="55" s="1"/>
  <c r="IC29" i="55"/>
  <c r="IA29" i="55"/>
  <c r="HY29" i="55"/>
  <c r="ID29" i="55" s="1"/>
  <c r="HS29" i="55"/>
  <c r="HQ29" i="55"/>
  <c r="HO29" i="55"/>
  <c r="HJ29" i="55"/>
  <c r="HI29" i="55"/>
  <c r="HG29" i="55"/>
  <c r="HE29" i="55"/>
  <c r="GY29" i="55"/>
  <c r="GW29" i="55"/>
  <c r="GU29" i="55"/>
  <c r="GO29" i="55"/>
  <c r="GM29" i="55"/>
  <c r="GP29" i="55" s="1"/>
  <c r="GK29" i="55"/>
  <c r="GE29" i="55"/>
  <c r="GC29" i="55"/>
  <c r="GA29" i="55"/>
  <c r="GF29" i="55" s="1"/>
  <c r="FU29" i="55"/>
  <c r="FS29" i="55"/>
  <c r="FQ29" i="55"/>
  <c r="FK29" i="55"/>
  <c r="FI29" i="55"/>
  <c r="FG29" i="55"/>
  <c r="FA29" i="55"/>
  <c r="EY29" i="55"/>
  <c r="FB29" i="55" s="1"/>
  <c r="EW29" i="55"/>
  <c r="EQ29" i="55"/>
  <c r="EO29" i="55"/>
  <c r="EM29" i="55"/>
  <c r="ER29" i="55" s="1"/>
  <c r="EG29" i="55"/>
  <c r="EE29" i="55"/>
  <c r="EC29" i="55"/>
  <c r="EH29" i="55" s="1"/>
  <c r="DX29" i="55"/>
  <c r="DW29" i="55"/>
  <c r="DU29" i="55"/>
  <c r="DS29" i="55"/>
  <c r="DM29" i="55"/>
  <c r="DK29" i="55"/>
  <c r="DI29" i="55"/>
  <c r="DC29" i="55"/>
  <c r="DA29" i="55"/>
  <c r="CY29" i="55"/>
  <c r="CS29" i="55"/>
  <c r="CQ29" i="55"/>
  <c r="CO29" i="55"/>
  <c r="CT29" i="55" s="1"/>
  <c r="CI29" i="55"/>
  <c r="CG29" i="55"/>
  <c r="CE29" i="55"/>
  <c r="CJ29" i="55" s="1"/>
  <c r="BY29" i="55"/>
  <c r="BW29" i="55"/>
  <c r="BU29" i="55"/>
  <c r="BO29" i="55"/>
  <c r="BM29" i="55"/>
  <c r="BK29" i="55"/>
  <c r="BE29" i="55"/>
  <c r="BG29" i="55" s="1"/>
  <c r="AX29" i="55" s="1"/>
  <c r="AY29" i="55" s="1"/>
  <c r="BC29" i="55"/>
  <c r="BA29" i="55"/>
  <c r="IM28" i="55"/>
  <c r="IN28" i="55" s="1"/>
  <c r="IK28" i="55"/>
  <c r="II28" i="55"/>
  <c r="IC28" i="55"/>
  <c r="IA28" i="55"/>
  <c r="HY28" i="55"/>
  <c r="HS28" i="55"/>
  <c r="HQ28" i="55"/>
  <c r="HO28" i="55"/>
  <c r="HI28" i="55"/>
  <c r="HG28" i="55"/>
  <c r="HE28" i="55"/>
  <c r="HJ28" i="55" s="1"/>
  <c r="GZ28" i="55"/>
  <c r="GY28" i="55"/>
  <c r="GW28" i="55"/>
  <c r="GU28" i="55"/>
  <c r="GO28" i="55"/>
  <c r="GM28" i="55"/>
  <c r="GK28" i="55"/>
  <c r="GE28" i="55"/>
  <c r="GC28" i="55"/>
  <c r="GA28" i="55"/>
  <c r="FU28" i="55"/>
  <c r="FS28" i="55"/>
  <c r="FQ28" i="55"/>
  <c r="FV28" i="55" s="1"/>
  <c r="FK28" i="55"/>
  <c r="FI28" i="55"/>
  <c r="FG28" i="55"/>
  <c r="FL28" i="55" s="1"/>
  <c r="FA28" i="55"/>
  <c r="EY28" i="55"/>
  <c r="EW28" i="55"/>
  <c r="EQ28" i="55"/>
  <c r="EO28" i="55"/>
  <c r="EM28" i="55"/>
  <c r="EG28" i="55"/>
  <c r="EE28" i="55"/>
  <c r="EC28" i="55"/>
  <c r="DW28" i="55"/>
  <c r="DU28" i="55"/>
  <c r="DS28" i="55"/>
  <c r="DX28" i="55" s="1"/>
  <c r="DM28" i="55"/>
  <c r="DK28" i="55"/>
  <c r="DI28" i="55"/>
  <c r="DC28" i="55"/>
  <c r="DA28" i="55"/>
  <c r="CY28" i="55"/>
  <c r="CS28" i="55"/>
  <c r="CQ28" i="55"/>
  <c r="CO28" i="55"/>
  <c r="CI28" i="55"/>
  <c r="CJ28" i="55" s="1"/>
  <c r="CG28" i="55"/>
  <c r="CE28" i="55"/>
  <c r="BY28" i="55"/>
  <c r="BW28" i="55"/>
  <c r="BU28" i="55"/>
  <c r="BO28" i="55"/>
  <c r="BM28" i="55"/>
  <c r="BK28" i="55"/>
  <c r="BE28" i="55"/>
  <c r="BC28" i="55"/>
  <c r="BA28" i="55"/>
  <c r="BF28" i="55" s="1"/>
  <c r="IM27" i="55"/>
  <c r="IK27" i="55"/>
  <c r="II27" i="55"/>
  <c r="IN27" i="55" s="1"/>
  <c r="IC27" i="55"/>
  <c r="IA27" i="55"/>
  <c r="HY27" i="55"/>
  <c r="HS27" i="55"/>
  <c r="HQ27" i="55"/>
  <c r="HO27" i="55"/>
  <c r="HI27" i="55"/>
  <c r="HG27" i="55"/>
  <c r="HE27" i="55"/>
  <c r="GY27" i="55"/>
  <c r="GW27" i="55"/>
  <c r="GU27" i="55"/>
  <c r="GZ27" i="55" s="1"/>
  <c r="GO27" i="55"/>
  <c r="GM27" i="55"/>
  <c r="GK27" i="55"/>
  <c r="GE27" i="55"/>
  <c r="GC27" i="55"/>
  <c r="GA27" i="55"/>
  <c r="FU27" i="55"/>
  <c r="FS27" i="55"/>
  <c r="FQ27" i="55"/>
  <c r="FK27" i="55"/>
  <c r="FL27" i="55" s="1"/>
  <c r="FI27" i="55"/>
  <c r="FG27" i="55"/>
  <c r="FA27" i="55"/>
  <c r="EY27" i="55"/>
  <c r="EW27" i="55"/>
  <c r="EQ27" i="55"/>
  <c r="EO27" i="55"/>
  <c r="EM27" i="55"/>
  <c r="EG27" i="55"/>
  <c r="EE27" i="55"/>
  <c r="EC27" i="55"/>
  <c r="EH27" i="55" s="1"/>
  <c r="DX27" i="55"/>
  <c r="DW27" i="55"/>
  <c r="DU27" i="55"/>
  <c r="DS27" i="55"/>
  <c r="DM27" i="55"/>
  <c r="DK27" i="55"/>
  <c r="DI27" i="55"/>
  <c r="DC27" i="55"/>
  <c r="DA27" i="55"/>
  <c r="CY27" i="55"/>
  <c r="CS27" i="55"/>
  <c r="CQ27" i="55"/>
  <c r="CO27" i="55"/>
  <c r="CT27" i="55" s="1"/>
  <c r="CI27" i="55"/>
  <c r="CG27" i="55"/>
  <c r="CE27" i="55"/>
  <c r="CJ27" i="55" s="1"/>
  <c r="BY27" i="55"/>
  <c r="BW27" i="55"/>
  <c r="BU27" i="55"/>
  <c r="BO27" i="55"/>
  <c r="BM27" i="55"/>
  <c r="BK27" i="55"/>
  <c r="BE27" i="55"/>
  <c r="BC27" i="55"/>
  <c r="BA27" i="55"/>
  <c r="IM26" i="55"/>
  <c r="IK26" i="55"/>
  <c r="II26" i="55"/>
  <c r="IN26" i="55" s="1"/>
  <c r="IC26" i="55"/>
  <c r="IA26" i="55"/>
  <c r="HY26" i="55"/>
  <c r="ID26" i="55" s="1"/>
  <c r="HS26" i="55"/>
  <c r="HQ26" i="55"/>
  <c r="HO26" i="55"/>
  <c r="HT26" i="55" s="1"/>
  <c r="HI26" i="55"/>
  <c r="HG26" i="55"/>
  <c r="HE26" i="55"/>
  <c r="GY26" i="55"/>
  <c r="GZ26" i="55" s="1"/>
  <c r="GW26" i="55"/>
  <c r="GU26" i="55"/>
  <c r="GO26" i="55"/>
  <c r="GM26" i="55"/>
  <c r="GK26" i="55"/>
  <c r="GE26" i="55"/>
  <c r="GC26" i="55"/>
  <c r="GA26" i="55"/>
  <c r="GF26" i="55" s="1"/>
  <c r="FU26" i="55"/>
  <c r="FS26" i="55"/>
  <c r="FQ26" i="55"/>
  <c r="FV26" i="55" s="1"/>
  <c r="FL26" i="55"/>
  <c r="FK26" i="55"/>
  <c r="FI26" i="55"/>
  <c r="FG26" i="55"/>
  <c r="FA26" i="55"/>
  <c r="EY26" i="55"/>
  <c r="EW26" i="55"/>
  <c r="EQ26" i="55"/>
  <c r="EO26" i="55"/>
  <c r="EM26" i="55"/>
  <c r="EG26" i="55"/>
  <c r="EE26" i="55"/>
  <c r="EC26" i="55"/>
  <c r="EH26" i="55" s="1"/>
  <c r="DW26" i="55"/>
  <c r="DU26" i="55"/>
  <c r="DS26" i="55"/>
  <c r="DX26" i="55" s="1"/>
  <c r="DM26" i="55"/>
  <c r="DK26" i="55"/>
  <c r="DI26" i="55"/>
  <c r="DN26" i="55" s="1"/>
  <c r="DC26" i="55"/>
  <c r="DA26" i="55"/>
  <c r="CY26" i="55"/>
  <c r="CS26" i="55"/>
  <c r="CQ26" i="55"/>
  <c r="CO26" i="55"/>
  <c r="CI26" i="55"/>
  <c r="CG26" i="55"/>
  <c r="CE26" i="55"/>
  <c r="CJ26" i="55" s="1"/>
  <c r="BY26" i="55"/>
  <c r="BW26" i="55"/>
  <c r="BU26" i="55"/>
  <c r="BZ26" i="55" s="1"/>
  <c r="BO26" i="55"/>
  <c r="BM26" i="55"/>
  <c r="BK26" i="55"/>
  <c r="BQ26" i="55" s="1"/>
  <c r="BH26" i="55" s="1"/>
  <c r="BI26" i="55" s="1"/>
  <c r="BE26" i="55"/>
  <c r="BC26" i="55"/>
  <c r="BA26" i="55"/>
  <c r="IM25" i="55"/>
  <c r="IN25" i="55" s="1"/>
  <c r="IK25" i="55"/>
  <c r="II25" i="55"/>
  <c r="IC25" i="55"/>
  <c r="IA25" i="55"/>
  <c r="HY25" i="55"/>
  <c r="HS25" i="55"/>
  <c r="HQ25" i="55"/>
  <c r="HO25" i="55"/>
  <c r="HT25" i="55" s="1"/>
  <c r="HI25" i="55"/>
  <c r="HG25" i="55"/>
  <c r="HE25" i="55"/>
  <c r="HJ25" i="55" s="1"/>
  <c r="GZ25" i="55"/>
  <c r="GY25" i="55"/>
  <c r="GW25" i="55"/>
  <c r="GU25" i="55"/>
  <c r="GO25" i="55"/>
  <c r="GM25" i="55"/>
  <c r="GK25" i="55"/>
  <c r="GE25" i="55"/>
  <c r="GC25" i="55"/>
  <c r="GA25" i="55"/>
  <c r="FU25" i="55"/>
  <c r="FS25" i="55"/>
  <c r="FQ25" i="55"/>
  <c r="FV25" i="55" s="1"/>
  <c r="FK25" i="55"/>
  <c r="FI25" i="55"/>
  <c r="FG25" i="55"/>
  <c r="FL25" i="55" s="1"/>
  <c r="FA25" i="55"/>
  <c r="EY25" i="55"/>
  <c r="EW25" i="55"/>
  <c r="FB25" i="55" s="1"/>
  <c r="EQ25" i="55"/>
  <c r="EO25" i="55"/>
  <c r="EM25" i="55"/>
  <c r="EG25" i="55"/>
  <c r="EE25" i="55"/>
  <c r="EC25" i="55"/>
  <c r="DW25" i="55"/>
  <c r="DU25" i="55"/>
  <c r="DS25" i="55"/>
  <c r="DX25" i="55" s="1"/>
  <c r="DM25" i="55"/>
  <c r="DK25" i="55"/>
  <c r="DI25" i="55"/>
  <c r="DN25" i="55" s="1"/>
  <c r="DC25" i="55"/>
  <c r="DA25" i="55"/>
  <c r="CY25" i="55"/>
  <c r="DD25" i="55" s="1"/>
  <c r="CS25" i="55"/>
  <c r="CQ25" i="55"/>
  <c r="CO25" i="55"/>
  <c r="CI25" i="55"/>
  <c r="CJ25" i="55" s="1"/>
  <c r="CG25" i="55"/>
  <c r="CE25" i="55"/>
  <c r="BY25" i="55"/>
  <c r="BW25" i="55"/>
  <c r="BU25" i="55"/>
  <c r="BO25" i="55"/>
  <c r="BM25" i="55"/>
  <c r="BK25" i="55"/>
  <c r="BQ25" i="55" s="1"/>
  <c r="BH25" i="55" s="1"/>
  <c r="BI25" i="55" s="1"/>
  <c r="BE25" i="55"/>
  <c r="BC25" i="55"/>
  <c r="BA25" i="55"/>
  <c r="BF25" i="55" s="1"/>
  <c r="AU25" i="55"/>
  <c r="AV25" i="55" s="1"/>
  <c r="IM24" i="55"/>
  <c r="IK24" i="55"/>
  <c r="II24" i="55"/>
  <c r="IN24" i="55" s="1"/>
  <c r="IC24" i="55"/>
  <c r="IA24" i="55"/>
  <c r="HY24" i="55"/>
  <c r="HS24" i="55"/>
  <c r="HQ24" i="55"/>
  <c r="HO24" i="55"/>
  <c r="HI24" i="55"/>
  <c r="HG24" i="55"/>
  <c r="HE24" i="55"/>
  <c r="GY24" i="55"/>
  <c r="GZ24" i="55" s="1"/>
  <c r="GW24" i="55"/>
  <c r="GU24" i="55"/>
  <c r="GO24" i="55"/>
  <c r="GM24" i="55"/>
  <c r="GK24" i="55"/>
  <c r="GE24" i="55"/>
  <c r="GC24" i="55"/>
  <c r="GA24" i="55"/>
  <c r="FU24" i="55"/>
  <c r="FS24" i="55"/>
  <c r="FQ24" i="55"/>
  <c r="FV24" i="55" s="1"/>
  <c r="FL24" i="55"/>
  <c r="FK24" i="55"/>
  <c r="FI24" i="55"/>
  <c r="FG24" i="55"/>
  <c r="FA24" i="55"/>
  <c r="EY24" i="55"/>
  <c r="EW24" i="55"/>
  <c r="EQ24" i="55"/>
  <c r="EO24" i="55"/>
  <c r="EM24" i="55"/>
  <c r="EG24" i="55"/>
  <c r="EE24" i="55"/>
  <c r="EC24" i="55"/>
  <c r="EH24" i="55" s="1"/>
  <c r="DW24" i="55"/>
  <c r="DU24" i="55"/>
  <c r="DS24" i="55"/>
  <c r="DX24" i="55" s="1"/>
  <c r="DM24" i="55"/>
  <c r="DK24" i="55"/>
  <c r="DI24" i="55"/>
  <c r="DC24" i="55"/>
  <c r="DA24" i="55"/>
  <c r="CY24" i="55"/>
  <c r="CS24" i="55"/>
  <c r="CQ24" i="55"/>
  <c r="CO24" i="55"/>
  <c r="CI24" i="55"/>
  <c r="CG24" i="55"/>
  <c r="CE24" i="55"/>
  <c r="CJ24" i="55" s="1"/>
  <c r="BY24" i="55"/>
  <c r="BW24" i="55"/>
  <c r="BU24" i="55"/>
  <c r="BO24" i="55"/>
  <c r="BM24" i="55"/>
  <c r="BK24" i="55"/>
  <c r="BG24" i="55"/>
  <c r="AX24" i="55" s="1"/>
  <c r="AY24" i="55" s="1"/>
  <c r="BE24" i="55"/>
  <c r="BC24" i="55"/>
  <c r="BA24" i="55"/>
  <c r="BF24" i="55" s="1"/>
  <c r="AU24" i="55"/>
  <c r="AV24" i="55" s="1"/>
  <c r="IM23" i="55"/>
  <c r="IK23" i="55"/>
  <c r="II23" i="55"/>
  <c r="IN23" i="55" s="1"/>
  <c r="IC23" i="55"/>
  <c r="IA23" i="55"/>
  <c r="HY23" i="55"/>
  <c r="HS23" i="55"/>
  <c r="HQ23" i="55"/>
  <c r="HO23" i="55"/>
  <c r="HI23" i="55"/>
  <c r="HG23" i="55"/>
  <c r="HE23" i="55"/>
  <c r="GY23" i="55"/>
  <c r="GW23" i="55"/>
  <c r="GU23" i="55"/>
  <c r="GZ23" i="55" s="1"/>
  <c r="GO23" i="55"/>
  <c r="GM23" i="55"/>
  <c r="GK23" i="55"/>
  <c r="GE23" i="55"/>
  <c r="GC23" i="55"/>
  <c r="GA23" i="55"/>
  <c r="FU23" i="55"/>
  <c r="FS23" i="55"/>
  <c r="FQ23" i="55"/>
  <c r="FK23" i="55"/>
  <c r="FI23" i="55"/>
  <c r="FG23" i="55"/>
  <c r="FA23" i="55"/>
  <c r="EY23" i="55"/>
  <c r="EW23" i="55"/>
  <c r="FB23" i="55" s="1"/>
  <c r="EQ23" i="55"/>
  <c r="EO23" i="55"/>
  <c r="EM23" i="55"/>
  <c r="ER23" i="55" s="1"/>
  <c r="EG23" i="55"/>
  <c r="EE23" i="55"/>
  <c r="EC23" i="55"/>
  <c r="DW23" i="55"/>
  <c r="DU23" i="55"/>
  <c r="DS23" i="55"/>
  <c r="DM23" i="55"/>
  <c r="DK23" i="55"/>
  <c r="DI23" i="55"/>
  <c r="DN23" i="55" s="1"/>
  <c r="DC23" i="55"/>
  <c r="DA23" i="55"/>
  <c r="CY23" i="55"/>
  <c r="CS23" i="55"/>
  <c r="CQ23" i="55"/>
  <c r="CO23" i="55"/>
  <c r="CT23" i="55" s="1"/>
  <c r="CI23" i="55"/>
  <c r="CG23" i="55"/>
  <c r="CE23" i="55"/>
  <c r="BY23" i="55"/>
  <c r="BZ23" i="55" s="1"/>
  <c r="BW23" i="55"/>
  <c r="BU23" i="55"/>
  <c r="BO23" i="55"/>
  <c r="BM23" i="55"/>
  <c r="BK23" i="55"/>
  <c r="BE23" i="55"/>
  <c r="BC23" i="55"/>
  <c r="BA23" i="55"/>
  <c r="BG23" i="55" s="1"/>
  <c r="AX23" i="55" s="1"/>
  <c r="AY23" i="55" s="1"/>
  <c r="AV23" i="55"/>
  <c r="AU23" i="55"/>
  <c r="IM22" i="55"/>
  <c r="IK22" i="55"/>
  <c r="II22" i="55"/>
  <c r="IC22" i="55"/>
  <c r="IA22" i="55"/>
  <c r="HY22" i="55"/>
  <c r="ID22" i="55" s="1"/>
  <c r="HS22" i="55"/>
  <c r="HQ22" i="55"/>
  <c r="HO22" i="55"/>
  <c r="HI22" i="55"/>
  <c r="HG22" i="55"/>
  <c r="HE22" i="55"/>
  <c r="HJ22" i="55" s="1"/>
  <c r="GY22" i="55"/>
  <c r="GW22" i="55"/>
  <c r="GU22" i="55"/>
  <c r="GO22" i="55"/>
  <c r="GP22" i="55" s="1"/>
  <c r="GM22" i="55"/>
  <c r="GK22" i="55"/>
  <c r="GE22" i="55"/>
  <c r="GC22" i="55"/>
  <c r="GA22" i="55"/>
  <c r="FU22" i="55"/>
  <c r="FS22" i="55"/>
  <c r="FQ22" i="55"/>
  <c r="FV22" i="55" s="1"/>
  <c r="FK22" i="55"/>
  <c r="FI22" i="55"/>
  <c r="FG22" i="55"/>
  <c r="FL22" i="55" s="1"/>
  <c r="FB22" i="55"/>
  <c r="FA22" i="55"/>
  <c r="EY22" i="55"/>
  <c r="EW22" i="55"/>
  <c r="EQ22" i="55"/>
  <c r="ER22" i="55" s="1"/>
  <c r="EO22" i="55"/>
  <c r="EM22" i="55"/>
  <c r="EG22" i="55"/>
  <c r="EE22" i="55"/>
  <c r="EC22" i="55"/>
  <c r="DW22" i="55"/>
  <c r="DU22" i="55"/>
  <c r="DS22" i="55"/>
  <c r="DX22" i="55" s="1"/>
  <c r="DM22" i="55"/>
  <c r="DK22" i="55"/>
  <c r="DI22" i="55"/>
  <c r="DN22" i="55" s="1"/>
  <c r="DC22" i="55"/>
  <c r="DA22" i="55"/>
  <c r="CY22" i="55"/>
  <c r="CS22" i="55"/>
  <c r="CQ22" i="55"/>
  <c r="CO22" i="55"/>
  <c r="CI22" i="55"/>
  <c r="CG22" i="55"/>
  <c r="CE22" i="55"/>
  <c r="BY22" i="55"/>
  <c r="BW22" i="55"/>
  <c r="BU22" i="55"/>
  <c r="BZ22" i="55" s="1"/>
  <c r="BO22" i="55"/>
  <c r="BM22" i="55"/>
  <c r="BK22" i="55"/>
  <c r="BQ22" i="55" s="1"/>
  <c r="BH22" i="55" s="1"/>
  <c r="BE22" i="55"/>
  <c r="BC22" i="55"/>
  <c r="BA22" i="55"/>
  <c r="BG22" i="55" s="1"/>
  <c r="AX22" i="55" s="1"/>
  <c r="AY22" i="55" s="1"/>
  <c r="AV22" i="55"/>
  <c r="IM21" i="55"/>
  <c r="IK21" i="55"/>
  <c r="II21" i="55"/>
  <c r="IN21" i="55" s="1"/>
  <c r="IC21" i="55"/>
  <c r="IA21" i="55"/>
  <c r="HY21" i="55"/>
  <c r="HS21" i="55"/>
  <c r="HQ21" i="55"/>
  <c r="HO21" i="55"/>
  <c r="HI21" i="55"/>
  <c r="HG21" i="55"/>
  <c r="HE21" i="55"/>
  <c r="GY21" i="55"/>
  <c r="GW21" i="55"/>
  <c r="GZ21" i="55" s="1"/>
  <c r="GU21" i="55"/>
  <c r="GO21" i="55"/>
  <c r="GM21" i="55"/>
  <c r="GK21" i="55"/>
  <c r="GE21" i="55"/>
  <c r="GC21" i="55"/>
  <c r="GA21" i="55"/>
  <c r="GF21" i="55" s="1"/>
  <c r="FU21" i="55"/>
  <c r="FS21" i="55"/>
  <c r="FQ21" i="55"/>
  <c r="FK21" i="55"/>
  <c r="FL21" i="55" s="1"/>
  <c r="FI21" i="55"/>
  <c r="FG21" i="55"/>
  <c r="FA21" i="55"/>
  <c r="EY21" i="55"/>
  <c r="EW21" i="55"/>
  <c r="EQ21" i="55"/>
  <c r="EO21" i="55"/>
  <c r="EM21" i="55"/>
  <c r="ER21" i="55" s="1"/>
  <c r="EG21" i="55"/>
  <c r="EE21" i="55"/>
  <c r="EC21" i="55"/>
  <c r="EH21" i="55" s="1"/>
  <c r="DX21" i="55"/>
  <c r="DW21" i="55"/>
  <c r="DU21" i="55"/>
  <c r="DS21" i="55"/>
  <c r="DM21" i="55"/>
  <c r="DN21" i="55" s="1"/>
  <c r="DK21" i="55"/>
  <c r="DI21" i="55"/>
  <c r="DC21" i="55"/>
  <c r="DA21" i="55"/>
  <c r="CY21" i="55"/>
  <c r="CS21" i="55"/>
  <c r="CQ21" i="55"/>
  <c r="CO21" i="55"/>
  <c r="CT21" i="55" s="1"/>
  <c r="CI21" i="55"/>
  <c r="CG21" i="55"/>
  <c r="CE21" i="55"/>
  <c r="CJ21" i="55" s="1"/>
  <c r="BY21" i="55"/>
  <c r="BW21" i="55"/>
  <c r="BU21" i="55"/>
  <c r="BO21" i="55"/>
  <c r="BM21" i="55"/>
  <c r="BK21" i="55"/>
  <c r="BE21" i="55"/>
  <c r="BC21" i="55"/>
  <c r="BA21" i="55"/>
  <c r="AU21" i="55"/>
  <c r="AV21" i="55" s="1"/>
  <c r="B20" i="55"/>
  <c r="B21" i="55" s="1"/>
  <c r="B22" i="55" s="1"/>
  <c r="BR19" i="55"/>
  <c r="CA23" i="55" s="1"/>
  <c r="BR23" i="55" s="1"/>
  <c r="BI19" i="55"/>
  <c r="AY19" i="55"/>
  <c r="B18" i="55"/>
  <c r="G16" i="55"/>
  <c r="H16" i="55" s="1"/>
  <c r="I16" i="55" s="1"/>
  <c r="F16" i="55"/>
  <c r="O12" i="55"/>
  <c r="O11" i="55"/>
  <c r="O10" i="55"/>
  <c r="O9" i="55"/>
  <c r="O8" i="55"/>
  <c r="O7" i="55"/>
  <c r="C7" i="55"/>
  <c r="V6" i="55"/>
  <c r="O6" i="55"/>
  <c r="V5" i="55"/>
  <c r="O5" i="55"/>
  <c r="C5" i="55"/>
  <c r="S81" i="55" s="1"/>
  <c r="O4" i="55"/>
  <c r="C4" i="55"/>
  <c r="V81" i="55" s="1"/>
  <c r="C3" i="55"/>
  <c r="O48" i="54"/>
  <c r="O49" i="54" s="1"/>
  <c r="O50" i="54" s="1"/>
  <c r="O51" i="54" s="1"/>
  <c r="O52" i="54" s="1"/>
  <c r="O53" i="54" s="1"/>
  <c r="O54" i="54" s="1"/>
  <c r="O55" i="54" s="1"/>
  <c r="O56" i="54" s="1"/>
  <c r="O57" i="54" s="1"/>
  <c r="O58" i="54" s="1"/>
  <c r="O59" i="54" s="1"/>
  <c r="O60" i="54" s="1"/>
  <c r="O61" i="54" s="1"/>
  <c r="O62" i="54" s="1"/>
  <c r="O63" i="54" s="1"/>
  <c r="O64" i="54" s="1"/>
  <c r="O65" i="54" s="1"/>
  <c r="O46" i="54"/>
  <c r="AC44" i="54"/>
  <c r="AD44" i="54" s="1"/>
  <c r="AE44" i="54" s="1"/>
  <c r="AF44" i="54" s="1"/>
  <c r="AG44" i="54" s="1"/>
  <c r="AH44" i="54" s="1"/>
  <c r="AI44" i="54" s="1"/>
  <c r="AJ44" i="54" s="1"/>
  <c r="S44" i="54"/>
  <c r="T44" i="54" s="1"/>
  <c r="U44" i="54" s="1"/>
  <c r="V44" i="54" s="1"/>
  <c r="W44" i="54" s="1"/>
  <c r="X44" i="54" s="1"/>
  <c r="Y44" i="54" s="1"/>
  <c r="Z44" i="54" s="1"/>
  <c r="AA44" i="54" s="1"/>
  <c r="AB44" i="54" s="1"/>
  <c r="FK40" i="54"/>
  <c r="FI40" i="54"/>
  <c r="FG40" i="54"/>
  <c r="FA40" i="54"/>
  <c r="EY40" i="54"/>
  <c r="EW40" i="54"/>
  <c r="FB40" i="54" s="1"/>
  <c r="EQ40" i="54"/>
  <c r="EO40" i="54"/>
  <c r="EM40" i="54"/>
  <c r="EG40" i="54"/>
  <c r="EE40" i="54"/>
  <c r="EC40" i="54"/>
  <c r="DW40" i="54"/>
  <c r="DU40" i="54"/>
  <c r="DS40" i="54"/>
  <c r="DN40" i="54"/>
  <c r="DM40" i="54"/>
  <c r="DK40" i="54"/>
  <c r="DI40" i="54"/>
  <c r="DD40" i="54"/>
  <c r="DC40" i="54"/>
  <c r="DA40" i="54"/>
  <c r="CY40" i="54"/>
  <c r="CS40" i="54"/>
  <c r="CQ40" i="54"/>
  <c r="CO40" i="54"/>
  <c r="CI40" i="54"/>
  <c r="CG40" i="54"/>
  <c r="CE40" i="54"/>
  <c r="BY40" i="54"/>
  <c r="BW40" i="54"/>
  <c r="BU40" i="54"/>
  <c r="BZ40" i="54" s="1"/>
  <c r="BO40" i="54"/>
  <c r="BM40" i="54"/>
  <c r="BK40" i="54"/>
  <c r="BE40" i="54"/>
  <c r="BC40" i="54"/>
  <c r="BA40" i="54"/>
  <c r="BG40" i="54" s="1"/>
  <c r="AX40" i="54" s="1"/>
  <c r="AY40" i="54" s="1"/>
  <c r="FK39" i="54"/>
  <c r="FI39" i="54"/>
  <c r="FG39" i="54"/>
  <c r="FL39" i="54" s="1"/>
  <c r="FA39" i="54"/>
  <c r="EY39" i="54"/>
  <c r="EW39" i="54"/>
  <c r="EQ39" i="54"/>
  <c r="EO39" i="54"/>
  <c r="EM39" i="54"/>
  <c r="EG39" i="54"/>
  <c r="EE39" i="54"/>
  <c r="EC39" i="54"/>
  <c r="DW39" i="54"/>
  <c r="DU39" i="54"/>
  <c r="DS39" i="54"/>
  <c r="DM39" i="54"/>
  <c r="DK39" i="54"/>
  <c r="DI39" i="54"/>
  <c r="DC39" i="54"/>
  <c r="DA39" i="54"/>
  <c r="CY39" i="54"/>
  <c r="DD39" i="54" s="1"/>
  <c r="CS39" i="54"/>
  <c r="CQ39" i="54"/>
  <c r="CO39" i="54"/>
  <c r="CT39" i="54" s="1"/>
  <c r="CJ39" i="54"/>
  <c r="CI39" i="54"/>
  <c r="CG39" i="54"/>
  <c r="CE39" i="54"/>
  <c r="BY39" i="54"/>
  <c r="BW39" i="54"/>
  <c r="BU39" i="54"/>
  <c r="BO39" i="54"/>
  <c r="BP39" i="54" s="1"/>
  <c r="BM39" i="54"/>
  <c r="BK39" i="54"/>
  <c r="BE39" i="54"/>
  <c r="BC39" i="54"/>
  <c r="BA39" i="54"/>
  <c r="FK38" i="54"/>
  <c r="FI38" i="54"/>
  <c r="FG38" i="54"/>
  <c r="FA38" i="54"/>
  <c r="EY38" i="54"/>
  <c r="EW38" i="54"/>
  <c r="EQ38" i="54"/>
  <c r="EO38" i="54"/>
  <c r="EM38" i="54"/>
  <c r="EG38" i="54"/>
  <c r="EE38" i="54"/>
  <c r="EC38" i="54"/>
  <c r="DW38" i="54"/>
  <c r="DU38" i="54"/>
  <c r="DS38" i="54"/>
  <c r="DX38" i="54" s="1"/>
  <c r="DM38" i="54"/>
  <c r="DK38" i="54"/>
  <c r="DI38" i="54"/>
  <c r="DC38" i="54"/>
  <c r="DA38" i="54"/>
  <c r="CY38" i="54"/>
  <c r="CS38" i="54"/>
  <c r="CQ38" i="54"/>
  <c r="CO38" i="54"/>
  <c r="CI38" i="54"/>
  <c r="CG38" i="54"/>
  <c r="CE38" i="54"/>
  <c r="BY38" i="54"/>
  <c r="BW38" i="54"/>
  <c r="BU38" i="54"/>
  <c r="BO38" i="54"/>
  <c r="BM38" i="54"/>
  <c r="BK38" i="54"/>
  <c r="BE38" i="54"/>
  <c r="BC38" i="54"/>
  <c r="BA38" i="54"/>
  <c r="BG38" i="54" s="1"/>
  <c r="AX38" i="54" s="1"/>
  <c r="AY38" i="54" s="1"/>
  <c r="FK37" i="54"/>
  <c r="FI37" i="54"/>
  <c r="FG37" i="54"/>
  <c r="FA37" i="54"/>
  <c r="EY37" i="54"/>
  <c r="EW37" i="54"/>
  <c r="EQ37" i="54"/>
  <c r="EO37" i="54"/>
  <c r="EM37" i="54"/>
  <c r="EG37" i="54"/>
  <c r="EE37" i="54"/>
  <c r="EC37" i="54"/>
  <c r="DW37" i="54"/>
  <c r="DU37" i="54"/>
  <c r="DS37" i="54"/>
  <c r="DM37" i="54"/>
  <c r="DK37" i="54"/>
  <c r="DI37" i="54"/>
  <c r="DC37" i="54"/>
  <c r="DA37" i="54"/>
  <c r="CY37" i="54"/>
  <c r="CS37" i="54"/>
  <c r="CQ37" i="54"/>
  <c r="CT37" i="54" s="1"/>
  <c r="CO37" i="54"/>
  <c r="CI37" i="54"/>
  <c r="CG37" i="54"/>
  <c r="CE37" i="54"/>
  <c r="BY37" i="54"/>
  <c r="BW37" i="54"/>
  <c r="BU37" i="54"/>
  <c r="BZ37" i="54" s="1"/>
  <c r="BO37" i="54"/>
  <c r="BM37" i="54"/>
  <c r="BK37" i="54"/>
  <c r="BE37" i="54"/>
  <c r="BC37" i="54"/>
  <c r="BA37" i="54"/>
  <c r="FK36" i="54"/>
  <c r="FI36" i="54"/>
  <c r="FG36" i="54"/>
  <c r="FL36" i="54" s="1"/>
  <c r="FA36" i="54"/>
  <c r="EY36" i="54"/>
  <c r="EW36" i="54"/>
  <c r="FB36" i="54" s="1"/>
  <c r="EQ36" i="54"/>
  <c r="EO36" i="54"/>
  <c r="EM36" i="54"/>
  <c r="EG36" i="54"/>
  <c r="EE36" i="54"/>
  <c r="EH36" i="54" s="1"/>
  <c r="EC36" i="54"/>
  <c r="DW36" i="54"/>
  <c r="DU36" i="54"/>
  <c r="DS36" i="54"/>
  <c r="DX36" i="54" s="1"/>
  <c r="DM36" i="54"/>
  <c r="DK36" i="54"/>
  <c r="DI36" i="54"/>
  <c r="DC36" i="54"/>
  <c r="DA36" i="54"/>
  <c r="CY36" i="54"/>
  <c r="CS36" i="54"/>
  <c r="CQ36" i="54"/>
  <c r="CO36" i="54"/>
  <c r="CI36" i="54"/>
  <c r="CG36" i="54"/>
  <c r="CE36" i="54"/>
  <c r="BY36" i="54"/>
  <c r="BW36" i="54"/>
  <c r="BU36" i="54"/>
  <c r="BO36" i="54"/>
  <c r="BM36" i="54"/>
  <c r="BK36" i="54"/>
  <c r="BQ36" i="54" s="1"/>
  <c r="BH36" i="54" s="1"/>
  <c r="BI36" i="54" s="1"/>
  <c r="BE36" i="54"/>
  <c r="BC36" i="54"/>
  <c r="BA36" i="54"/>
  <c r="BF36" i="54" s="1"/>
  <c r="FK35" i="54"/>
  <c r="FI35" i="54"/>
  <c r="FG35" i="54"/>
  <c r="FA35" i="54"/>
  <c r="EY35" i="54"/>
  <c r="EW35" i="54"/>
  <c r="EQ35" i="54"/>
  <c r="EO35" i="54"/>
  <c r="EM35" i="54"/>
  <c r="ER35" i="54" s="1"/>
  <c r="EG35" i="54"/>
  <c r="EE35" i="54"/>
  <c r="EC35" i="54"/>
  <c r="DW35" i="54"/>
  <c r="DU35" i="54"/>
  <c r="DS35" i="54"/>
  <c r="DM35" i="54"/>
  <c r="DK35" i="54"/>
  <c r="DI35" i="54"/>
  <c r="DD35" i="54"/>
  <c r="DC35" i="54"/>
  <c r="DA35" i="54"/>
  <c r="CY35" i="54"/>
  <c r="CS35" i="54"/>
  <c r="CT35" i="54" s="1"/>
  <c r="CQ35" i="54"/>
  <c r="CO35" i="54"/>
  <c r="CI35" i="54"/>
  <c r="CG35" i="54"/>
  <c r="CE35" i="54"/>
  <c r="BY35" i="54"/>
  <c r="BW35" i="54"/>
  <c r="BU35" i="54"/>
  <c r="BZ35" i="54" s="1"/>
  <c r="BO35" i="54"/>
  <c r="BM35" i="54"/>
  <c r="BK35" i="54"/>
  <c r="BQ35" i="54" s="1"/>
  <c r="BH35" i="54" s="1"/>
  <c r="BI35" i="54" s="1"/>
  <c r="BE35" i="54"/>
  <c r="BC35" i="54"/>
  <c r="BA35" i="54"/>
  <c r="BG35" i="54" s="1"/>
  <c r="AX35" i="54" s="1"/>
  <c r="AY35" i="54" s="1"/>
  <c r="FK34" i="54"/>
  <c r="FI34" i="54"/>
  <c r="FG34" i="54"/>
  <c r="FA34" i="54"/>
  <c r="EY34" i="54"/>
  <c r="EW34" i="54"/>
  <c r="EQ34" i="54"/>
  <c r="EO34" i="54"/>
  <c r="EM34" i="54"/>
  <c r="EG34" i="54"/>
  <c r="EE34" i="54"/>
  <c r="EC34" i="54"/>
  <c r="DW34" i="54"/>
  <c r="DU34" i="54"/>
  <c r="DS34" i="54"/>
  <c r="DM34" i="54"/>
  <c r="DK34" i="54"/>
  <c r="DI34" i="54"/>
  <c r="DC34" i="54"/>
  <c r="DA34" i="54"/>
  <c r="CY34" i="54"/>
  <c r="CS34" i="54"/>
  <c r="CQ34" i="54"/>
  <c r="CO34" i="54"/>
  <c r="CI34" i="54"/>
  <c r="CG34" i="54"/>
  <c r="CE34" i="54"/>
  <c r="BY34" i="54"/>
  <c r="BW34" i="54"/>
  <c r="BU34" i="54"/>
  <c r="BO34" i="54"/>
  <c r="BM34" i="54"/>
  <c r="BK34" i="54"/>
  <c r="BE34" i="54"/>
  <c r="BC34" i="54"/>
  <c r="BA34" i="54"/>
  <c r="FK33" i="54"/>
  <c r="FI33" i="54"/>
  <c r="FG33" i="54"/>
  <c r="FB33" i="54"/>
  <c r="FA33" i="54"/>
  <c r="EY33" i="54"/>
  <c r="EW33" i="54"/>
  <c r="ER33" i="54"/>
  <c r="EQ33" i="54"/>
  <c r="EO33" i="54"/>
  <c r="EM33" i="54"/>
  <c r="EG33" i="54"/>
  <c r="EE33" i="54"/>
  <c r="EC33" i="54"/>
  <c r="DW33" i="54"/>
  <c r="DU33" i="54"/>
  <c r="DS33" i="54"/>
  <c r="DM33" i="54"/>
  <c r="DK33" i="54"/>
  <c r="DI33" i="54"/>
  <c r="DC33" i="54"/>
  <c r="DA33" i="54"/>
  <c r="CY33" i="54"/>
  <c r="CS33" i="54"/>
  <c r="CQ33" i="54"/>
  <c r="CO33" i="54"/>
  <c r="CT33" i="54" s="1"/>
  <c r="CI33" i="54"/>
  <c r="CG33" i="54"/>
  <c r="CE33" i="54"/>
  <c r="BZ33" i="54"/>
  <c r="BY33" i="54"/>
  <c r="BW33" i="54"/>
  <c r="BU33" i="54"/>
  <c r="BP33" i="54"/>
  <c r="BO33" i="54"/>
  <c r="BM33" i="54"/>
  <c r="BK33" i="54"/>
  <c r="BQ33" i="54" s="1"/>
  <c r="BH33" i="54" s="1"/>
  <c r="BI33" i="54" s="1"/>
  <c r="BE33" i="54"/>
  <c r="BC33" i="54"/>
  <c r="BA33" i="54"/>
  <c r="IM32" i="54"/>
  <c r="IN32" i="54" s="1"/>
  <c r="IK32" i="54"/>
  <c r="II32" i="54"/>
  <c r="IC32" i="54"/>
  <c r="IA32" i="54"/>
  <c r="HY32" i="54"/>
  <c r="HS32" i="54"/>
  <c r="HQ32" i="54"/>
  <c r="HO32" i="54"/>
  <c r="HI32" i="54"/>
  <c r="HG32" i="54"/>
  <c r="HE32" i="54"/>
  <c r="HJ32" i="54" s="1"/>
  <c r="GZ32" i="54"/>
  <c r="GY32" i="54"/>
  <c r="GW32" i="54"/>
  <c r="GU32" i="54"/>
  <c r="GO32" i="54"/>
  <c r="GP32" i="54" s="1"/>
  <c r="GM32" i="54"/>
  <c r="GK32" i="54"/>
  <c r="GE32" i="54"/>
  <c r="GC32" i="54"/>
  <c r="GA32" i="54"/>
  <c r="FU32" i="54"/>
  <c r="FS32" i="54"/>
  <c r="FQ32" i="54"/>
  <c r="FV32" i="54" s="1"/>
  <c r="FK32" i="54"/>
  <c r="FI32" i="54"/>
  <c r="FG32" i="54"/>
  <c r="FA32" i="54"/>
  <c r="EY32" i="54"/>
  <c r="EW32" i="54"/>
  <c r="EQ32" i="54"/>
  <c r="EO32" i="54"/>
  <c r="EM32" i="54"/>
  <c r="EG32" i="54"/>
  <c r="EE32" i="54"/>
  <c r="EC32" i="54"/>
  <c r="DW32" i="54"/>
  <c r="DU32" i="54"/>
  <c r="DS32" i="54"/>
  <c r="DM32" i="54"/>
  <c r="DK32" i="54"/>
  <c r="DI32" i="54"/>
  <c r="DC32" i="54"/>
  <c r="DA32" i="54"/>
  <c r="CY32" i="54"/>
  <c r="CS32" i="54"/>
  <c r="CQ32" i="54"/>
  <c r="CO32" i="54"/>
  <c r="CI32" i="54"/>
  <c r="CJ32" i="54" s="1"/>
  <c r="CG32" i="54"/>
  <c r="CE32" i="54"/>
  <c r="BY32" i="54"/>
  <c r="BW32" i="54"/>
  <c r="BU32" i="54"/>
  <c r="BO32" i="54"/>
  <c r="BM32" i="54"/>
  <c r="BK32" i="54"/>
  <c r="BE32" i="54"/>
  <c r="BC32" i="54"/>
  <c r="BA32" i="54"/>
  <c r="IM31" i="54"/>
  <c r="IK31" i="54"/>
  <c r="II31" i="54"/>
  <c r="IC31" i="54"/>
  <c r="IA31" i="54"/>
  <c r="HY31" i="54"/>
  <c r="HS31" i="54"/>
  <c r="HQ31" i="54"/>
  <c r="HO31" i="54"/>
  <c r="HI31" i="54"/>
  <c r="HG31" i="54"/>
  <c r="HE31" i="54"/>
  <c r="GY31" i="54"/>
  <c r="GW31" i="54"/>
  <c r="GU31" i="54"/>
  <c r="GO31" i="54"/>
  <c r="GM31" i="54"/>
  <c r="GK31" i="54"/>
  <c r="GE31" i="54"/>
  <c r="GC31" i="54"/>
  <c r="GA31" i="54"/>
  <c r="FU31" i="54"/>
  <c r="FV31" i="54" s="1"/>
  <c r="FS31" i="54"/>
  <c r="FQ31" i="54"/>
  <c r="FK31" i="54"/>
  <c r="FI31" i="54"/>
  <c r="FG31" i="54"/>
  <c r="FA31" i="54"/>
  <c r="EY31" i="54"/>
  <c r="EW31" i="54"/>
  <c r="EQ31" i="54"/>
  <c r="EO31" i="54"/>
  <c r="EM31" i="54"/>
  <c r="ER31" i="54" s="1"/>
  <c r="EH31" i="54"/>
  <c r="EG31" i="54"/>
  <c r="EE31" i="54"/>
  <c r="EC31" i="54"/>
  <c r="DW31" i="54"/>
  <c r="DX31" i="54" s="1"/>
  <c r="DU31" i="54"/>
  <c r="DS31" i="54"/>
  <c r="DM31" i="54"/>
  <c r="DK31" i="54"/>
  <c r="DI31" i="54"/>
  <c r="DC31" i="54"/>
  <c r="DA31" i="54"/>
  <c r="CY31" i="54"/>
  <c r="DD31" i="54" s="1"/>
  <c r="CS31" i="54"/>
  <c r="CQ31" i="54"/>
  <c r="CO31" i="54"/>
  <c r="CI31" i="54"/>
  <c r="CG31" i="54"/>
  <c r="CE31" i="54"/>
  <c r="BY31" i="54"/>
  <c r="BW31" i="54"/>
  <c r="BU31" i="54"/>
  <c r="BQ31" i="54"/>
  <c r="BH31" i="54" s="1"/>
  <c r="BI31" i="54" s="1"/>
  <c r="BO31" i="54"/>
  <c r="BM31" i="54"/>
  <c r="BK31" i="54"/>
  <c r="BE31" i="54"/>
  <c r="BC31" i="54"/>
  <c r="BA31" i="54"/>
  <c r="IM30" i="54"/>
  <c r="IK30" i="54"/>
  <c r="II30" i="54"/>
  <c r="IC30" i="54"/>
  <c r="IA30" i="54"/>
  <c r="HY30" i="54"/>
  <c r="ID30" i="54" s="1"/>
  <c r="HS30" i="54"/>
  <c r="HQ30" i="54"/>
  <c r="HO30" i="54"/>
  <c r="HT30" i="54" s="1"/>
  <c r="HI30" i="54"/>
  <c r="HJ30" i="54" s="1"/>
  <c r="HG30" i="54"/>
  <c r="HE30" i="54"/>
  <c r="GY30" i="54"/>
  <c r="GW30" i="54"/>
  <c r="GU30" i="54"/>
  <c r="GO30" i="54"/>
  <c r="GM30" i="54"/>
  <c r="GK30" i="54"/>
  <c r="GE30" i="54"/>
  <c r="GC30" i="54"/>
  <c r="GA30" i="54"/>
  <c r="GF30" i="54" s="1"/>
  <c r="FU30" i="54"/>
  <c r="FS30" i="54"/>
  <c r="FQ30" i="54"/>
  <c r="FK30" i="54"/>
  <c r="FI30" i="54"/>
  <c r="FG30" i="54"/>
  <c r="FA30" i="54"/>
  <c r="EY30" i="54"/>
  <c r="EW30" i="54"/>
  <c r="EQ30" i="54"/>
  <c r="EO30" i="54"/>
  <c r="EM30" i="54"/>
  <c r="EG30" i="54"/>
  <c r="EE30" i="54"/>
  <c r="EC30" i="54"/>
  <c r="DW30" i="54"/>
  <c r="DU30" i="54"/>
  <c r="DS30" i="54"/>
  <c r="DM30" i="54"/>
  <c r="DK30" i="54"/>
  <c r="DI30" i="54"/>
  <c r="DD30" i="54"/>
  <c r="DC30" i="54"/>
  <c r="DA30" i="54"/>
  <c r="CY30" i="54"/>
  <c r="CS30" i="54"/>
  <c r="CT30" i="54" s="1"/>
  <c r="CQ30" i="54"/>
  <c r="CO30" i="54"/>
  <c r="CI30" i="54"/>
  <c r="CG30" i="54"/>
  <c r="CJ30" i="54" s="1"/>
  <c r="CE30" i="54"/>
  <c r="BY30" i="54"/>
  <c r="BW30" i="54"/>
  <c r="BU30" i="54"/>
  <c r="BZ30" i="54" s="1"/>
  <c r="BO30" i="54"/>
  <c r="BM30" i="54"/>
  <c r="BK30" i="54"/>
  <c r="BQ30" i="54" s="1"/>
  <c r="BH30" i="54" s="1"/>
  <c r="BE30" i="54"/>
  <c r="BF30" i="54" s="1"/>
  <c r="BC30" i="54"/>
  <c r="BA30" i="54"/>
  <c r="IM29" i="54"/>
  <c r="IK29" i="54"/>
  <c r="II29" i="54"/>
  <c r="IC29" i="54"/>
  <c r="IA29" i="54"/>
  <c r="HY29" i="54"/>
  <c r="HS29" i="54"/>
  <c r="HQ29" i="54"/>
  <c r="HO29" i="54"/>
  <c r="HI29" i="54"/>
  <c r="HG29" i="54"/>
  <c r="HE29" i="54"/>
  <c r="GY29" i="54"/>
  <c r="GW29" i="54"/>
  <c r="GU29" i="54"/>
  <c r="GO29" i="54"/>
  <c r="GM29" i="54"/>
  <c r="GK29" i="54"/>
  <c r="GE29" i="54"/>
  <c r="GC29" i="54"/>
  <c r="GA29" i="54"/>
  <c r="FU29" i="54"/>
  <c r="FS29" i="54"/>
  <c r="FQ29" i="54"/>
  <c r="FK29" i="54"/>
  <c r="FI29" i="54"/>
  <c r="FG29" i="54"/>
  <c r="FA29" i="54"/>
  <c r="EY29" i="54"/>
  <c r="EW29" i="54"/>
  <c r="EQ29" i="54"/>
  <c r="EO29" i="54"/>
  <c r="EM29" i="54"/>
  <c r="EG29" i="54"/>
  <c r="EE29" i="54"/>
  <c r="EC29" i="54"/>
  <c r="DW29" i="54"/>
  <c r="DU29" i="54"/>
  <c r="DS29" i="54"/>
  <c r="DM29" i="54"/>
  <c r="DK29" i="54"/>
  <c r="DI29" i="54"/>
  <c r="DC29" i="54"/>
  <c r="DA29" i="54"/>
  <c r="CY29" i="54"/>
  <c r="CS29" i="54"/>
  <c r="CQ29" i="54"/>
  <c r="CO29" i="54"/>
  <c r="CI29" i="54"/>
  <c r="CG29" i="54"/>
  <c r="CE29" i="54"/>
  <c r="BY29" i="54"/>
  <c r="BW29" i="54"/>
  <c r="BU29" i="54"/>
  <c r="BO29" i="54"/>
  <c r="BM29" i="54"/>
  <c r="BK29" i="54"/>
  <c r="BE29" i="54"/>
  <c r="BC29" i="54"/>
  <c r="BA29" i="54"/>
  <c r="IM28" i="54"/>
  <c r="IK28" i="54"/>
  <c r="II28" i="54"/>
  <c r="IC28" i="54"/>
  <c r="ID28" i="54" s="1"/>
  <c r="IA28" i="54"/>
  <c r="HY28" i="54"/>
  <c r="HS28" i="54"/>
  <c r="HT28" i="54" s="1"/>
  <c r="HQ28" i="54"/>
  <c r="HO28" i="54"/>
  <c r="HI28" i="54"/>
  <c r="HG28" i="54"/>
  <c r="HJ28" i="54" s="1"/>
  <c r="HE28" i="54"/>
  <c r="GY28" i="54"/>
  <c r="GW28" i="54"/>
  <c r="GU28" i="54"/>
  <c r="GO28" i="54"/>
  <c r="GM28" i="54"/>
  <c r="GK28" i="54"/>
  <c r="GE28" i="54"/>
  <c r="GC28" i="54"/>
  <c r="GA28" i="54"/>
  <c r="GF28" i="54" s="1"/>
  <c r="FU28" i="54"/>
  <c r="FS28" i="54"/>
  <c r="FQ28" i="54"/>
  <c r="FK28" i="54"/>
  <c r="FI28" i="54"/>
  <c r="FG28" i="54"/>
  <c r="FA28" i="54"/>
  <c r="FB28" i="54" s="1"/>
  <c r="EY28" i="54"/>
  <c r="EW28" i="54"/>
  <c r="EQ28" i="54"/>
  <c r="ER28" i="54" s="1"/>
  <c r="EO28" i="54"/>
  <c r="EM28" i="54"/>
  <c r="EG28" i="54"/>
  <c r="EE28" i="54"/>
  <c r="EH28" i="54" s="1"/>
  <c r="EC28" i="54"/>
  <c r="DW28" i="54"/>
  <c r="DU28" i="54"/>
  <c r="DS28" i="54"/>
  <c r="DM28" i="54"/>
  <c r="DK28" i="54"/>
  <c r="DI28" i="54"/>
  <c r="DC28" i="54"/>
  <c r="DA28" i="54"/>
  <c r="CY28" i="54"/>
  <c r="DD28" i="54" s="1"/>
  <c r="CS28" i="54"/>
  <c r="CQ28" i="54"/>
  <c r="CO28" i="54"/>
  <c r="CI28" i="54"/>
  <c r="CG28" i="54"/>
  <c r="CE28" i="54"/>
  <c r="BY28" i="54"/>
  <c r="BW28" i="54"/>
  <c r="BZ28" i="54" s="1"/>
  <c r="BU28" i="54"/>
  <c r="BO28" i="54"/>
  <c r="BM28" i="54"/>
  <c r="BK28" i="54"/>
  <c r="BP28" i="54" s="1"/>
  <c r="BE28" i="54"/>
  <c r="BC28" i="54"/>
  <c r="BA28" i="54"/>
  <c r="IM27" i="54"/>
  <c r="IK27" i="54"/>
  <c r="II27" i="54"/>
  <c r="IC27" i="54"/>
  <c r="ID27" i="54" s="1"/>
  <c r="IA27" i="54"/>
  <c r="HY27" i="54"/>
  <c r="HS27" i="54"/>
  <c r="HT27" i="54" s="1"/>
  <c r="HQ27" i="54"/>
  <c r="HO27" i="54"/>
  <c r="HI27" i="54"/>
  <c r="HG27" i="54"/>
  <c r="HJ27" i="54" s="1"/>
  <c r="HE27" i="54"/>
  <c r="GY27" i="54"/>
  <c r="GW27" i="54"/>
  <c r="GU27" i="54"/>
  <c r="GO27" i="54"/>
  <c r="GM27" i="54"/>
  <c r="GK27" i="54"/>
  <c r="GE27" i="54"/>
  <c r="GC27" i="54"/>
  <c r="GA27" i="54"/>
  <c r="GF27" i="54" s="1"/>
  <c r="FU27" i="54"/>
  <c r="FS27" i="54"/>
  <c r="FQ27" i="54"/>
  <c r="FK27" i="54"/>
  <c r="FI27" i="54"/>
  <c r="FG27" i="54"/>
  <c r="FA27" i="54"/>
  <c r="FB27" i="54" s="1"/>
  <c r="EY27" i="54"/>
  <c r="EW27" i="54"/>
  <c r="EQ27" i="54"/>
  <c r="ER27" i="54" s="1"/>
  <c r="EO27" i="54"/>
  <c r="EM27" i="54"/>
  <c r="EG27" i="54"/>
  <c r="EE27" i="54"/>
  <c r="EH27" i="54" s="1"/>
  <c r="EC27" i="54"/>
  <c r="DW27" i="54"/>
  <c r="DU27" i="54"/>
  <c r="DS27" i="54"/>
  <c r="DM27" i="54"/>
  <c r="DK27" i="54"/>
  <c r="DI27" i="54"/>
  <c r="DC27" i="54"/>
  <c r="DA27" i="54"/>
  <c r="CY27" i="54"/>
  <c r="DD27" i="54" s="1"/>
  <c r="CS27" i="54"/>
  <c r="CQ27" i="54"/>
  <c r="CO27" i="54"/>
  <c r="CI27" i="54"/>
  <c r="CG27" i="54"/>
  <c r="CE27" i="54"/>
  <c r="BY27" i="54"/>
  <c r="BZ27" i="54" s="1"/>
  <c r="BW27" i="54"/>
  <c r="BU27" i="54"/>
  <c r="BO27" i="54"/>
  <c r="BP27" i="54" s="1"/>
  <c r="BM27" i="54"/>
  <c r="BK27" i="54"/>
  <c r="BE27" i="54"/>
  <c r="BC27" i="54"/>
  <c r="BF27" i="54" s="1"/>
  <c r="BA27" i="54"/>
  <c r="IM26" i="54"/>
  <c r="IK26" i="54"/>
  <c r="II26" i="54"/>
  <c r="IN26" i="54" s="1"/>
  <c r="IC26" i="54"/>
  <c r="IA26" i="54"/>
  <c r="HY26" i="54"/>
  <c r="ID26" i="54" s="1"/>
  <c r="HS26" i="54"/>
  <c r="HT26" i="54" s="1"/>
  <c r="HQ26" i="54"/>
  <c r="HO26" i="54"/>
  <c r="HI26" i="54"/>
  <c r="HG26" i="54"/>
  <c r="HE26" i="54"/>
  <c r="GY26" i="54"/>
  <c r="GW26" i="54"/>
  <c r="GU26" i="54"/>
  <c r="GZ26" i="54" s="1"/>
  <c r="GO26" i="54"/>
  <c r="GM26" i="54"/>
  <c r="GK26" i="54"/>
  <c r="GP26" i="54" s="1"/>
  <c r="GE26" i="54"/>
  <c r="GF26" i="54" s="1"/>
  <c r="GC26" i="54"/>
  <c r="GA26" i="54"/>
  <c r="FU26" i="54"/>
  <c r="FS26" i="54"/>
  <c r="FQ26" i="54"/>
  <c r="FK26" i="54"/>
  <c r="FI26" i="54"/>
  <c r="FG26" i="54"/>
  <c r="FL26" i="54" s="1"/>
  <c r="FA26" i="54"/>
  <c r="EY26" i="54"/>
  <c r="EW26" i="54"/>
  <c r="FB26" i="54" s="1"/>
  <c r="EQ26" i="54"/>
  <c r="ER26" i="54" s="1"/>
  <c r="EO26" i="54"/>
  <c r="EM26" i="54"/>
  <c r="EG26" i="54"/>
  <c r="EE26" i="54"/>
  <c r="EC26" i="54"/>
  <c r="DW26" i="54"/>
  <c r="DU26" i="54"/>
  <c r="DS26" i="54"/>
  <c r="DX26" i="54" s="1"/>
  <c r="DM26" i="54"/>
  <c r="DK26" i="54"/>
  <c r="DI26" i="54"/>
  <c r="DN26" i="54" s="1"/>
  <c r="DC26" i="54"/>
  <c r="DD26" i="54" s="1"/>
  <c r="DA26" i="54"/>
  <c r="CY26" i="54"/>
  <c r="CS26" i="54"/>
  <c r="CQ26" i="54"/>
  <c r="CO26" i="54"/>
  <c r="CI26" i="54"/>
  <c r="CG26" i="54"/>
  <c r="CE26" i="54"/>
  <c r="CJ26" i="54" s="1"/>
  <c r="BY26" i="54"/>
  <c r="BW26" i="54"/>
  <c r="BU26" i="54"/>
  <c r="BZ26" i="54" s="1"/>
  <c r="BO26" i="54"/>
  <c r="BP26" i="54" s="1"/>
  <c r="BM26" i="54"/>
  <c r="BK26" i="54"/>
  <c r="BE26" i="54"/>
  <c r="BC26" i="54"/>
  <c r="BA26" i="54"/>
  <c r="IM25" i="54"/>
  <c r="IK25" i="54"/>
  <c r="II25" i="54"/>
  <c r="IC25" i="54"/>
  <c r="IA25" i="54"/>
  <c r="HY25" i="54"/>
  <c r="HS25" i="54"/>
  <c r="HQ25" i="54"/>
  <c r="HO25" i="54"/>
  <c r="HT25" i="54" s="1"/>
  <c r="HI25" i="54"/>
  <c r="HG25" i="54"/>
  <c r="HE25" i="54"/>
  <c r="GY25" i="54"/>
  <c r="GW25" i="54"/>
  <c r="GU25" i="54"/>
  <c r="GO25" i="54"/>
  <c r="GP25" i="54" s="1"/>
  <c r="GM25" i="54"/>
  <c r="GK25" i="54"/>
  <c r="GE25" i="54"/>
  <c r="GF25" i="54" s="1"/>
  <c r="GC25" i="54"/>
  <c r="GA25" i="54"/>
  <c r="FU25" i="54"/>
  <c r="FS25" i="54"/>
  <c r="FV25" i="54" s="1"/>
  <c r="FQ25" i="54"/>
  <c r="FK25" i="54"/>
  <c r="FI25" i="54"/>
  <c r="FG25" i="54"/>
  <c r="FA25" i="54"/>
  <c r="EY25" i="54"/>
  <c r="EW25" i="54"/>
  <c r="EQ25" i="54"/>
  <c r="EO25" i="54"/>
  <c r="EM25" i="54"/>
  <c r="ER25" i="54" s="1"/>
  <c r="EG25" i="54"/>
  <c r="EE25" i="54"/>
  <c r="EC25" i="54"/>
  <c r="DW25" i="54"/>
  <c r="DU25" i="54"/>
  <c r="DS25" i="54"/>
  <c r="DM25" i="54"/>
  <c r="DN25" i="54" s="1"/>
  <c r="DK25" i="54"/>
  <c r="DI25" i="54"/>
  <c r="DC25" i="54"/>
  <c r="DD25" i="54" s="1"/>
  <c r="DA25" i="54"/>
  <c r="CY25" i="54"/>
  <c r="CS25" i="54"/>
  <c r="CQ25" i="54"/>
  <c r="CT25" i="54" s="1"/>
  <c r="CO25" i="54"/>
  <c r="CI25" i="54"/>
  <c r="CG25" i="54"/>
  <c r="CE25" i="54"/>
  <c r="BY25" i="54"/>
  <c r="BW25" i="54"/>
  <c r="BU25" i="54"/>
  <c r="BO25" i="54"/>
  <c r="BM25" i="54"/>
  <c r="BK25" i="54"/>
  <c r="BE25" i="54"/>
  <c r="BC25" i="54"/>
  <c r="BA25" i="54"/>
  <c r="BG25" i="54" s="1"/>
  <c r="AX25" i="54" s="1"/>
  <c r="AY25" i="54" s="1"/>
  <c r="IM24" i="54"/>
  <c r="IK24" i="54"/>
  <c r="II24" i="54"/>
  <c r="IC24" i="54"/>
  <c r="IA24" i="54"/>
  <c r="HY24" i="54"/>
  <c r="HS24" i="54"/>
  <c r="HQ24" i="54"/>
  <c r="HO24" i="54"/>
  <c r="HI24" i="54"/>
  <c r="HG24" i="54"/>
  <c r="HE24" i="54"/>
  <c r="GY24" i="54"/>
  <c r="GW24" i="54"/>
  <c r="GU24" i="54"/>
  <c r="GO24" i="54"/>
  <c r="GM24" i="54"/>
  <c r="GK24" i="54"/>
  <c r="GE24" i="54"/>
  <c r="GC24" i="54"/>
  <c r="GA24" i="54"/>
  <c r="FU24" i="54"/>
  <c r="FS24" i="54"/>
  <c r="FQ24" i="54"/>
  <c r="FK24" i="54"/>
  <c r="FI24" i="54"/>
  <c r="FG24" i="54"/>
  <c r="FA24" i="54"/>
  <c r="EY24" i="54"/>
  <c r="EW24" i="54"/>
  <c r="EQ24" i="54"/>
  <c r="EO24" i="54"/>
  <c r="EM24" i="54"/>
  <c r="EG24" i="54"/>
  <c r="EE24" i="54"/>
  <c r="EC24" i="54"/>
  <c r="DW24" i="54"/>
  <c r="DU24" i="54"/>
  <c r="DS24" i="54"/>
  <c r="DM24" i="54"/>
  <c r="DK24" i="54"/>
  <c r="DI24" i="54"/>
  <c r="DC24" i="54"/>
  <c r="DA24" i="54"/>
  <c r="CY24" i="54"/>
  <c r="DD24" i="54" s="1"/>
  <c r="CS24" i="54"/>
  <c r="CQ24" i="54"/>
  <c r="CO24" i="54"/>
  <c r="CI24" i="54"/>
  <c r="CG24" i="54"/>
  <c r="CE24" i="54"/>
  <c r="BY24" i="54"/>
  <c r="BW24" i="54"/>
  <c r="BU24" i="54"/>
  <c r="BZ24" i="54" s="1"/>
  <c r="BO24" i="54"/>
  <c r="BM24" i="54"/>
  <c r="BK24" i="54"/>
  <c r="BF24" i="54"/>
  <c r="BE24" i="54"/>
  <c r="BC24" i="54"/>
  <c r="BA24" i="54"/>
  <c r="IM23" i="54"/>
  <c r="IK23" i="54"/>
  <c r="II23" i="54"/>
  <c r="IC23" i="54"/>
  <c r="IA23" i="54"/>
  <c r="HY23" i="54"/>
  <c r="HS23" i="54"/>
  <c r="HQ23" i="54"/>
  <c r="HO23" i="54"/>
  <c r="HI23" i="54"/>
  <c r="HG23" i="54"/>
  <c r="HE23" i="54"/>
  <c r="GY23" i="54"/>
  <c r="GW23" i="54"/>
  <c r="GU23" i="54"/>
  <c r="GO23" i="54"/>
  <c r="GM23" i="54"/>
  <c r="GK23" i="54"/>
  <c r="GE23" i="54"/>
  <c r="GC23" i="54"/>
  <c r="GA23" i="54"/>
  <c r="FU23" i="54"/>
  <c r="FS23" i="54"/>
  <c r="FQ23" i="54"/>
  <c r="FK23" i="54"/>
  <c r="FI23" i="54"/>
  <c r="FG23" i="54"/>
  <c r="FA23" i="54"/>
  <c r="EY23" i="54"/>
  <c r="EW23" i="54"/>
  <c r="EQ23" i="54"/>
  <c r="EO23" i="54"/>
  <c r="EM23" i="54"/>
  <c r="EG23" i="54"/>
  <c r="EE23" i="54"/>
  <c r="EC23" i="54"/>
  <c r="DW23" i="54"/>
  <c r="DU23" i="54"/>
  <c r="DS23" i="54"/>
  <c r="DM23" i="54"/>
  <c r="DK23" i="54"/>
  <c r="DI23" i="54"/>
  <c r="DC23" i="54"/>
  <c r="DA23" i="54"/>
  <c r="CY23" i="54"/>
  <c r="CS23" i="54"/>
  <c r="CQ23" i="54"/>
  <c r="CO23" i="54"/>
  <c r="CI23" i="54"/>
  <c r="CG23" i="54"/>
  <c r="CE23" i="54"/>
  <c r="BY23" i="54"/>
  <c r="BW23" i="54"/>
  <c r="BU23" i="54"/>
  <c r="BO23" i="54"/>
  <c r="BM23" i="54"/>
  <c r="BK23" i="54"/>
  <c r="BQ23" i="54" s="1"/>
  <c r="BH23" i="54" s="1"/>
  <c r="BE23" i="54"/>
  <c r="BC23" i="54"/>
  <c r="BA23" i="54"/>
  <c r="BG23" i="54" s="1"/>
  <c r="AX23" i="54" s="1"/>
  <c r="AY23" i="54" s="1"/>
  <c r="AV23" i="54"/>
  <c r="AU23" i="54"/>
  <c r="AU24" i="54" s="1"/>
  <c r="AU25" i="54" s="1"/>
  <c r="AU26" i="54" s="1"/>
  <c r="AU27" i="54" s="1"/>
  <c r="AU28" i="54" s="1"/>
  <c r="AU29" i="54" s="1"/>
  <c r="AU30" i="54" s="1"/>
  <c r="IM22" i="54"/>
  <c r="IK22" i="54"/>
  <c r="II22" i="54"/>
  <c r="IN22" i="54" s="1"/>
  <c r="IC22" i="54"/>
  <c r="IA22" i="54"/>
  <c r="HY22" i="54"/>
  <c r="HS22" i="54"/>
  <c r="HQ22" i="54"/>
  <c r="HO22" i="54"/>
  <c r="HT22" i="54" s="1"/>
  <c r="HI22" i="54"/>
  <c r="HJ22" i="54" s="1"/>
  <c r="HG22" i="54"/>
  <c r="HE22" i="54"/>
  <c r="GY22" i="54"/>
  <c r="GW22" i="54"/>
  <c r="GU22" i="54"/>
  <c r="GO22" i="54"/>
  <c r="GM22" i="54"/>
  <c r="GK22" i="54"/>
  <c r="GE22" i="54"/>
  <c r="GC22" i="54"/>
  <c r="GA22" i="54"/>
  <c r="GF22" i="54" s="1"/>
  <c r="FU22" i="54"/>
  <c r="FS22" i="54"/>
  <c r="FQ22" i="54"/>
  <c r="FK22" i="54"/>
  <c r="FI22" i="54"/>
  <c r="FG22" i="54"/>
  <c r="FA22" i="54"/>
  <c r="FB22" i="54" s="1"/>
  <c r="EY22" i="54"/>
  <c r="EW22" i="54"/>
  <c r="EQ22" i="54"/>
  <c r="EO22" i="54"/>
  <c r="EM22" i="54"/>
  <c r="EG22" i="54"/>
  <c r="EE22" i="54"/>
  <c r="EC22" i="54"/>
  <c r="EH22" i="54" s="1"/>
  <c r="DW22" i="54"/>
  <c r="DU22" i="54"/>
  <c r="DS22" i="54"/>
  <c r="DM22" i="54"/>
  <c r="DK22" i="54"/>
  <c r="DI22" i="54"/>
  <c r="DC22" i="54"/>
  <c r="DA22" i="54"/>
  <c r="CY22" i="54"/>
  <c r="CS22" i="54"/>
  <c r="CQ22" i="54"/>
  <c r="CO22" i="54"/>
  <c r="CI22" i="54"/>
  <c r="CG22" i="54"/>
  <c r="CE22" i="54"/>
  <c r="BY22" i="54"/>
  <c r="BW22" i="54"/>
  <c r="BU22" i="54"/>
  <c r="BO22" i="54"/>
  <c r="BM22" i="54"/>
  <c r="BK22" i="54"/>
  <c r="BQ22" i="54" s="1"/>
  <c r="BH22" i="54" s="1"/>
  <c r="BG22" i="54"/>
  <c r="AX22" i="54" s="1"/>
  <c r="AY22" i="54" s="1"/>
  <c r="BE22" i="54"/>
  <c r="BC22" i="54"/>
  <c r="BA22" i="54"/>
  <c r="BF22" i="54" s="1"/>
  <c r="AV22" i="54"/>
  <c r="IM21" i="54"/>
  <c r="IK21" i="54"/>
  <c r="II21" i="54"/>
  <c r="IC21" i="54"/>
  <c r="IA21" i="54"/>
  <c r="HY21" i="54"/>
  <c r="HS21" i="54"/>
  <c r="HQ21" i="54"/>
  <c r="HO21" i="54"/>
  <c r="HI21" i="54"/>
  <c r="HG21" i="54"/>
  <c r="HE21" i="54"/>
  <c r="HJ21" i="54" s="1"/>
  <c r="GY21" i="54"/>
  <c r="GW21" i="54"/>
  <c r="GU21" i="54"/>
  <c r="GO21" i="54"/>
  <c r="GM21" i="54"/>
  <c r="GK21" i="54"/>
  <c r="GP21" i="54" s="1"/>
  <c r="GE21" i="54"/>
  <c r="GC21" i="54"/>
  <c r="GA21" i="54"/>
  <c r="FV21" i="54"/>
  <c r="FU21" i="54"/>
  <c r="FS21" i="54"/>
  <c r="FQ21" i="54"/>
  <c r="FK21" i="54"/>
  <c r="FL21" i="54" s="1"/>
  <c r="FI21" i="54"/>
  <c r="FG21" i="54"/>
  <c r="FA21" i="54"/>
  <c r="EY21" i="54"/>
  <c r="EW21" i="54"/>
  <c r="EQ21" i="54"/>
  <c r="EO21" i="54"/>
  <c r="EM21" i="54"/>
  <c r="ER21" i="54" s="1"/>
  <c r="EG21" i="54"/>
  <c r="EE21" i="54"/>
  <c r="EC21" i="54"/>
  <c r="EH21" i="54" s="1"/>
  <c r="DW21" i="54"/>
  <c r="DX21" i="54" s="1"/>
  <c r="DU21" i="54"/>
  <c r="DS21" i="54"/>
  <c r="DM21" i="54"/>
  <c r="DK21" i="54"/>
  <c r="DI21" i="54"/>
  <c r="DC21" i="54"/>
  <c r="DA21" i="54"/>
  <c r="CY21" i="54"/>
  <c r="CS21" i="54"/>
  <c r="CQ21" i="54"/>
  <c r="CO21" i="54"/>
  <c r="CT21" i="54" s="1"/>
  <c r="CI21" i="54"/>
  <c r="CJ21" i="54" s="1"/>
  <c r="CG21" i="54"/>
  <c r="CE21" i="54"/>
  <c r="BY21" i="54"/>
  <c r="BW21" i="54"/>
  <c r="BU21" i="54"/>
  <c r="BZ21" i="54" s="1"/>
  <c r="BO21" i="54"/>
  <c r="BM21" i="54"/>
  <c r="BK21" i="54"/>
  <c r="BF21" i="54"/>
  <c r="BE21" i="54"/>
  <c r="BC21" i="54"/>
  <c r="BA21" i="54"/>
  <c r="AU21" i="54"/>
  <c r="AV21" i="54" s="1"/>
  <c r="B20" i="54"/>
  <c r="B21" i="54" s="1"/>
  <c r="B22" i="54" s="1"/>
  <c r="B23" i="54" s="1"/>
  <c r="B24" i="54" s="1"/>
  <c r="B25" i="54" s="1"/>
  <c r="B26" i="54" s="1"/>
  <c r="B27" i="54" s="1"/>
  <c r="B28" i="54" s="1"/>
  <c r="BR19" i="54"/>
  <c r="BI19" i="54"/>
  <c r="AY19" i="54"/>
  <c r="B18" i="54"/>
  <c r="F16" i="54"/>
  <c r="G16" i="54" s="1"/>
  <c r="H16" i="54" s="1"/>
  <c r="I16" i="54" s="1"/>
  <c r="O12" i="54"/>
  <c r="O11" i="54"/>
  <c r="O10" i="54"/>
  <c r="O9" i="54"/>
  <c r="O8" i="54"/>
  <c r="O7" i="54"/>
  <c r="C7" i="54"/>
  <c r="V6" i="54"/>
  <c r="O6" i="54"/>
  <c r="V5" i="54"/>
  <c r="O5" i="54"/>
  <c r="C5" i="54"/>
  <c r="S81" i="54" s="1"/>
  <c r="O4" i="54"/>
  <c r="C4" i="54"/>
  <c r="V81" i="54" s="1"/>
  <c r="C3" i="54"/>
  <c r="O62" i="53"/>
  <c r="O63" i="53" s="1"/>
  <c r="O64" i="53" s="1"/>
  <c r="O65" i="53" s="1"/>
  <c r="O51" i="53"/>
  <c r="O52" i="53" s="1"/>
  <c r="O53" i="53" s="1"/>
  <c r="O54" i="53" s="1"/>
  <c r="O55" i="53" s="1"/>
  <c r="O56" i="53" s="1"/>
  <c r="O57" i="53" s="1"/>
  <c r="O58" i="53" s="1"/>
  <c r="O59" i="53" s="1"/>
  <c r="O60" i="53" s="1"/>
  <c r="O61" i="53" s="1"/>
  <c r="O48" i="53"/>
  <c r="O49" i="53" s="1"/>
  <c r="O50" i="53" s="1"/>
  <c r="O46" i="53"/>
  <c r="U44" i="53"/>
  <c r="V44" i="53" s="1"/>
  <c r="W44" i="53" s="1"/>
  <c r="X44" i="53" s="1"/>
  <c r="Y44" i="53" s="1"/>
  <c r="Z44" i="53" s="1"/>
  <c r="AA44" i="53" s="1"/>
  <c r="AB44" i="53" s="1"/>
  <c r="AC44" i="53" s="1"/>
  <c r="AD44" i="53" s="1"/>
  <c r="AE44" i="53" s="1"/>
  <c r="AF44" i="53" s="1"/>
  <c r="AG44" i="53" s="1"/>
  <c r="AH44" i="53" s="1"/>
  <c r="AI44" i="53" s="1"/>
  <c r="AJ44" i="53" s="1"/>
  <c r="S44" i="53"/>
  <c r="T44" i="53" s="1"/>
  <c r="FK40" i="53"/>
  <c r="FI40" i="53"/>
  <c r="FG40" i="53"/>
  <c r="FA40" i="53"/>
  <c r="EY40" i="53"/>
  <c r="EW40" i="53"/>
  <c r="FB40" i="53" s="1"/>
  <c r="EQ40" i="53"/>
  <c r="EO40" i="53"/>
  <c r="EM40" i="53"/>
  <c r="EG40" i="53"/>
  <c r="EE40" i="53"/>
  <c r="EC40" i="53"/>
  <c r="DW40" i="53"/>
  <c r="DU40" i="53"/>
  <c r="DS40" i="53"/>
  <c r="DX40" i="53" s="1"/>
  <c r="DN40" i="53"/>
  <c r="DM40" i="53"/>
  <c r="DK40" i="53"/>
  <c r="DI40" i="53"/>
  <c r="DC40" i="53"/>
  <c r="DD40" i="53" s="1"/>
  <c r="DA40" i="53"/>
  <c r="CY40" i="53"/>
  <c r="CS40" i="53"/>
  <c r="CQ40" i="53"/>
  <c r="CO40" i="53"/>
  <c r="CI40" i="53"/>
  <c r="CG40" i="53"/>
  <c r="CE40" i="53"/>
  <c r="CJ40" i="53" s="1"/>
  <c r="BY40" i="53"/>
  <c r="BW40" i="53"/>
  <c r="BU40" i="53"/>
  <c r="BZ40" i="53" s="1"/>
  <c r="BO40" i="53"/>
  <c r="BM40" i="53"/>
  <c r="BK40" i="53"/>
  <c r="BE40" i="53"/>
  <c r="BC40" i="53"/>
  <c r="BA40" i="53"/>
  <c r="FK39" i="53"/>
  <c r="FI39" i="53"/>
  <c r="FG39" i="53"/>
  <c r="FA39" i="53"/>
  <c r="EY39" i="53"/>
  <c r="EW39" i="53"/>
  <c r="EQ39" i="53"/>
  <c r="EO39" i="53"/>
  <c r="EM39" i="53"/>
  <c r="ER39" i="53" s="1"/>
  <c r="EH39" i="53"/>
  <c r="EG39" i="53"/>
  <c r="EE39" i="53"/>
  <c r="EC39" i="53"/>
  <c r="DW39" i="53"/>
  <c r="DX39" i="53" s="1"/>
  <c r="DU39" i="53"/>
  <c r="DS39" i="53"/>
  <c r="DM39" i="53"/>
  <c r="DK39" i="53"/>
  <c r="DI39" i="53"/>
  <c r="DC39" i="53"/>
  <c r="DA39" i="53"/>
  <c r="CY39" i="53"/>
  <c r="DD39" i="53" s="1"/>
  <c r="CS39" i="53"/>
  <c r="CQ39" i="53"/>
  <c r="CO39" i="53"/>
  <c r="CT39" i="53" s="1"/>
  <c r="CI39" i="53"/>
  <c r="CJ39" i="53" s="1"/>
  <c r="CG39" i="53"/>
  <c r="CE39" i="53"/>
  <c r="BY39" i="53"/>
  <c r="BW39" i="53"/>
  <c r="BU39" i="53"/>
  <c r="BO39" i="53"/>
  <c r="BM39" i="53"/>
  <c r="BK39" i="53"/>
  <c r="BE39" i="53"/>
  <c r="BC39" i="53"/>
  <c r="BA39" i="53"/>
  <c r="BF39" i="53" s="1"/>
  <c r="FK38" i="53"/>
  <c r="FI38" i="53"/>
  <c r="FG38" i="53"/>
  <c r="FL38" i="53" s="1"/>
  <c r="FA38" i="53"/>
  <c r="EY38" i="53"/>
  <c r="EW38" i="53"/>
  <c r="FB38" i="53" s="1"/>
  <c r="EQ38" i="53"/>
  <c r="ER38" i="53" s="1"/>
  <c r="EO38" i="53"/>
  <c r="EM38" i="53"/>
  <c r="EG38" i="53"/>
  <c r="EE38" i="53"/>
  <c r="EC38" i="53"/>
  <c r="DW38" i="53"/>
  <c r="DU38" i="53"/>
  <c r="DS38" i="53"/>
  <c r="DM38" i="53"/>
  <c r="DK38" i="53"/>
  <c r="DI38" i="53"/>
  <c r="DN38" i="53" s="1"/>
  <c r="DC38" i="53"/>
  <c r="DA38" i="53"/>
  <c r="CY38" i="53"/>
  <c r="CS38" i="53"/>
  <c r="CQ38" i="53"/>
  <c r="CO38" i="53"/>
  <c r="CI38" i="53"/>
  <c r="CG38" i="53"/>
  <c r="CE38" i="53"/>
  <c r="BY38" i="53"/>
  <c r="BW38" i="53"/>
  <c r="BU38" i="53"/>
  <c r="BZ38" i="53" s="1"/>
  <c r="BO38" i="53"/>
  <c r="BM38" i="53"/>
  <c r="BK38" i="53"/>
  <c r="BE38" i="53"/>
  <c r="BC38" i="53"/>
  <c r="BA38" i="53"/>
  <c r="FK37" i="53"/>
  <c r="FL37" i="53" s="1"/>
  <c r="FI37" i="53"/>
  <c r="FG37" i="53"/>
  <c r="FA37" i="53"/>
  <c r="EY37" i="53"/>
  <c r="EW37" i="53"/>
  <c r="EQ37" i="53"/>
  <c r="EO37" i="53"/>
  <c r="EM37" i="53"/>
  <c r="EG37" i="53"/>
  <c r="EE37" i="53"/>
  <c r="EC37" i="53"/>
  <c r="EH37" i="53" s="1"/>
  <c r="DW37" i="53"/>
  <c r="DU37" i="53"/>
  <c r="DS37" i="53"/>
  <c r="DM37" i="53"/>
  <c r="DK37" i="53"/>
  <c r="DI37" i="53"/>
  <c r="DC37" i="53"/>
  <c r="DA37" i="53"/>
  <c r="CY37" i="53"/>
  <c r="CS37" i="53"/>
  <c r="CQ37" i="53"/>
  <c r="CO37" i="53"/>
  <c r="CT37" i="53" s="1"/>
  <c r="CI37" i="53"/>
  <c r="CG37" i="53"/>
  <c r="CE37" i="53"/>
  <c r="BY37" i="53"/>
  <c r="BW37" i="53"/>
  <c r="BU37" i="53"/>
  <c r="BZ37" i="53" s="1"/>
  <c r="BO37" i="53"/>
  <c r="BM37" i="53"/>
  <c r="BK37" i="53"/>
  <c r="BF37" i="53"/>
  <c r="BE37" i="53"/>
  <c r="BC37" i="53"/>
  <c r="BA37" i="53"/>
  <c r="FK36" i="53"/>
  <c r="FI36" i="53"/>
  <c r="FG36" i="53"/>
  <c r="FA36" i="53"/>
  <c r="EY36" i="53"/>
  <c r="EW36" i="53"/>
  <c r="EQ36" i="53"/>
  <c r="EO36" i="53"/>
  <c r="EM36" i="53"/>
  <c r="ER36" i="53" s="1"/>
  <c r="EG36" i="53"/>
  <c r="EE36" i="53"/>
  <c r="EC36" i="53"/>
  <c r="DW36" i="53"/>
  <c r="DU36" i="53"/>
  <c r="DS36" i="53"/>
  <c r="DM36" i="53"/>
  <c r="DK36" i="53"/>
  <c r="DI36" i="53"/>
  <c r="DC36" i="53"/>
  <c r="DA36" i="53"/>
  <c r="DD36" i="53" s="1"/>
  <c r="CY36" i="53"/>
  <c r="CS36" i="53"/>
  <c r="CQ36" i="53"/>
  <c r="CO36" i="53"/>
  <c r="CT36" i="53" s="1"/>
  <c r="CI36" i="53"/>
  <c r="CG36" i="53"/>
  <c r="CE36" i="53"/>
  <c r="CJ36" i="53" s="1"/>
  <c r="BY36" i="53"/>
  <c r="BW36" i="53"/>
  <c r="BU36" i="53"/>
  <c r="BO36" i="53"/>
  <c r="BM36" i="53"/>
  <c r="BK36" i="53"/>
  <c r="BE36" i="53"/>
  <c r="BC36" i="53"/>
  <c r="BA36" i="53"/>
  <c r="FK35" i="53"/>
  <c r="FI35" i="53"/>
  <c r="FG35" i="53"/>
  <c r="FA35" i="53"/>
  <c r="EY35" i="53"/>
  <c r="EW35" i="53"/>
  <c r="EQ35" i="53"/>
  <c r="EO35" i="53"/>
  <c r="EM35" i="53"/>
  <c r="EG35" i="53"/>
  <c r="EE35" i="53"/>
  <c r="EC35" i="53"/>
  <c r="EH35" i="53" s="1"/>
  <c r="DW35" i="53"/>
  <c r="DU35" i="53"/>
  <c r="DS35" i="53"/>
  <c r="DM35" i="53"/>
  <c r="DK35" i="53"/>
  <c r="DI35" i="53"/>
  <c r="DC35" i="53"/>
  <c r="DA35" i="53"/>
  <c r="CY35" i="53"/>
  <c r="CT35" i="53"/>
  <c r="CS35" i="53"/>
  <c r="CQ35" i="53"/>
  <c r="CO35" i="53"/>
  <c r="CI35" i="53"/>
  <c r="CG35" i="53"/>
  <c r="CE35" i="53"/>
  <c r="BY35" i="53"/>
  <c r="BW35" i="53"/>
  <c r="BZ35" i="53" s="1"/>
  <c r="BU35" i="53"/>
  <c r="BO35" i="53"/>
  <c r="BM35" i="53"/>
  <c r="BK35" i="53"/>
  <c r="BP35" i="53" s="1"/>
  <c r="BE35" i="53"/>
  <c r="BC35" i="53"/>
  <c r="BA35" i="53"/>
  <c r="BG35" i="53" s="1"/>
  <c r="AX35" i="53" s="1"/>
  <c r="AY35" i="53" s="1"/>
  <c r="FK34" i="53"/>
  <c r="FI34" i="53"/>
  <c r="FG34" i="53"/>
  <c r="FA34" i="53"/>
  <c r="EY34" i="53"/>
  <c r="EW34" i="53"/>
  <c r="EQ34" i="53"/>
  <c r="EO34" i="53"/>
  <c r="EM34" i="53"/>
  <c r="ER34" i="53" s="1"/>
  <c r="EG34" i="53"/>
  <c r="EE34" i="53"/>
  <c r="EC34" i="53"/>
  <c r="DW34" i="53"/>
  <c r="DU34" i="53"/>
  <c r="DS34" i="53"/>
  <c r="DM34" i="53"/>
  <c r="DK34" i="53"/>
  <c r="DI34" i="53"/>
  <c r="DD34" i="53"/>
  <c r="DC34" i="53"/>
  <c r="DA34" i="53"/>
  <c r="CY34" i="53"/>
  <c r="CS34" i="53"/>
  <c r="CQ34" i="53"/>
  <c r="CO34" i="53"/>
  <c r="CI34" i="53"/>
  <c r="CG34" i="53"/>
  <c r="CJ34" i="53" s="1"/>
  <c r="CE34" i="53"/>
  <c r="BY34" i="53"/>
  <c r="BW34" i="53"/>
  <c r="BU34" i="53"/>
  <c r="BZ34" i="53" s="1"/>
  <c r="BO34" i="53"/>
  <c r="BM34" i="53"/>
  <c r="BK34" i="53"/>
  <c r="BQ34" i="53" s="1"/>
  <c r="BH34" i="53" s="1"/>
  <c r="BI34" i="53" s="1"/>
  <c r="BE34" i="53"/>
  <c r="BC34" i="53"/>
  <c r="BA34" i="53"/>
  <c r="BG34" i="53" s="1"/>
  <c r="AX34" i="53" s="1"/>
  <c r="AY34" i="53" s="1"/>
  <c r="FK33" i="53"/>
  <c r="FI33" i="53"/>
  <c r="FG33" i="53"/>
  <c r="FL33" i="53" s="1"/>
  <c r="FA33" i="53"/>
  <c r="EY33" i="53"/>
  <c r="EW33" i="53"/>
  <c r="FB33" i="53" s="1"/>
  <c r="EQ33" i="53"/>
  <c r="EO33" i="53"/>
  <c r="EM33" i="53"/>
  <c r="EG33" i="53"/>
  <c r="EE33" i="53"/>
  <c r="EC33" i="53"/>
  <c r="DW33" i="53"/>
  <c r="DU33" i="53"/>
  <c r="DS33" i="53"/>
  <c r="DM33" i="53"/>
  <c r="DK33" i="53"/>
  <c r="DI33" i="53"/>
  <c r="DN33" i="53" s="1"/>
  <c r="DC33" i="53"/>
  <c r="DA33" i="53"/>
  <c r="CY33" i="53"/>
  <c r="DD33" i="53" s="1"/>
  <c r="CS33" i="53"/>
  <c r="CQ33" i="53"/>
  <c r="CO33" i="53"/>
  <c r="CI33" i="53"/>
  <c r="CG33" i="53"/>
  <c r="CE33" i="53"/>
  <c r="BY33" i="53"/>
  <c r="BW33" i="53"/>
  <c r="BU33" i="53"/>
  <c r="BZ33" i="53" s="1"/>
  <c r="BO33" i="53"/>
  <c r="BM33" i="53"/>
  <c r="BK33" i="53"/>
  <c r="BE33" i="53"/>
  <c r="BC33" i="53"/>
  <c r="BA33" i="53"/>
  <c r="BG33" i="53" s="1"/>
  <c r="AX33" i="53" s="1"/>
  <c r="AY33" i="53" s="1"/>
  <c r="IM32" i="53"/>
  <c r="IK32" i="53"/>
  <c r="II32" i="53"/>
  <c r="IN32" i="53" s="1"/>
  <c r="IC32" i="53"/>
  <c r="IA32" i="53"/>
  <c r="HY32" i="53"/>
  <c r="HS32" i="53"/>
  <c r="HQ32" i="53"/>
  <c r="HO32" i="53"/>
  <c r="HI32" i="53"/>
  <c r="HG32" i="53"/>
  <c r="HE32" i="53"/>
  <c r="GY32" i="53"/>
  <c r="GW32" i="53"/>
  <c r="GU32" i="53"/>
  <c r="GO32" i="53"/>
  <c r="GM32" i="53"/>
  <c r="GK32" i="53"/>
  <c r="GF32" i="53"/>
  <c r="GE32" i="53"/>
  <c r="GC32" i="53"/>
  <c r="GA32" i="53"/>
  <c r="FU32" i="53"/>
  <c r="FS32" i="53"/>
  <c r="FQ32" i="53"/>
  <c r="FK32" i="53"/>
  <c r="FI32" i="53"/>
  <c r="FL32" i="53" s="1"/>
  <c r="FG32" i="53"/>
  <c r="FA32" i="53"/>
  <c r="EY32" i="53"/>
  <c r="EW32" i="53"/>
  <c r="FB32" i="53" s="1"/>
  <c r="EQ32" i="53"/>
  <c r="EO32" i="53"/>
  <c r="EM32" i="53"/>
  <c r="ER32" i="53" s="1"/>
  <c r="EG32" i="53"/>
  <c r="EE32" i="53"/>
  <c r="EC32" i="53"/>
  <c r="DW32" i="53"/>
  <c r="DU32" i="53"/>
  <c r="DS32" i="53"/>
  <c r="DM32" i="53"/>
  <c r="DK32" i="53"/>
  <c r="DI32" i="53"/>
  <c r="DC32" i="53"/>
  <c r="DA32" i="53"/>
  <c r="CY32" i="53"/>
  <c r="DD32" i="53" s="1"/>
  <c r="CS32" i="53"/>
  <c r="CQ32" i="53"/>
  <c r="CO32" i="53"/>
  <c r="CT32" i="53" s="1"/>
  <c r="CI32" i="53"/>
  <c r="CG32" i="53"/>
  <c r="CE32" i="53"/>
  <c r="BY32" i="53"/>
  <c r="BW32" i="53"/>
  <c r="BU32" i="53"/>
  <c r="BO32" i="53"/>
  <c r="BM32" i="53"/>
  <c r="BK32" i="53"/>
  <c r="BP32" i="53" s="1"/>
  <c r="BE32" i="53"/>
  <c r="BC32" i="53"/>
  <c r="BA32" i="53"/>
  <c r="IM31" i="53"/>
  <c r="IK31" i="53"/>
  <c r="II31" i="53"/>
  <c r="IN31" i="53" s="1"/>
  <c r="IC31" i="53"/>
  <c r="IA31" i="53"/>
  <c r="HY31" i="53"/>
  <c r="ID31" i="53" s="1"/>
  <c r="HS31" i="53"/>
  <c r="HQ31" i="53"/>
  <c r="HO31" i="53"/>
  <c r="HI31" i="53"/>
  <c r="HG31" i="53"/>
  <c r="HE31" i="53"/>
  <c r="GY31" i="53"/>
  <c r="GW31" i="53"/>
  <c r="GU31" i="53"/>
  <c r="GO31" i="53"/>
  <c r="GM31" i="53"/>
  <c r="GK31" i="53"/>
  <c r="GP31" i="53" s="1"/>
  <c r="GE31" i="53"/>
  <c r="GC31" i="53"/>
  <c r="GA31" i="53"/>
  <c r="FU31" i="53"/>
  <c r="FS31" i="53"/>
  <c r="FQ31" i="53"/>
  <c r="FK31" i="53"/>
  <c r="FI31" i="53"/>
  <c r="FG31" i="53"/>
  <c r="FA31" i="53"/>
  <c r="EY31" i="53"/>
  <c r="EW31" i="53"/>
  <c r="FB31" i="53" s="1"/>
  <c r="EQ31" i="53"/>
  <c r="EO31" i="53"/>
  <c r="EM31" i="53"/>
  <c r="EG31" i="53"/>
  <c r="EE31" i="53"/>
  <c r="EC31" i="53"/>
  <c r="DW31" i="53"/>
  <c r="DU31" i="53"/>
  <c r="DS31" i="53"/>
  <c r="DN31" i="53"/>
  <c r="DM31" i="53"/>
  <c r="DK31" i="53"/>
  <c r="DI31" i="53"/>
  <c r="DC31" i="53"/>
  <c r="DA31" i="53"/>
  <c r="CY31" i="53"/>
  <c r="CS31" i="53"/>
  <c r="CQ31" i="53"/>
  <c r="CT31" i="53" s="1"/>
  <c r="CO31" i="53"/>
  <c r="CI31" i="53"/>
  <c r="CG31" i="53"/>
  <c r="CE31" i="53"/>
  <c r="CJ31" i="53" s="1"/>
  <c r="BY31" i="53"/>
  <c r="BW31" i="53"/>
  <c r="BU31" i="53"/>
  <c r="BZ31" i="53" s="1"/>
  <c r="BO31" i="53"/>
  <c r="BM31" i="53"/>
  <c r="BK31" i="53"/>
  <c r="BE31" i="53"/>
  <c r="BC31" i="53"/>
  <c r="BA31" i="53"/>
  <c r="IM30" i="53"/>
  <c r="IK30" i="53"/>
  <c r="II30" i="53"/>
  <c r="IN30" i="53" s="1"/>
  <c r="IC30" i="53"/>
  <c r="IA30" i="53"/>
  <c r="HY30" i="53"/>
  <c r="HS30" i="53"/>
  <c r="HQ30" i="53"/>
  <c r="HO30" i="53"/>
  <c r="HI30" i="53"/>
  <c r="HG30" i="53"/>
  <c r="HE30" i="53"/>
  <c r="GZ30" i="53"/>
  <c r="GY30" i="53"/>
  <c r="GW30" i="53"/>
  <c r="GU30" i="53"/>
  <c r="GO30" i="53"/>
  <c r="GM30" i="53"/>
  <c r="GK30" i="53"/>
  <c r="GE30" i="53"/>
  <c r="GC30" i="53"/>
  <c r="GF30" i="53" s="1"/>
  <c r="GA30" i="53"/>
  <c r="FU30" i="53"/>
  <c r="FS30" i="53"/>
  <c r="FQ30" i="53"/>
  <c r="FV30" i="53" s="1"/>
  <c r="FK30" i="53"/>
  <c r="FI30" i="53"/>
  <c r="FG30" i="53"/>
  <c r="FA30" i="53"/>
  <c r="EY30" i="53"/>
  <c r="EW30" i="53"/>
  <c r="EQ30" i="53"/>
  <c r="EO30" i="53"/>
  <c r="EM30" i="53"/>
  <c r="ER30" i="53" s="1"/>
  <c r="EG30" i="53"/>
  <c r="EE30" i="53"/>
  <c r="EC30" i="53"/>
  <c r="DW30" i="53"/>
  <c r="DU30" i="53"/>
  <c r="DS30" i="53"/>
  <c r="DM30" i="53"/>
  <c r="DK30" i="53"/>
  <c r="DI30" i="53"/>
  <c r="DD30" i="53"/>
  <c r="DC30" i="53"/>
  <c r="DA30" i="53"/>
  <c r="CY30" i="53"/>
  <c r="CS30" i="53"/>
  <c r="CQ30" i="53"/>
  <c r="CO30" i="53"/>
  <c r="CI30" i="53"/>
  <c r="CG30" i="53"/>
  <c r="CJ30" i="53" s="1"/>
  <c r="CE30" i="53"/>
  <c r="BY30" i="53"/>
  <c r="BW30" i="53"/>
  <c r="BU30" i="53"/>
  <c r="BO30" i="53"/>
  <c r="BM30" i="53"/>
  <c r="BK30" i="53"/>
  <c r="BQ30" i="53" s="1"/>
  <c r="BH30" i="53" s="1"/>
  <c r="BI30" i="53" s="1"/>
  <c r="BE30" i="53"/>
  <c r="BC30" i="53"/>
  <c r="BA30" i="53"/>
  <c r="BF30" i="53" s="1"/>
  <c r="IM29" i="53"/>
  <c r="IK29" i="53"/>
  <c r="II29" i="53"/>
  <c r="IC29" i="53"/>
  <c r="IA29" i="53"/>
  <c r="HY29" i="53"/>
  <c r="ID29" i="53" s="1"/>
  <c r="HS29" i="53"/>
  <c r="HQ29" i="53"/>
  <c r="HO29" i="53"/>
  <c r="HI29" i="53"/>
  <c r="HG29" i="53"/>
  <c r="HE29" i="53"/>
  <c r="GY29" i="53"/>
  <c r="GW29" i="53"/>
  <c r="GU29" i="53"/>
  <c r="GO29" i="53"/>
  <c r="GM29" i="53"/>
  <c r="GK29" i="53"/>
  <c r="GP29" i="53" s="1"/>
  <c r="GE29" i="53"/>
  <c r="GC29" i="53"/>
  <c r="GA29" i="53"/>
  <c r="GF29" i="53" s="1"/>
  <c r="FU29" i="53"/>
  <c r="FS29" i="53"/>
  <c r="FQ29" i="53"/>
  <c r="FK29" i="53"/>
  <c r="FI29" i="53"/>
  <c r="FG29" i="53"/>
  <c r="FA29" i="53"/>
  <c r="EY29" i="53"/>
  <c r="EW29" i="53"/>
  <c r="FB29" i="53" s="1"/>
  <c r="EQ29" i="53"/>
  <c r="EO29" i="53"/>
  <c r="EM29" i="53"/>
  <c r="EG29" i="53"/>
  <c r="EE29" i="53"/>
  <c r="EC29" i="53"/>
  <c r="EH29" i="53" s="1"/>
  <c r="DW29" i="53"/>
  <c r="DU29" i="53"/>
  <c r="DS29" i="53"/>
  <c r="DX29" i="53" s="1"/>
  <c r="DM29" i="53"/>
  <c r="DK29" i="53"/>
  <c r="DI29" i="53"/>
  <c r="DN29" i="53" s="1"/>
  <c r="DC29" i="53"/>
  <c r="DA29" i="53"/>
  <c r="CY29" i="53"/>
  <c r="CS29" i="53"/>
  <c r="CQ29" i="53"/>
  <c r="CO29" i="53"/>
  <c r="CT29" i="53" s="1"/>
  <c r="CI29" i="53"/>
  <c r="CG29" i="53"/>
  <c r="CE29" i="53"/>
  <c r="CJ29" i="53" s="1"/>
  <c r="BY29" i="53"/>
  <c r="BW29" i="53"/>
  <c r="BU29" i="53"/>
  <c r="BZ29" i="53" s="1"/>
  <c r="BO29" i="53"/>
  <c r="BM29" i="53"/>
  <c r="BK29" i="53"/>
  <c r="BF29" i="53"/>
  <c r="BE29" i="53"/>
  <c r="BC29" i="53"/>
  <c r="BA29" i="53"/>
  <c r="IM28" i="53"/>
  <c r="IK28" i="53"/>
  <c r="II28" i="53"/>
  <c r="IC28" i="53"/>
  <c r="IA28" i="53"/>
  <c r="ID28" i="53" s="1"/>
  <c r="HY28" i="53"/>
  <c r="HS28" i="53"/>
  <c r="HQ28" i="53"/>
  <c r="HO28" i="53"/>
  <c r="HI28" i="53"/>
  <c r="HG28" i="53"/>
  <c r="HE28" i="53"/>
  <c r="GZ28" i="53"/>
  <c r="GY28" i="53"/>
  <c r="GW28" i="53"/>
  <c r="GU28" i="53"/>
  <c r="GO28" i="53"/>
  <c r="GM28" i="53"/>
  <c r="GK28" i="53"/>
  <c r="GE28" i="53"/>
  <c r="GC28" i="53"/>
  <c r="GF28" i="53" s="1"/>
  <c r="GA28" i="53"/>
  <c r="FU28" i="53"/>
  <c r="FS28" i="53"/>
  <c r="FQ28" i="53"/>
  <c r="FV28" i="53" s="1"/>
  <c r="FK28" i="53"/>
  <c r="FI28" i="53"/>
  <c r="FG28" i="53"/>
  <c r="FL28" i="53" s="1"/>
  <c r="FA28" i="53"/>
  <c r="EY28" i="53"/>
  <c r="EW28" i="53"/>
  <c r="EQ28" i="53"/>
  <c r="EO28" i="53"/>
  <c r="EM28" i="53"/>
  <c r="EG28" i="53"/>
  <c r="EE28" i="53"/>
  <c r="EC28" i="53"/>
  <c r="DW28" i="53"/>
  <c r="DU28" i="53"/>
  <c r="DS28" i="53"/>
  <c r="DX28" i="53" s="1"/>
  <c r="DM28" i="53"/>
  <c r="DK28" i="53"/>
  <c r="DI28" i="53"/>
  <c r="DN28" i="53" s="1"/>
  <c r="DC28" i="53"/>
  <c r="DA28" i="53"/>
  <c r="CY28" i="53"/>
  <c r="CS28" i="53"/>
  <c r="CQ28" i="53"/>
  <c r="CO28" i="53"/>
  <c r="CI28" i="53"/>
  <c r="CG28" i="53"/>
  <c r="CE28" i="53"/>
  <c r="CJ28" i="53" s="1"/>
  <c r="BY28" i="53"/>
  <c r="BW28" i="53"/>
  <c r="BU28" i="53"/>
  <c r="BO28" i="53"/>
  <c r="BM28" i="53"/>
  <c r="BK28" i="53"/>
  <c r="BQ28" i="53" s="1"/>
  <c r="BH28" i="53" s="1"/>
  <c r="BI28" i="53" s="1"/>
  <c r="BE28" i="53"/>
  <c r="BC28" i="53"/>
  <c r="BA28" i="53"/>
  <c r="IN27" i="53"/>
  <c r="IM27" i="53"/>
  <c r="IK27" i="53"/>
  <c r="II27" i="53"/>
  <c r="IC27" i="53"/>
  <c r="IA27" i="53"/>
  <c r="HY27" i="53"/>
  <c r="HS27" i="53"/>
  <c r="HQ27" i="53"/>
  <c r="HT27" i="53" s="1"/>
  <c r="HO27" i="53"/>
  <c r="HI27" i="53"/>
  <c r="HG27" i="53"/>
  <c r="HE27" i="53"/>
  <c r="HJ27" i="53" s="1"/>
  <c r="GY27" i="53"/>
  <c r="GW27" i="53"/>
  <c r="GU27" i="53"/>
  <c r="GZ27" i="53" s="1"/>
  <c r="GO27" i="53"/>
  <c r="GM27" i="53"/>
  <c r="GK27" i="53"/>
  <c r="GE27" i="53"/>
  <c r="GC27" i="53"/>
  <c r="GA27" i="53"/>
  <c r="FU27" i="53"/>
  <c r="FS27" i="53"/>
  <c r="FQ27" i="53"/>
  <c r="FK27" i="53"/>
  <c r="FI27" i="53"/>
  <c r="FG27" i="53"/>
  <c r="FL27" i="53" s="1"/>
  <c r="FA27" i="53"/>
  <c r="EY27" i="53"/>
  <c r="EW27" i="53"/>
  <c r="FB27" i="53" s="1"/>
  <c r="EQ27" i="53"/>
  <c r="EO27" i="53"/>
  <c r="EM27" i="53"/>
  <c r="EG27" i="53"/>
  <c r="EE27" i="53"/>
  <c r="EC27" i="53"/>
  <c r="DW27" i="53"/>
  <c r="DU27" i="53"/>
  <c r="DS27" i="53"/>
  <c r="DX27" i="53" s="1"/>
  <c r="DM27" i="53"/>
  <c r="DK27" i="53"/>
  <c r="DI27" i="53"/>
  <c r="DC27" i="53"/>
  <c r="DA27" i="53"/>
  <c r="CY27" i="53"/>
  <c r="CS27" i="53"/>
  <c r="CQ27" i="53"/>
  <c r="CO27" i="53"/>
  <c r="CJ27" i="53"/>
  <c r="CI27" i="53"/>
  <c r="CG27" i="53"/>
  <c r="CE27" i="53"/>
  <c r="BY27" i="53"/>
  <c r="BW27" i="53"/>
  <c r="BU27" i="53"/>
  <c r="BO27" i="53"/>
  <c r="BM27" i="53"/>
  <c r="BP27" i="53" s="1"/>
  <c r="BK27" i="53"/>
  <c r="BE27" i="53"/>
  <c r="BC27" i="53"/>
  <c r="BA27" i="53"/>
  <c r="BG27" i="53" s="1"/>
  <c r="AX27" i="53" s="1"/>
  <c r="AY27" i="53" s="1"/>
  <c r="IM26" i="53"/>
  <c r="IK26" i="53"/>
  <c r="II26" i="53"/>
  <c r="IN26" i="53" s="1"/>
  <c r="IC26" i="53"/>
  <c r="IA26" i="53"/>
  <c r="HY26" i="53"/>
  <c r="ID26" i="53" s="1"/>
  <c r="HS26" i="53"/>
  <c r="HQ26" i="53"/>
  <c r="HO26" i="53"/>
  <c r="HI26" i="53"/>
  <c r="HG26" i="53"/>
  <c r="HE26" i="53"/>
  <c r="GY26" i="53"/>
  <c r="GW26" i="53"/>
  <c r="GU26" i="53"/>
  <c r="GZ26" i="53" s="1"/>
  <c r="GO26" i="53"/>
  <c r="GM26" i="53"/>
  <c r="GK26" i="53"/>
  <c r="GP26" i="53" s="1"/>
  <c r="GE26" i="53"/>
  <c r="GC26" i="53"/>
  <c r="GA26" i="53"/>
  <c r="GF26" i="53" s="1"/>
  <c r="FU26" i="53"/>
  <c r="FS26" i="53"/>
  <c r="FQ26" i="53"/>
  <c r="FK26" i="53"/>
  <c r="FI26" i="53"/>
  <c r="FG26" i="53"/>
  <c r="FL26" i="53" s="1"/>
  <c r="FA26" i="53"/>
  <c r="EY26" i="53"/>
  <c r="EW26" i="53"/>
  <c r="FB26" i="53" s="1"/>
  <c r="EQ26" i="53"/>
  <c r="EO26" i="53"/>
  <c r="EM26" i="53"/>
  <c r="ER26" i="53" s="1"/>
  <c r="EG26" i="53"/>
  <c r="EE26" i="53"/>
  <c r="EC26" i="53"/>
  <c r="DX26" i="53"/>
  <c r="DW26" i="53"/>
  <c r="DU26" i="53"/>
  <c r="DS26" i="53"/>
  <c r="DM26" i="53"/>
  <c r="DK26" i="53"/>
  <c r="DI26" i="53"/>
  <c r="DC26" i="53"/>
  <c r="DA26" i="53"/>
  <c r="CY26" i="53"/>
  <c r="CS26" i="53"/>
  <c r="CQ26" i="53"/>
  <c r="CO26" i="53"/>
  <c r="CT26" i="53" s="1"/>
  <c r="CI26" i="53"/>
  <c r="CG26" i="53"/>
  <c r="CE26" i="53"/>
  <c r="CJ26" i="53" s="1"/>
  <c r="BY26" i="53"/>
  <c r="BW26" i="53"/>
  <c r="BU26" i="53"/>
  <c r="BO26" i="53"/>
  <c r="BM26" i="53"/>
  <c r="BK26" i="53"/>
  <c r="BE26" i="53"/>
  <c r="BC26" i="53"/>
  <c r="BA26" i="53"/>
  <c r="BF26" i="53" s="1"/>
  <c r="IM25" i="53"/>
  <c r="IK25" i="53"/>
  <c r="II25" i="53"/>
  <c r="IC25" i="53"/>
  <c r="IA25" i="53"/>
  <c r="HY25" i="53"/>
  <c r="ID25" i="53" s="1"/>
  <c r="HS25" i="53"/>
  <c r="HQ25" i="53"/>
  <c r="HO25" i="53"/>
  <c r="HJ25" i="53"/>
  <c r="HI25" i="53"/>
  <c r="HG25" i="53"/>
  <c r="HE25" i="53"/>
  <c r="GY25" i="53"/>
  <c r="GW25" i="53"/>
  <c r="GU25" i="53"/>
  <c r="GO25" i="53"/>
  <c r="GM25" i="53"/>
  <c r="GK25" i="53"/>
  <c r="GE25" i="53"/>
  <c r="GC25" i="53"/>
  <c r="GA25" i="53"/>
  <c r="GF25" i="53" s="1"/>
  <c r="FU25" i="53"/>
  <c r="FS25" i="53"/>
  <c r="FQ25" i="53"/>
  <c r="FV25" i="53" s="1"/>
  <c r="FK25" i="53"/>
  <c r="FI25" i="53"/>
  <c r="FG25" i="53"/>
  <c r="FA25" i="53"/>
  <c r="EY25" i="53"/>
  <c r="EW25" i="53"/>
  <c r="EQ25" i="53"/>
  <c r="EO25" i="53"/>
  <c r="EM25" i="53"/>
  <c r="EG25" i="53"/>
  <c r="EE25" i="53"/>
  <c r="EC25" i="53"/>
  <c r="EH25" i="53" s="1"/>
  <c r="DW25" i="53"/>
  <c r="DU25" i="53"/>
  <c r="DS25" i="53"/>
  <c r="DX25" i="53" s="1"/>
  <c r="DM25" i="53"/>
  <c r="DK25" i="53"/>
  <c r="DI25" i="53"/>
  <c r="DC25" i="53"/>
  <c r="DA25" i="53"/>
  <c r="CY25" i="53"/>
  <c r="CS25" i="53"/>
  <c r="CQ25" i="53"/>
  <c r="CO25" i="53"/>
  <c r="CT25" i="53" s="1"/>
  <c r="CI25" i="53"/>
  <c r="CG25" i="53"/>
  <c r="CE25" i="53"/>
  <c r="BY25" i="53"/>
  <c r="BW25" i="53"/>
  <c r="BU25" i="53"/>
  <c r="BZ25" i="53" s="1"/>
  <c r="BO25" i="53"/>
  <c r="BM25" i="53"/>
  <c r="BK25" i="53"/>
  <c r="BF25" i="53"/>
  <c r="BE25" i="53"/>
  <c r="BC25" i="53"/>
  <c r="BA25" i="53"/>
  <c r="IM24" i="53"/>
  <c r="IK24" i="53"/>
  <c r="II24" i="53"/>
  <c r="IC24" i="53"/>
  <c r="IA24" i="53"/>
  <c r="HY24" i="53"/>
  <c r="HS24" i="53"/>
  <c r="HQ24" i="53"/>
  <c r="HO24" i="53"/>
  <c r="HT24" i="53" s="1"/>
  <c r="HI24" i="53"/>
  <c r="HG24" i="53"/>
  <c r="HE24" i="53"/>
  <c r="HJ24" i="53" s="1"/>
  <c r="GY24" i="53"/>
  <c r="GW24" i="53"/>
  <c r="GU24" i="53"/>
  <c r="GO24" i="53"/>
  <c r="GM24" i="53"/>
  <c r="GK24" i="53"/>
  <c r="GE24" i="53"/>
  <c r="GC24" i="53"/>
  <c r="GA24" i="53"/>
  <c r="FU24" i="53"/>
  <c r="FS24" i="53"/>
  <c r="FQ24" i="53"/>
  <c r="FV24" i="53" s="1"/>
  <c r="FK24" i="53"/>
  <c r="FI24" i="53"/>
  <c r="FG24" i="53"/>
  <c r="FL24" i="53" s="1"/>
  <c r="FA24" i="53"/>
  <c r="EY24" i="53"/>
  <c r="EW24" i="53"/>
  <c r="EQ24" i="53"/>
  <c r="EO24" i="53"/>
  <c r="EM24" i="53"/>
  <c r="EG24" i="53"/>
  <c r="EE24" i="53"/>
  <c r="EC24" i="53"/>
  <c r="EH24" i="53" s="1"/>
  <c r="DW24" i="53"/>
  <c r="DU24" i="53"/>
  <c r="DS24" i="53"/>
  <c r="DM24" i="53"/>
  <c r="DK24" i="53"/>
  <c r="DI24" i="53"/>
  <c r="DN24" i="53" s="1"/>
  <c r="DC24" i="53"/>
  <c r="DA24" i="53"/>
  <c r="CY24" i="53"/>
  <c r="CT24" i="53"/>
  <c r="CS24" i="53"/>
  <c r="CQ24" i="53"/>
  <c r="CO24" i="53"/>
  <c r="CI24" i="53"/>
  <c r="CG24" i="53"/>
  <c r="CE24" i="53"/>
  <c r="BY24" i="53"/>
  <c r="BW24" i="53"/>
  <c r="BU24" i="53"/>
  <c r="BO24" i="53"/>
  <c r="BM24" i="53"/>
  <c r="BK24" i="53"/>
  <c r="BQ24" i="53" s="1"/>
  <c r="BH24" i="53" s="1"/>
  <c r="BE24" i="53"/>
  <c r="BC24" i="53"/>
  <c r="BA24" i="53"/>
  <c r="BG24" i="53" s="1"/>
  <c r="AX24" i="53" s="1"/>
  <c r="AY24" i="53" s="1"/>
  <c r="IM23" i="53"/>
  <c r="IK23" i="53"/>
  <c r="II23" i="53"/>
  <c r="IC23" i="53"/>
  <c r="IA23" i="53"/>
  <c r="HY23" i="53"/>
  <c r="HS23" i="53"/>
  <c r="HQ23" i="53"/>
  <c r="HO23" i="53"/>
  <c r="HI23" i="53"/>
  <c r="HG23" i="53"/>
  <c r="HE23" i="53"/>
  <c r="HJ23" i="53" s="1"/>
  <c r="GY23" i="53"/>
  <c r="GW23" i="53"/>
  <c r="GU23" i="53"/>
  <c r="GZ23" i="53" s="1"/>
  <c r="GO23" i="53"/>
  <c r="GM23" i="53"/>
  <c r="GK23" i="53"/>
  <c r="GE23" i="53"/>
  <c r="GC23" i="53"/>
  <c r="GA23" i="53"/>
  <c r="FU23" i="53"/>
  <c r="FS23" i="53"/>
  <c r="FQ23" i="53"/>
  <c r="FV23" i="53" s="1"/>
  <c r="FK23" i="53"/>
  <c r="FI23" i="53"/>
  <c r="FG23" i="53"/>
  <c r="FA23" i="53"/>
  <c r="EY23" i="53"/>
  <c r="EW23" i="53"/>
  <c r="FB23" i="53" s="1"/>
  <c r="EQ23" i="53"/>
  <c r="EO23" i="53"/>
  <c r="EM23" i="53"/>
  <c r="EH23" i="53"/>
  <c r="EG23" i="53"/>
  <c r="EE23" i="53"/>
  <c r="EC23" i="53"/>
  <c r="DW23" i="53"/>
  <c r="DU23" i="53"/>
  <c r="DS23" i="53"/>
  <c r="DM23" i="53"/>
  <c r="DK23" i="53"/>
  <c r="DI23" i="53"/>
  <c r="DC23" i="53"/>
  <c r="DA23" i="53"/>
  <c r="CY23" i="53"/>
  <c r="DD23" i="53" s="1"/>
  <c r="CS23" i="53"/>
  <c r="CQ23" i="53"/>
  <c r="CO23" i="53"/>
  <c r="CT23" i="53" s="1"/>
  <c r="CI23" i="53"/>
  <c r="CG23" i="53"/>
  <c r="CE23" i="53"/>
  <c r="BY23" i="53"/>
  <c r="BW23" i="53"/>
  <c r="BU23" i="53"/>
  <c r="BO23" i="53"/>
  <c r="BM23" i="53"/>
  <c r="BK23" i="53"/>
  <c r="BE23" i="53"/>
  <c r="BC23" i="53"/>
  <c r="BA23" i="53"/>
  <c r="BF23" i="53" s="1"/>
  <c r="AV23" i="53"/>
  <c r="AU23" i="53"/>
  <c r="AU24" i="53" s="1"/>
  <c r="IM22" i="53"/>
  <c r="IK22" i="53"/>
  <c r="II22" i="53"/>
  <c r="IC22" i="53"/>
  <c r="IA22" i="53"/>
  <c r="HY22" i="53"/>
  <c r="ID22" i="53" s="1"/>
  <c r="HS22" i="53"/>
  <c r="HQ22" i="53"/>
  <c r="HO22" i="53"/>
  <c r="HI22" i="53"/>
  <c r="HG22" i="53"/>
  <c r="HE22" i="53"/>
  <c r="GY22" i="53"/>
  <c r="GW22" i="53"/>
  <c r="GU22" i="53"/>
  <c r="GP22" i="53"/>
  <c r="GO22" i="53"/>
  <c r="GM22" i="53"/>
  <c r="GK22" i="53"/>
  <c r="GE22" i="53"/>
  <c r="GC22" i="53"/>
  <c r="GA22" i="53"/>
  <c r="FU22" i="53"/>
  <c r="FS22" i="53"/>
  <c r="FV22" i="53" s="1"/>
  <c r="FQ22" i="53"/>
  <c r="FK22" i="53"/>
  <c r="FI22" i="53"/>
  <c r="FG22" i="53"/>
  <c r="FL22" i="53" s="1"/>
  <c r="FA22" i="53"/>
  <c r="EY22" i="53"/>
  <c r="EW22" i="53"/>
  <c r="FB22" i="53" s="1"/>
  <c r="EQ22" i="53"/>
  <c r="EO22" i="53"/>
  <c r="EM22" i="53"/>
  <c r="EG22" i="53"/>
  <c r="EE22" i="53"/>
  <c r="EC22" i="53"/>
  <c r="DW22" i="53"/>
  <c r="DU22" i="53"/>
  <c r="DS22" i="53"/>
  <c r="DM22" i="53"/>
  <c r="DK22" i="53"/>
  <c r="DI22" i="53"/>
  <c r="DN22" i="53" s="1"/>
  <c r="DC22" i="53"/>
  <c r="DA22" i="53"/>
  <c r="CY22" i="53"/>
  <c r="DD22" i="53" s="1"/>
  <c r="CS22" i="53"/>
  <c r="CQ22" i="53"/>
  <c r="CO22" i="53"/>
  <c r="CI22" i="53"/>
  <c r="CG22" i="53"/>
  <c r="CE22" i="53"/>
  <c r="BY22" i="53"/>
  <c r="BW22" i="53"/>
  <c r="BU22" i="53"/>
  <c r="BZ22" i="53" s="1"/>
  <c r="BO22" i="53"/>
  <c r="BM22" i="53"/>
  <c r="BK22" i="53"/>
  <c r="BE22" i="53"/>
  <c r="BC22" i="53"/>
  <c r="BA22" i="53"/>
  <c r="BG22" i="53" s="1"/>
  <c r="AX22" i="53" s="1"/>
  <c r="AY22" i="53" s="1"/>
  <c r="AV22" i="53"/>
  <c r="IM21" i="53"/>
  <c r="IK21" i="53"/>
  <c r="II21" i="53"/>
  <c r="IN21" i="53" s="1"/>
  <c r="IC21" i="53"/>
  <c r="IA21" i="53"/>
  <c r="HY21" i="53"/>
  <c r="ID21" i="53" s="1"/>
  <c r="HS21" i="53"/>
  <c r="HQ21" i="53"/>
  <c r="HO21" i="53"/>
  <c r="HI21" i="53"/>
  <c r="HG21" i="53"/>
  <c r="HE21" i="53"/>
  <c r="GY21" i="53"/>
  <c r="GW21" i="53"/>
  <c r="GU21" i="53"/>
  <c r="GZ21" i="53" s="1"/>
  <c r="GO21" i="53"/>
  <c r="GM21" i="53"/>
  <c r="GK21" i="53"/>
  <c r="GE21" i="53"/>
  <c r="GC21" i="53"/>
  <c r="GA21" i="53"/>
  <c r="FU21" i="53"/>
  <c r="FS21" i="53"/>
  <c r="FQ21" i="53"/>
  <c r="FL21" i="53"/>
  <c r="FK21" i="53"/>
  <c r="FI21" i="53"/>
  <c r="FG21" i="53"/>
  <c r="FA21" i="53"/>
  <c r="EY21" i="53"/>
  <c r="EW21" i="53"/>
  <c r="EQ21" i="53"/>
  <c r="EO21" i="53"/>
  <c r="ER21" i="53" s="1"/>
  <c r="EM21" i="53"/>
  <c r="EG21" i="53"/>
  <c r="EE21" i="53"/>
  <c r="EC21" i="53"/>
  <c r="EH21" i="53" s="1"/>
  <c r="DW21" i="53"/>
  <c r="DU21" i="53"/>
  <c r="DS21" i="53"/>
  <c r="DX21" i="53" s="1"/>
  <c r="DM21" i="53"/>
  <c r="DK21" i="53"/>
  <c r="DI21" i="53"/>
  <c r="DC21" i="53"/>
  <c r="DA21" i="53"/>
  <c r="CY21" i="53"/>
  <c r="CS21" i="53"/>
  <c r="CQ21" i="53"/>
  <c r="CO21" i="53"/>
  <c r="CI21" i="53"/>
  <c r="CG21" i="53"/>
  <c r="CE21" i="53"/>
  <c r="CJ21" i="53" s="1"/>
  <c r="BY21" i="53"/>
  <c r="BW21" i="53"/>
  <c r="BU21" i="53"/>
  <c r="BZ21" i="53" s="1"/>
  <c r="BO21" i="53"/>
  <c r="BM21" i="53"/>
  <c r="BK21" i="53"/>
  <c r="BE21" i="53"/>
  <c r="BC21" i="53"/>
  <c r="BA21" i="53"/>
  <c r="AU21" i="53"/>
  <c r="AV21" i="53" s="1"/>
  <c r="B20" i="53"/>
  <c r="B21" i="53" s="1"/>
  <c r="B22" i="53" s="1"/>
  <c r="B23" i="53" s="1"/>
  <c r="B24" i="53" s="1"/>
  <c r="B25" i="53" s="1"/>
  <c r="BR19" i="53"/>
  <c r="BI19" i="53"/>
  <c r="AY19" i="53"/>
  <c r="B18" i="53"/>
  <c r="G16" i="53"/>
  <c r="H16" i="53" s="1"/>
  <c r="I16" i="53" s="1"/>
  <c r="F16" i="53"/>
  <c r="O12" i="53"/>
  <c r="O11" i="53"/>
  <c r="O10" i="53"/>
  <c r="O9" i="53"/>
  <c r="O8" i="53"/>
  <c r="O7" i="53"/>
  <c r="C7" i="53"/>
  <c r="V6" i="53"/>
  <c r="O6" i="53"/>
  <c r="V5" i="53"/>
  <c r="O5" i="53"/>
  <c r="S81" i="53"/>
  <c r="O4" i="53"/>
  <c r="C4" i="53"/>
  <c r="V81" i="53" s="1"/>
  <c r="C3" i="53"/>
  <c r="AU21" i="52"/>
  <c r="AU21" i="46"/>
  <c r="O46" i="46"/>
  <c r="B18" i="46"/>
  <c r="AB77" i="58" l="1"/>
  <c r="V73" i="60"/>
  <c r="V76" i="60" s="1"/>
  <c r="AB77" i="60" s="1"/>
  <c r="AB77" i="59"/>
  <c r="AB77" i="57"/>
  <c r="AM53" i="59"/>
  <c r="AM52" i="59"/>
  <c r="E62" i="59"/>
  <c r="E63" i="59" s="1"/>
  <c r="E62" i="57"/>
  <c r="E63" i="57" s="1"/>
  <c r="AM52" i="57"/>
  <c r="AM52" i="60"/>
  <c r="E62" i="60"/>
  <c r="E63" i="60" s="1"/>
  <c r="AM52" i="58"/>
  <c r="E62" i="58"/>
  <c r="E63" i="58" s="1"/>
  <c r="AM53" i="58"/>
  <c r="D50" i="59"/>
  <c r="D51" i="59" s="1"/>
  <c r="AN47" i="59"/>
  <c r="AN47" i="58"/>
  <c r="D50" i="58"/>
  <c r="D51" i="58" s="1"/>
  <c r="D50" i="60"/>
  <c r="D51" i="60" s="1"/>
  <c r="AN47" i="60"/>
  <c r="AN47" i="57"/>
  <c r="D50" i="57"/>
  <c r="AM53" i="60"/>
  <c r="D62" i="56"/>
  <c r="AN52" i="56"/>
  <c r="AM47" i="56"/>
  <c r="AN47" i="56"/>
  <c r="W9" i="55"/>
  <c r="W9" i="54"/>
  <c r="W9" i="53"/>
  <c r="I9" i="53"/>
  <c r="I10" i="53" s="1"/>
  <c r="I9" i="55"/>
  <c r="I10" i="55" s="1"/>
  <c r="U73" i="55"/>
  <c r="V73" i="55" s="1"/>
  <c r="V76" i="55" s="1"/>
  <c r="AB78" i="55" s="1"/>
  <c r="U73" i="53"/>
  <c r="V73" i="53" s="1"/>
  <c r="V76" i="53" s="1"/>
  <c r="AB78" i="53" s="1"/>
  <c r="U73" i="54"/>
  <c r="V73" i="54" s="1"/>
  <c r="V76" i="54" s="1"/>
  <c r="AB78" i="54" s="1"/>
  <c r="W5" i="53"/>
  <c r="I84" i="53"/>
  <c r="W5" i="55"/>
  <c r="I84" i="55"/>
  <c r="W5" i="54"/>
  <c r="I84" i="54"/>
  <c r="F9" i="55"/>
  <c r="F10" i="55" s="1"/>
  <c r="W6" i="55"/>
  <c r="W7" i="60"/>
  <c r="F9" i="53"/>
  <c r="F10" i="53" s="1"/>
  <c r="W6" i="53"/>
  <c r="F9" i="54"/>
  <c r="F10" i="54" s="1"/>
  <c r="W6" i="54"/>
  <c r="C9" i="53"/>
  <c r="C10" i="53" s="1"/>
  <c r="D84" i="53"/>
  <c r="C9" i="54"/>
  <c r="C10" i="54" s="1"/>
  <c r="D84" i="54"/>
  <c r="D84" i="55"/>
  <c r="I9" i="54"/>
  <c r="I10" i="54" s="1"/>
  <c r="C9" i="55"/>
  <c r="C10" i="55" s="1"/>
  <c r="P81" i="53"/>
  <c r="P83" i="53" s="1"/>
  <c r="AB74" i="53" s="1"/>
  <c r="P74" i="54"/>
  <c r="P76" i="54" s="1"/>
  <c r="AB73" i="54" s="1"/>
  <c r="P74" i="55"/>
  <c r="P76" i="55" s="1"/>
  <c r="AB73" i="55" s="1"/>
  <c r="P74" i="53"/>
  <c r="P76" i="53" s="1"/>
  <c r="AB73" i="53" s="1"/>
  <c r="P81" i="54"/>
  <c r="P83" i="54" s="1"/>
  <c r="AB74" i="54" s="1"/>
  <c r="P81" i="55"/>
  <c r="P83" i="55" s="1"/>
  <c r="AB74" i="55" s="1"/>
  <c r="W8" i="60"/>
  <c r="G12" i="60"/>
  <c r="D12" i="60"/>
  <c r="D12" i="59"/>
  <c r="W7" i="59"/>
  <c r="W8" i="59"/>
  <c r="G12" i="59"/>
  <c r="D12" i="58"/>
  <c r="W7" i="58"/>
  <c r="W8" i="58"/>
  <c r="G12" i="58"/>
  <c r="G12" i="57"/>
  <c r="W8" i="57"/>
  <c r="W7" i="57"/>
  <c r="D12" i="57"/>
  <c r="D12" i="56"/>
  <c r="W7" i="56"/>
  <c r="W8" i="56"/>
  <c r="G12" i="56"/>
  <c r="BQ21" i="55"/>
  <c r="BH21" i="55" s="1"/>
  <c r="FV21" i="55"/>
  <c r="GP21" i="55"/>
  <c r="HT21" i="55"/>
  <c r="BP22" i="55"/>
  <c r="CT22" i="55"/>
  <c r="GZ22" i="55"/>
  <c r="HT22" i="55"/>
  <c r="CJ23" i="55"/>
  <c r="DD23" i="55"/>
  <c r="EH23" i="55"/>
  <c r="FV23" i="55"/>
  <c r="HJ24" i="55"/>
  <c r="CT25" i="55"/>
  <c r="ER25" i="55"/>
  <c r="GP25" i="55"/>
  <c r="BF26" i="55"/>
  <c r="DD26" i="55"/>
  <c r="FB26" i="55"/>
  <c r="HJ26" i="55"/>
  <c r="FV27" i="55"/>
  <c r="ID27" i="55"/>
  <c r="CT28" i="55"/>
  <c r="BF29" i="55"/>
  <c r="BQ29" i="55"/>
  <c r="BH29" i="55" s="1"/>
  <c r="FL29" i="55"/>
  <c r="FV29" i="55"/>
  <c r="GZ29" i="55"/>
  <c r="BQ30" i="55"/>
  <c r="BH30" i="55" s="1"/>
  <c r="BI30" i="55" s="1"/>
  <c r="BZ30" i="55"/>
  <c r="CJ30" i="55"/>
  <c r="ID30" i="55"/>
  <c r="IN30" i="55"/>
  <c r="CJ31" i="55"/>
  <c r="ER31" i="55"/>
  <c r="FB31" i="55"/>
  <c r="IN31" i="55"/>
  <c r="CT32" i="55"/>
  <c r="DD32" i="55"/>
  <c r="ER32" i="55"/>
  <c r="HJ32" i="55"/>
  <c r="EH33" i="55"/>
  <c r="EH34" i="55"/>
  <c r="DX35" i="55"/>
  <c r="BG36" i="55"/>
  <c r="AX36" i="55" s="1"/>
  <c r="AY36" i="55" s="1"/>
  <c r="BP36" i="55"/>
  <c r="BG37" i="55"/>
  <c r="AX37" i="55" s="1"/>
  <c r="AY37" i="55" s="1"/>
  <c r="BP37" i="55"/>
  <c r="BZ37" i="55"/>
  <c r="BF38" i="55"/>
  <c r="BZ39" i="55"/>
  <c r="BF40" i="55"/>
  <c r="BF21" i="55"/>
  <c r="BZ21" i="55"/>
  <c r="DD21" i="55"/>
  <c r="HJ21" i="55"/>
  <c r="ID21" i="55"/>
  <c r="CJ22" i="55"/>
  <c r="DD22" i="55"/>
  <c r="EH22" i="55"/>
  <c r="IN22" i="55"/>
  <c r="BQ23" i="55"/>
  <c r="BH23" i="55" s="1"/>
  <c r="DX23" i="55"/>
  <c r="HJ23" i="55"/>
  <c r="CT24" i="55"/>
  <c r="BG25" i="55"/>
  <c r="AX25" i="55" s="1"/>
  <c r="AY25" i="55" s="1"/>
  <c r="BZ25" i="55"/>
  <c r="EH25" i="55"/>
  <c r="GF25" i="55"/>
  <c r="ID25" i="55"/>
  <c r="CT26" i="55"/>
  <c r="ER26" i="55"/>
  <c r="GP26" i="55"/>
  <c r="BF27" i="55"/>
  <c r="HJ27" i="55"/>
  <c r="BG28" i="55"/>
  <c r="AX28" i="55" s="1"/>
  <c r="AY28" i="55" s="1"/>
  <c r="EH28" i="55"/>
  <c r="DD29" i="55"/>
  <c r="BG30" i="55"/>
  <c r="AX30" i="55" s="1"/>
  <c r="AY30" i="55" s="1"/>
  <c r="DN30" i="55"/>
  <c r="DX30" i="55"/>
  <c r="BF31" i="55"/>
  <c r="DX31" i="55"/>
  <c r="GF31" i="55"/>
  <c r="GP31" i="55"/>
  <c r="BZ32" i="55"/>
  <c r="GF32" i="55"/>
  <c r="BF33" i="55"/>
  <c r="BQ33" i="55"/>
  <c r="BH33" i="55" s="1"/>
  <c r="BI33" i="55" s="1"/>
  <c r="CJ33" i="55"/>
  <c r="DD34" i="55"/>
  <c r="CT35" i="55"/>
  <c r="FB35" i="55"/>
  <c r="FL35" i="55"/>
  <c r="BZ36" i="55"/>
  <c r="DN36" i="55"/>
  <c r="DX36" i="55"/>
  <c r="DD37" i="55"/>
  <c r="DN37" i="55"/>
  <c r="CJ38" i="55"/>
  <c r="CT38" i="55"/>
  <c r="DD39" i="55"/>
  <c r="DN39" i="55"/>
  <c r="CJ40" i="55"/>
  <c r="CT40" i="55"/>
  <c r="FB21" i="55"/>
  <c r="GF22" i="55"/>
  <c r="BP23" i="55"/>
  <c r="FL23" i="55"/>
  <c r="GZ30" i="55"/>
  <c r="DN31" i="55"/>
  <c r="BP32" i="55"/>
  <c r="FV32" i="55"/>
  <c r="FL33" i="55"/>
  <c r="CT34" i="55"/>
  <c r="CJ35" i="55"/>
  <c r="BI23" i="55"/>
  <c r="E20" i="55"/>
  <c r="BS23" i="55"/>
  <c r="F20" i="55"/>
  <c r="BI22" i="55"/>
  <c r="E19" i="55"/>
  <c r="E22" i="55"/>
  <c r="B23" i="55"/>
  <c r="B24" i="55" s="1"/>
  <c r="B25" i="55" s="1"/>
  <c r="B26" i="55" s="1"/>
  <c r="B27" i="55" s="1"/>
  <c r="BI21" i="55"/>
  <c r="E18" i="55"/>
  <c r="BS19" i="55"/>
  <c r="CA22" i="55"/>
  <c r="BR22" i="55" s="1"/>
  <c r="E26" i="55"/>
  <c r="BI29" i="55"/>
  <c r="BP31" i="55"/>
  <c r="BQ31" i="55"/>
  <c r="BH31" i="55" s="1"/>
  <c r="BI32" i="55"/>
  <c r="CA39" i="55"/>
  <c r="BR39" i="55" s="1"/>
  <c r="BS39" i="55" s="1"/>
  <c r="CA37" i="55"/>
  <c r="BR37" i="55" s="1"/>
  <c r="BS37" i="55" s="1"/>
  <c r="CA40" i="55"/>
  <c r="BR40" i="55" s="1"/>
  <c r="BS40" i="55" s="1"/>
  <c r="CA38" i="55"/>
  <c r="BR38" i="55" s="1"/>
  <c r="BS38" i="55" s="1"/>
  <c r="CA36" i="55"/>
  <c r="BR36" i="55" s="1"/>
  <c r="BS36" i="55" s="1"/>
  <c r="CA34" i="55"/>
  <c r="BR34" i="55" s="1"/>
  <c r="BS34" i="55" s="1"/>
  <c r="CA31" i="55"/>
  <c r="BR31" i="55" s="1"/>
  <c r="CA33" i="55"/>
  <c r="BR33" i="55" s="1"/>
  <c r="BS33" i="55" s="1"/>
  <c r="CA32" i="55"/>
  <c r="BR32" i="55" s="1"/>
  <c r="CA35" i="55"/>
  <c r="BR35" i="55" s="1"/>
  <c r="BS35" i="55" s="1"/>
  <c r="CA30" i="55"/>
  <c r="BR30" i="55" s="1"/>
  <c r="CA29" i="55"/>
  <c r="BR29" i="55" s="1"/>
  <c r="CA28" i="55"/>
  <c r="BR28" i="55" s="1"/>
  <c r="CA27" i="55"/>
  <c r="BR27" i="55" s="1"/>
  <c r="CA26" i="55"/>
  <c r="BR26" i="55" s="1"/>
  <c r="CA25" i="55"/>
  <c r="BR25" i="55" s="1"/>
  <c r="CA24" i="55"/>
  <c r="BR24" i="55" s="1"/>
  <c r="CB19" i="55"/>
  <c r="BP21" i="55"/>
  <c r="CA21" i="55"/>
  <c r="BR21" i="55" s="1"/>
  <c r="BF22" i="55"/>
  <c r="E23" i="55"/>
  <c r="BF23" i="55"/>
  <c r="BQ24" i="55"/>
  <c r="BH24" i="55" s="1"/>
  <c r="BZ24" i="55"/>
  <c r="DD24" i="55"/>
  <c r="DN24" i="55"/>
  <c r="ER24" i="55"/>
  <c r="FB24" i="55"/>
  <c r="GF24" i="55"/>
  <c r="GP24" i="55"/>
  <c r="HT24" i="55"/>
  <c r="ID24" i="55"/>
  <c r="BG27" i="55"/>
  <c r="AX27" i="55" s="1"/>
  <c r="AY27" i="55" s="1"/>
  <c r="BQ28" i="55"/>
  <c r="BH28" i="55" s="1"/>
  <c r="DD28" i="55"/>
  <c r="ER28" i="55"/>
  <c r="GF28" i="55"/>
  <c r="HT28" i="55"/>
  <c r="BZ29" i="55"/>
  <c r="DN29" i="55"/>
  <c r="BF32" i="55"/>
  <c r="BG32" i="55"/>
  <c r="AX32" i="55" s="1"/>
  <c r="AY32" i="55" s="1"/>
  <c r="BG21" i="55"/>
  <c r="AX21" i="55" s="1"/>
  <c r="AY21" i="55" s="1"/>
  <c r="GF23" i="55"/>
  <c r="GP23" i="55"/>
  <c r="HT23" i="55"/>
  <c r="ID23" i="55"/>
  <c r="AU26" i="55"/>
  <c r="BG26" i="55"/>
  <c r="AX26" i="55" s="1"/>
  <c r="AY26" i="55" s="1"/>
  <c r="BQ27" i="55"/>
  <c r="BH27" i="55" s="1"/>
  <c r="BZ27" i="55"/>
  <c r="DD27" i="55"/>
  <c r="DN27" i="55"/>
  <c r="ER27" i="55"/>
  <c r="FB27" i="55"/>
  <c r="GF27" i="55"/>
  <c r="GP27" i="55"/>
  <c r="HT27" i="55"/>
  <c r="BZ28" i="55"/>
  <c r="DN28" i="55"/>
  <c r="FB28" i="55"/>
  <c r="GP28" i="55"/>
  <c r="ID28" i="55"/>
  <c r="BF35" i="55"/>
  <c r="BG35" i="55"/>
  <c r="AX35" i="55" s="1"/>
  <c r="AY35" i="55" s="1"/>
  <c r="BP34" i="55"/>
  <c r="BQ34" i="55"/>
  <c r="BH34" i="55" s="1"/>
  <c r="BI34" i="55" s="1"/>
  <c r="BP24" i="55"/>
  <c r="BP25" i="55"/>
  <c r="BP26" i="55"/>
  <c r="BP27" i="55"/>
  <c r="BP28" i="55"/>
  <c r="BP29" i="55"/>
  <c r="HT29" i="55"/>
  <c r="CT30" i="55"/>
  <c r="EH30" i="55"/>
  <c r="FV30" i="55"/>
  <c r="HJ30" i="55"/>
  <c r="BF30" i="55"/>
  <c r="BQ35" i="55"/>
  <c r="BH35" i="55" s="1"/>
  <c r="BI35" i="55" s="1"/>
  <c r="CJ34" i="55"/>
  <c r="DX34" i="55"/>
  <c r="FL34" i="55"/>
  <c r="BZ35" i="55"/>
  <c r="DN35" i="55"/>
  <c r="EH35" i="55"/>
  <c r="DX32" i="55"/>
  <c r="FL32" i="55"/>
  <c r="GZ32" i="55"/>
  <c r="IN32" i="55"/>
  <c r="BZ33" i="55"/>
  <c r="DN33" i="55"/>
  <c r="FB33" i="55"/>
  <c r="BG34" i="55"/>
  <c r="AX34" i="55" s="1"/>
  <c r="AY34" i="55" s="1"/>
  <c r="CJ36" i="55"/>
  <c r="BQ37" i="55"/>
  <c r="BH37" i="55" s="1"/>
  <c r="BI37" i="55" s="1"/>
  <c r="CJ37" i="55"/>
  <c r="DX37" i="55"/>
  <c r="FL37" i="55"/>
  <c r="BQ38" i="55"/>
  <c r="BH38" i="55" s="1"/>
  <c r="BI38" i="55" s="1"/>
  <c r="DD38" i="55"/>
  <c r="ER38" i="55"/>
  <c r="CJ39" i="55"/>
  <c r="DX39" i="55"/>
  <c r="FL39" i="55"/>
  <c r="BG40" i="55"/>
  <c r="AX40" i="55" s="1"/>
  <c r="AY40" i="55" s="1"/>
  <c r="BQ40" i="55"/>
  <c r="BH40" i="55" s="1"/>
  <c r="BI40" i="55" s="1"/>
  <c r="DD40" i="55"/>
  <c r="ER40" i="55"/>
  <c r="BP38" i="55"/>
  <c r="BP40" i="55"/>
  <c r="BG21" i="54"/>
  <c r="AX21" i="54" s="1"/>
  <c r="AY21" i="54" s="1"/>
  <c r="BP21" i="54"/>
  <c r="DD21" i="54"/>
  <c r="FB21" i="54"/>
  <c r="GP22" i="54"/>
  <c r="ID22" i="54"/>
  <c r="BZ25" i="54"/>
  <c r="ID25" i="54"/>
  <c r="GP27" i="54"/>
  <c r="GP28" i="54"/>
  <c r="GP30" i="54"/>
  <c r="CT31" i="54"/>
  <c r="FL31" i="54"/>
  <c r="DX32" i="54"/>
  <c r="FL32" i="54"/>
  <c r="ID32" i="54"/>
  <c r="BP34" i="54"/>
  <c r="BP35" i="54"/>
  <c r="EH35" i="54"/>
  <c r="DD37" i="54"/>
  <c r="EH37" i="54"/>
  <c r="ER37" i="54"/>
  <c r="DN38" i="54"/>
  <c r="EH39" i="54"/>
  <c r="BQ40" i="54"/>
  <c r="BH40" i="54" s="1"/>
  <c r="BI40" i="54" s="1"/>
  <c r="BP40" i="54"/>
  <c r="BQ25" i="54"/>
  <c r="BH25" i="54" s="1"/>
  <c r="BP25" i="54"/>
  <c r="ER30" i="54"/>
  <c r="DN33" i="54"/>
  <c r="CJ36" i="54"/>
  <c r="DX39" i="54"/>
  <c r="CJ22" i="54"/>
  <c r="DX22" i="54"/>
  <c r="CA23" i="54"/>
  <c r="BR23" i="54" s="1"/>
  <c r="BS23" i="54" s="1"/>
  <c r="DN23" i="54"/>
  <c r="FB23" i="54"/>
  <c r="GP23" i="54"/>
  <c r="ID23" i="54"/>
  <c r="CT24" i="54"/>
  <c r="FB25" i="54"/>
  <c r="DN27" i="54"/>
  <c r="DN28" i="54"/>
  <c r="CA29" i="54"/>
  <c r="BR29" i="54" s="1"/>
  <c r="BS29" i="54" s="1"/>
  <c r="DN29" i="54"/>
  <c r="FB29" i="54"/>
  <c r="GP29" i="54"/>
  <c r="ID29" i="54"/>
  <c r="BP30" i="54"/>
  <c r="HJ31" i="54"/>
  <c r="BF32" i="54"/>
  <c r="BG32" i="54"/>
  <c r="AX32" i="54" s="1"/>
  <c r="AY32" i="54" s="1"/>
  <c r="BZ32" i="54"/>
  <c r="DD33" i="54"/>
  <c r="ER40" i="54"/>
  <c r="GF21" i="54"/>
  <c r="GZ21" i="54"/>
  <c r="ID21" i="54"/>
  <c r="BZ22" i="54"/>
  <c r="DD22" i="54"/>
  <c r="FL22" i="54"/>
  <c r="BF23" i="54"/>
  <c r="BP23" i="54"/>
  <c r="BG24" i="54"/>
  <c r="AX24" i="54" s="1"/>
  <c r="AY24" i="54" s="1"/>
  <c r="BQ24" i="54"/>
  <c r="BH24" i="54" s="1"/>
  <c r="DX24" i="54"/>
  <c r="ER24" i="54"/>
  <c r="FL24" i="54"/>
  <c r="GF24" i="54"/>
  <c r="GZ24" i="54"/>
  <c r="HT24" i="54"/>
  <c r="IN24" i="54"/>
  <c r="BF25" i="54"/>
  <c r="EH25" i="54"/>
  <c r="HJ25" i="54"/>
  <c r="BQ27" i="54"/>
  <c r="BH27" i="54" s="1"/>
  <c r="E24" i="54" s="1"/>
  <c r="CT27" i="54"/>
  <c r="FV27" i="54"/>
  <c r="BF28" i="54"/>
  <c r="CJ28" i="54"/>
  <c r="FV28" i="54"/>
  <c r="BP29" i="54"/>
  <c r="BG30" i="54"/>
  <c r="AX30" i="54" s="1"/>
  <c r="AY30" i="54" s="1"/>
  <c r="DN30" i="54"/>
  <c r="DX30" i="54"/>
  <c r="EH30" i="54"/>
  <c r="BP31" i="54"/>
  <c r="GF31" i="54"/>
  <c r="GZ31" i="54"/>
  <c r="CT32" i="54"/>
  <c r="DN32" i="54"/>
  <c r="BG33" i="54"/>
  <c r="AX33" i="54" s="1"/>
  <c r="AY33" i="54" s="1"/>
  <c r="BF34" i="54"/>
  <c r="DD34" i="54"/>
  <c r="DX34" i="54"/>
  <c r="ER34" i="54"/>
  <c r="FL34" i="54"/>
  <c r="DN35" i="54"/>
  <c r="ER36" i="54"/>
  <c r="DN37" i="54"/>
  <c r="DX37" i="54"/>
  <c r="FB37" i="54"/>
  <c r="BP38" i="54"/>
  <c r="BZ38" i="54"/>
  <c r="DD38" i="54"/>
  <c r="BQ39" i="54"/>
  <c r="BH39" i="54" s="1"/>
  <c r="BI39" i="54" s="1"/>
  <c r="BZ39" i="54"/>
  <c r="FB39" i="54"/>
  <c r="EH40" i="54"/>
  <c r="DN21" i="54"/>
  <c r="HT21" i="54"/>
  <c r="IN21" i="54"/>
  <c r="CT22" i="54"/>
  <c r="DN22" i="54"/>
  <c r="ER22" i="54"/>
  <c r="FV22" i="54"/>
  <c r="GZ22" i="54"/>
  <c r="BZ23" i="54"/>
  <c r="CT23" i="54"/>
  <c r="DD23" i="54"/>
  <c r="EH23" i="54"/>
  <c r="ER23" i="54"/>
  <c r="FV23" i="54"/>
  <c r="GF23" i="54"/>
  <c r="HJ23" i="54"/>
  <c r="HT23" i="54"/>
  <c r="DN24" i="54"/>
  <c r="FB24" i="54"/>
  <c r="GP24" i="54"/>
  <c r="ID24" i="54"/>
  <c r="BG27" i="54"/>
  <c r="AX27" i="54" s="1"/>
  <c r="AY27" i="54" s="1"/>
  <c r="BZ29" i="54"/>
  <c r="CJ29" i="54"/>
  <c r="DD29" i="54"/>
  <c r="DX29" i="54"/>
  <c r="ER29" i="54"/>
  <c r="FL29" i="54"/>
  <c r="GF29" i="54"/>
  <c r="GZ29" i="54"/>
  <c r="HT29" i="54"/>
  <c r="IN29" i="54"/>
  <c r="FB30" i="54"/>
  <c r="FV30" i="54"/>
  <c r="BG31" i="54"/>
  <c r="AX31" i="54" s="1"/>
  <c r="AY31" i="54" s="1"/>
  <c r="CJ31" i="54"/>
  <c r="HT31" i="54"/>
  <c r="IN31" i="54"/>
  <c r="EH32" i="54"/>
  <c r="FB32" i="54"/>
  <c r="EH33" i="54"/>
  <c r="BQ34" i="54"/>
  <c r="BH34" i="54" s="1"/>
  <c r="BI34" i="54" s="1"/>
  <c r="BZ34" i="54"/>
  <c r="CJ34" i="54"/>
  <c r="DN34" i="54"/>
  <c r="FB34" i="54"/>
  <c r="BF35" i="54"/>
  <c r="CT36" i="54"/>
  <c r="BG37" i="54"/>
  <c r="AX37" i="54" s="1"/>
  <c r="AY37" i="54" s="1"/>
  <c r="BP37" i="54"/>
  <c r="ER38" i="54"/>
  <c r="FB38" i="54"/>
  <c r="ER39" i="54"/>
  <c r="CT40" i="54"/>
  <c r="B29" i="54"/>
  <c r="B30" i="54" s="1"/>
  <c r="B31" i="54" s="1"/>
  <c r="B32" i="54" s="1"/>
  <c r="B33" i="54" s="1"/>
  <c r="B34" i="54" s="1"/>
  <c r="B35" i="54" s="1"/>
  <c r="B36" i="54" s="1"/>
  <c r="B37" i="54" s="1"/>
  <c r="E28" i="54"/>
  <c r="BI22" i="54"/>
  <c r="E19" i="54"/>
  <c r="E20" i="54"/>
  <c r="BI23" i="54"/>
  <c r="BI25" i="54"/>
  <c r="E22" i="54"/>
  <c r="E27" i="54"/>
  <c r="BI30" i="54"/>
  <c r="BI24" i="54"/>
  <c r="E21" i="54"/>
  <c r="BI27" i="54"/>
  <c r="BF39" i="54"/>
  <c r="BG39" i="54"/>
  <c r="AX39" i="54" s="1"/>
  <c r="AY39" i="54" s="1"/>
  <c r="CA26" i="54"/>
  <c r="BR26" i="54" s="1"/>
  <c r="BQ28" i="54"/>
  <c r="BH28" i="54" s="1"/>
  <c r="CA39" i="54"/>
  <c r="BR39" i="54" s="1"/>
  <c r="BS39" i="54" s="1"/>
  <c r="CA36" i="54"/>
  <c r="BR36" i="54" s="1"/>
  <c r="BS36" i="54" s="1"/>
  <c r="CA40" i="54"/>
  <c r="BR40" i="54" s="1"/>
  <c r="BS40" i="54" s="1"/>
  <c r="CA38" i="54"/>
  <c r="BR38" i="54" s="1"/>
  <c r="BS38" i="54" s="1"/>
  <c r="CA37" i="54"/>
  <c r="BR37" i="54" s="1"/>
  <c r="BS37" i="54" s="1"/>
  <c r="CA31" i="54"/>
  <c r="BR31" i="54" s="1"/>
  <c r="CA32" i="54"/>
  <c r="BR32" i="54" s="1"/>
  <c r="CA34" i="54"/>
  <c r="BR34" i="54" s="1"/>
  <c r="BS34" i="54" s="1"/>
  <c r="CA28" i="54"/>
  <c r="BR28" i="54" s="1"/>
  <c r="CA35" i="54"/>
  <c r="BR35" i="54" s="1"/>
  <c r="BS35" i="54" s="1"/>
  <c r="CA33" i="54"/>
  <c r="BR33" i="54" s="1"/>
  <c r="BS33" i="54" s="1"/>
  <c r="CA24" i="54"/>
  <c r="BR24" i="54" s="1"/>
  <c r="BS19" i="54"/>
  <c r="BP22" i="54"/>
  <c r="CA22" i="54"/>
  <c r="BR22" i="54" s="1"/>
  <c r="CJ23" i="54"/>
  <c r="DX23" i="54"/>
  <c r="FL23" i="54"/>
  <c r="GZ23" i="54"/>
  <c r="IN23" i="54"/>
  <c r="AV24" i="54"/>
  <c r="BP24" i="54"/>
  <c r="AV25" i="54"/>
  <c r="CA25" i="54"/>
  <c r="BR25" i="54" s="1"/>
  <c r="BG26" i="54"/>
  <c r="AX26" i="54" s="1"/>
  <c r="AY26" i="54" s="1"/>
  <c r="AV27" i="54"/>
  <c r="CA27" i="54"/>
  <c r="BR27" i="54" s="1"/>
  <c r="AV28" i="54"/>
  <c r="CA30" i="54"/>
  <c r="BR30" i="54" s="1"/>
  <c r="BF31" i="54"/>
  <c r="BQ21" i="54"/>
  <c r="BH21" i="54" s="1"/>
  <c r="AV30" i="54"/>
  <c r="AU31" i="54"/>
  <c r="AV26" i="54"/>
  <c r="AV29" i="54"/>
  <c r="CB19" i="54"/>
  <c r="F20" i="54"/>
  <c r="CA21" i="54"/>
  <c r="BR21" i="54" s="1"/>
  <c r="CJ24" i="54"/>
  <c r="EH24" i="54"/>
  <c r="FV24" i="54"/>
  <c r="HJ24" i="54"/>
  <c r="CJ25" i="54"/>
  <c r="DX25" i="54"/>
  <c r="FL25" i="54"/>
  <c r="GZ25" i="54"/>
  <c r="IN25" i="54"/>
  <c r="BF26" i="54"/>
  <c r="BQ26" i="54"/>
  <c r="BH26" i="54" s="1"/>
  <c r="CT26" i="54"/>
  <c r="EH26" i="54"/>
  <c r="FV26" i="54"/>
  <c r="HJ26" i="54"/>
  <c r="CJ27" i="54"/>
  <c r="DX27" i="54"/>
  <c r="FL27" i="54"/>
  <c r="GZ27" i="54"/>
  <c r="IN27" i="54"/>
  <c r="CT28" i="54"/>
  <c r="BG36" i="54"/>
  <c r="AX36" i="54" s="1"/>
  <c r="AY36" i="54" s="1"/>
  <c r="BG29" i="54"/>
  <c r="AX29" i="54" s="1"/>
  <c r="AY29" i="54" s="1"/>
  <c r="BG34" i="54"/>
  <c r="AX34" i="54" s="1"/>
  <c r="AY34" i="54" s="1"/>
  <c r="BG28" i="54"/>
  <c r="AX28" i="54" s="1"/>
  <c r="AY28" i="54" s="1"/>
  <c r="DX28" i="54"/>
  <c r="FL28" i="54"/>
  <c r="GZ28" i="54"/>
  <c r="IN28" i="54"/>
  <c r="BF29" i="54"/>
  <c r="BQ29" i="54"/>
  <c r="BH29" i="54" s="1"/>
  <c r="CT29" i="54"/>
  <c r="EH29" i="54"/>
  <c r="FV29" i="54"/>
  <c r="HJ29" i="54"/>
  <c r="FL30" i="54"/>
  <c r="GZ30" i="54"/>
  <c r="IN30" i="54"/>
  <c r="BZ31" i="54"/>
  <c r="DN31" i="54"/>
  <c r="FB31" i="54"/>
  <c r="GP31" i="54"/>
  <c r="ID31" i="54"/>
  <c r="BQ32" i="54"/>
  <c r="BH32" i="54" s="1"/>
  <c r="DD32" i="54"/>
  <c r="ER32" i="54"/>
  <c r="GF32" i="54"/>
  <c r="HT32" i="54"/>
  <c r="CJ33" i="54"/>
  <c r="DX33" i="54"/>
  <c r="FL33" i="54"/>
  <c r="BQ37" i="54"/>
  <c r="BH37" i="54" s="1"/>
  <c r="BI37" i="54" s="1"/>
  <c r="BP32" i="54"/>
  <c r="BF33" i="54"/>
  <c r="CT34" i="54"/>
  <c r="EH34" i="54"/>
  <c r="FB35" i="54"/>
  <c r="BP36" i="54"/>
  <c r="DD36" i="54"/>
  <c r="BF37" i="54"/>
  <c r="CJ37" i="54"/>
  <c r="FL37" i="54"/>
  <c r="BQ38" i="54"/>
  <c r="BH38" i="54" s="1"/>
  <c r="BI38" i="54" s="1"/>
  <c r="CJ35" i="54"/>
  <c r="DX35" i="54"/>
  <c r="FL35" i="54"/>
  <c r="BZ36" i="54"/>
  <c r="DN36" i="54"/>
  <c r="CJ38" i="54"/>
  <c r="FL38" i="54"/>
  <c r="DN39" i="54"/>
  <c r="BF38" i="54"/>
  <c r="CT38" i="54"/>
  <c r="EH38" i="54"/>
  <c r="CJ40" i="54"/>
  <c r="DX40" i="54"/>
  <c r="FL40" i="54"/>
  <c r="BF40" i="54"/>
  <c r="BQ21" i="53"/>
  <c r="BH21" i="53" s="1"/>
  <c r="DN21" i="53"/>
  <c r="FV21" i="53"/>
  <c r="GF21" i="53"/>
  <c r="BF22" i="53"/>
  <c r="ER22" i="53"/>
  <c r="GZ22" i="53"/>
  <c r="HJ22" i="53"/>
  <c r="CJ23" i="53"/>
  <c r="ER23" i="53"/>
  <c r="GP23" i="53"/>
  <c r="IN23" i="53"/>
  <c r="DD24" i="53"/>
  <c r="FB24" i="53"/>
  <c r="GZ24" i="53"/>
  <c r="BG25" i="53"/>
  <c r="AX25" i="53" s="1"/>
  <c r="AY25" i="53" s="1"/>
  <c r="BQ25" i="53"/>
  <c r="BH25" i="53" s="1"/>
  <c r="DN25" i="53"/>
  <c r="FL25" i="53"/>
  <c r="HT25" i="53"/>
  <c r="BZ26" i="53"/>
  <c r="CT27" i="53"/>
  <c r="DD27" i="53"/>
  <c r="GP27" i="53"/>
  <c r="BG28" i="53"/>
  <c r="AX28" i="53" s="1"/>
  <c r="AY28" i="53" s="1"/>
  <c r="BP28" i="53"/>
  <c r="FB28" i="53"/>
  <c r="HJ28" i="53"/>
  <c r="BG29" i="53"/>
  <c r="AX29" i="53" s="1"/>
  <c r="AY29" i="53" s="1"/>
  <c r="HT29" i="53"/>
  <c r="DX30" i="53"/>
  <c r="HJ30" i="53"/>
  <c r="HT30" i="53"/>
  <c r="DX31" i="53"/>
  <c r="EH31" i="53"/>
  <c r="EH32" i="53"/>
  <c r="GP32" i="53"/>
  <c r="GZ32" i="53"/>
  <c r="CT33" i="53"/>
  <c r="ER33" i="53"/>
  <c r="DN34" i="53"/>
  <c r="DX34" i="53"/>
  <c r="DD35" i="53"/>
  <c r="DN35" i="53"/>
  <c r="BG37" i="53"/>
  <c r="AX37" i="53" s="1"/>
  <c r="AY37" i="53" s="1"/>
  <c r="BP37" i="53"/>
  <c r="CJ37" i="53"/>
  <c r="BP38" i="53"/>
  <c r="FL39" i="53"/>
  <c r="EH40" i="53"/>
  <c r="ER40" i="53"/>
  <c r="BF21" i="53"/>
  <c r="BP21" i="53"/>
  <c r="FB21" i="53"/>
  <c r="HJ21" i="53"/>
  <c r="HT21" i="53"/>
  <c r="CJ22" i="53"/>
  <c r="CT22" i="53"/>
  <c r="GF22" i="53"/>
  <c r="IN22" i="53"/>
  <c r="BZ23" i="53"/>
  <c r="DX23" i="53"/>
  <c r="GF23" i="53"/>
  <c r="ID23" i="53"/>
  <c r="CJ24" i="53"/>
  <c r="ER24" i="53"/>
  <c r="GP24" i="53"/>
  <c r="IN24" i="53"/>
  <c r="DD25" i="53"/>
  <c r="FB25" i="53"/>
  <c r="GZ25" i="53"/>
  <c r="BG26" i="53"/>
  <c r="AX26" i="53" s="1"/>
  <c r="AY26" i="53" s="1"/>
  <c r="BQ26" i="53"/>
  <c r="BH26" i="53" s="1"/>
  <c r="DN26" i="53"/>
  <c r="HT26" i="53"/>
  <c r="EH27" i="53"/>
  <c r="ER27" i="53"/>
  <c r="ID27" i="53"/>
  <c r="CT28" i="53"/>
  <c r="DD28" i="53"/>
  <c r="GP28" i="53"/>
  <c r="IN28" i="53"/>
  <c r="BQ29" i="53"/>
  <c r="BH29" i="53" s="1"/>
  <c r="BI29" i="53" s="1"/>
  <c r="FV29" i="53"/>
  <c r="CT30" i="53"/>
  <c r="FL30" i="53"/>
  <c r="FL31" i="53"/>
  <c r="FV31" i="53"/>
  <c r="BQ32" i="53"/>
  <c r="BH32" i="53" s="1"/>
  <c r="BI32" i="53" s="1"/>
  <c r="BZ32" i="53"/>
  <c r="CJ32" i="53"/>
  <c r="FV32" i="53"/>
  <c r="CJ33" i="53"/>
  <c r="CT34" i="53"/>
  <c r="FB34" i="53"/>
  <c r="FL34" i="53"/>
  <c r="ER35" i="53"/>
  <c r="FB35" i="53"/>
  <c r="BQ36" i="53"/>
  <c r="BH36" i="53" s="1"/>
  <c r="BI36" i="53" s="1"/>
  <c r="DX36" i="53"/>
  <c r="EH36" i="53"/>
  <c r="DD37" i="53"/>
  <c r="DX37" i="53"/>
  <c r="CJ38" i="53"/>
  <c r="DD38" i="53"/>
  <c r="FL40" i="53"/>
  <c r="CT21" i="53"/>
  <c r="DD21" i="53"/>
  <c r="GP21" i="53"/>
  <c r="BQ22" i="53"/>
  <c r="BH22" i="53" s="1"/>
  <c r="DX22" i="53"/>
  <c r="EH22" i="53"/>
  <c r="HT22" i="53"/>
  <c r="BG23" i="53"/>
  <c r="AX23" i="53" s="1"/>
  <c r="AY23" i="53" s="1"/>
  <c r="BQ23" i="53"/>
  <c r="BH23" i="53" s="1"/>
  <c r="DN23" i="53"/>
  <c r="FL23" i="53"/>
  <c r="HT23" i="53"/>
  <c r="BF24" i="53"/>
  <c r="BZ24" i="53"/>
  <c r="DX24" i="53"/>
  <c r="GF24" i="53"/>
  <c r="ID24" i="53"/>
  <c r="CJ25" i="53"/>
  <c r="ER25" i="53"/>
  <c r="GP25" i="53"/>
  <c r="IN25" i="53"/>
  <c r="DD26" i="53"/>
  <c r="BF27" i="53"/>
  <c r="FV27" i="53"/>
  <c r="GF27" i="53"/>
  <c r="BZ28" i="53"/>
  <c r="EH28" i="53"/>
  <c r="ER28" i="53"/>
  <c r="HJ29" i="53"/>
  <c r="BG30" i="53"/>
  <c r="AX30" i="53" s="1"/>
  <c r="AY30" i="53" s="1"/>
  <c r="BP30" i="53"/>
  <c r="EH30" i="53"/>
  <c r="BF31" i="53"/>
  <c r="GZ31" i="53"/>
  <c r="HJ31" i="53"/>
  <c r="BG32" i="53"/>
  <c r="AX32" i="53" s="1"/>
  <c r="AY32" i="53" s="1"/>
  <c r="DN32" i="53"/>
  <c r="DX32" i="53"/>
  <c r="HJ32" i="53"/>
  <c r="BQ33" i="53"/>
  <c r="BH33" i="53" s="1"/>
  <c r="BI33" i="53" s="1"/>
  <c r="DX33" i="53"/>
  <c r="EH33" i="53"/>
  <c r="BP34" i="53"/>
  <c r="EH34" i="53"/>
  <c r="BF35" i="53"/>
  <c r="BF36" i="53"/>
  <c r="BP36" i="53"/>
  <c r="FB36" i="53"/>
  <c r="ER37" i="53"/>
  <c r="DX38" i="53"/>
  <c r="BG39" i="53"/>
  <c r="AX39" i="53" s="1"/>
  <c r="AY39" i="53" s="1"/>
  <c r="BP39" i="53"/>
  <c r="BP40" i="53"/>
  <c r="E25" i="53"/>
  <c r="B26" i="53"/>
  <c r="E21" i="53"/>
  <c r="BI24" i="53"/>
  <c r="BI21" i="53"/>
  <c r="E18" i="53"/>
  <c r="AU25" i="53"/>
  <c r="AV24" i="53"/>
  <c r="E22" i="53"/>
  <c r="BI25" i="53"/>
  <c r="E23" i="53"/>
  <c r="BI26" i="53"/>
  <c r="BI22" i="53"/>
  <c r="E19" i="53"/>
  <c r="BI23" i="53"/>
  <c r="E20" i="53"/>
  <c r="CA39" i="53"/>
  <c r="BR39" i="53" s="1"/>
  <c r="BS39" i="53" s="1"/>
  <c r="CA37" i="53"/>
  <c r="BR37" i="53" s="1"/>
  <c r="BS37" i="53" s="1"/>
  <c r="CA40" i="53"/>
  <c r="BR40" i="53" s="1"/>
  <c r="BS40" i="53" s="1"/>
  <c r="CA38" i="53"/>
  <c r="BR38" i="53" s="1"/>
  <c r="BS38" i="53" s="1"/>
  <c r="CA35" i="53"/>
  <c r="BR35" i="53" s="1"/>
  <c r="BS35" i="53" s="1"/>
  <c r="CA36" i="53"/>
  <c r="BR36" i="53" s="1"/>
  <c r="BS36" i="53" s="1"/>
  <c r="CA33" i="53"/>
  <c r="BR33" i="53" s="1"/>
  <c r="BS33" i="53" s="1"/>
  <c r="CA29" i="53"/>
  <c r="BR29" i="53" s="1"/>
  <c r="CA31" i="53"/>
  <c r="BR31" i="53" s="1"/>
  <c r="CA34" i="53"/>
  <c r="BR34" i="53" s="1"/>
  <c r="BS34" i="53" s="1"/>
  <c r="CA32" i="53"/>
  <c r="BR32" i="53" s="1"/>
  <c r="CA30" i="53"/>
  <c r="BR30" i="53" s="1"/>
  <c r="CA28" i="53"/>
  <c r="BR28" i="53" s="1"/>
  <c r="CA27" i="53"/>
  <c r="BR27" i="53" s="1"/>
  <c r="BG21" i="53"/>
  <c r="AX21" i="53" s="1"/>
  <c r="AY21" i="53" s="1"/>
  <c r="HJ26" i="53"/>
  <c r="BS19" i="53"/>
  <c r="BP22" i="53"/>
  <c r="CA22" i="53"/>
  <c r="BR22" i="53" s="1"/>
  <c r="BP23" i="53"/>
  <c r="CA23" i="53"/>
  <c r="BR23" i="53" s="1"/>
  <c r="BP24" i="53"/>
  <c r="CA24" i="53"/>
  <c r="BR24" i="53" s="1"/>
  <c r="BP25" i="53"/>
  <c r="CA25" i="53"/>
  <c r="BR25" i="53" s="1"/>
  <c r="BP26" i="53"/>
  <c r="CA26" i="53"/>
  <c r="BR26" i="53" s="1"/>
  <c r="EH26" i="53"/>
  <c r="FV26" i="53"/>
  <c r="CB19" i="53"/>
  <c r="CA21" i="53"/>
  <c r="BR21" i="53" s="1"/>
  <c r="BQ27" i="53"/>
  <c r="BH27" i="53" s="1"/>
  <c r="BZ27" i="53"/>
  <c r="DN27" i="53"/>
  <c r="HT28" i="53"/>
  <c r="GP30" i="53"/>
  <c r="ID30" i="53"/>
  <c r="BF28" i="53"/>
  <c r="BP29" i="53"/>
  <c r="DD29" i="53"/>
  <c r="ER29" i="53"/>
  <c r="FL29" i="53"/>
  <c r="GZ29" i="53"/>
  <c r="IN29" i="53"/>
  <c r="BZ30" i="53"/>
  <c r="DN30" i="53"/>
  <c r="FB30" i="53"/>
  <c r="BG31" i="53"/>
  <c r="AX31" i="53" s="1"/>
  <c r="AY31" i="53" s="1"/>
  <c r="BQ31" i="53"/>
  <c r="BH31" i="53" s="1"/>
  <c r="DD31" i="53"/>
  <c r="ER31" i="53"/>
  <c r="GF31" i="53"/>
  <c r="HT31" i="53"/>
  <c r="BP31" i="53"/>
  <c r="BF32" i="53"/>
  <c r="BQ35" i="53"/>
  <c r="BH35" i="53" s="1"/>
  <c r="BI35" i="53" s="1"/>
  <c r="BG36" i="53"/>
  <c r="AX36" i="53" s="1"/>
  <c r="AY36" i="53" s="1"/>
  <c r="CJ35" i="53"/>
  <c r="DX35" i="53"/>
  <c r="FL35" i="53"/>
  <c r="BZ36" i="53"/>
  <c r="HT32" i="53"/>
  <c r="ID32" i="53"/>
  <c r="BP33" i="53"/>
  <c r="BF34" i="53"/>
  <c r="FL36" i="53"/>
  <c r="BQ37" i="53"/>
  <c r="BH37" i="53" s="1"/>
  <c r="BI37" i="53" s="1"/>
  <c r="BF33" i="53"/>
  <c r="DN36" i="53"/>
  <c r="DN37" i="53"/>
  <c r="FB37" i="53"/>
  <c r="BG38" i="53"/>
  <c r="AX38" i="53" s="1"/>
  <c r="AY38" i="53" s="1"/>
  <c r="BQ38" i="53"/>
  <c r="BH38" i="53" s="1"/>
  <c r="BI38" i="53" s="1"/>
  <c r="CT38" i="53"/>
  <c r="EH38" i="53"/>
  <c r="BQ39" i="53"/>
  <c r="BH39" i="53" s="1"/>
  <c r="BI39" i="53" s="1"/>
  <c r="BZ39" i="53"/>
  <c r="DN39" i="53"/>
  <c r="FB39" i="53"/>
  <c r="BG40" i="53"/>
  <c r="AX40" i="53" s="1"/>
  <c r="AY40" i="53" s="1"/>
  <c r="BQ40" i="53"/>
  <c r="BH40" i="53" s="1"/>
  <c r="BI40" i="53" s="1"/>
  <c r="CT40" i="53"/>
  <c r="BF38" i="53"/>
  <c r="BF40" i="53"/>
  <c r="O46" i="52"/>
  <c r="B18" i="52"/>
  <c r="IQ22" i="52"/>
  <c r="O62" i="52"/>
  <c r="O63" i="52" s="1"/>
  <c r="O64" i="52" s="1"/>
  <c r="O65" i="52" s="1"/>
  <c r="O51" i="52"/>
  <c r="O52" i="52" s="1"/>
  <c r="O53" i="52" s="1"/>
  <c r="O54" i="52" s="1"/>
  <c r="O55" i="52" s="1"/>
  <c r="O56" i="52" s="1"/>
  <c r="O57" i="52" s="1"/>
  <c r="O58" i="52" s="1"/>
  <c r="O59" i="52" s="1"/>
  <c r="O60" i="52" s="1"/>
  <c r="O61" i="52" s="1"/>
  <c r="O48" i="52"/>
  <c r="O49" i="52" s="1"/>
  <c r="O50" i="52" s="1"/>
  <c r="AF44" i="52"/>
  <c r="AG44" i="52" s="1"/>
  <c r="AH44" i="52" s="1"/>
  <c r="AI44" i="52" s="1"/>
  <c r="AJ44" i="52" s="1"/>
  <c r="X44" i="52"/>
  <c r="Y44" i="52" s="1"/>
  <c r="Z44" i="52" s="1"/>
  <c r="AA44" i="52" s="1"/>
  <c r="AB44" i="52" s="1"/>
  <c r="AC44" i="52" s="1"/>
  <c r="AD44" i="52" s="1"/>
  <c r="AE44" i="52" s="1"/>
  <c r="T44" i="52"/>
  <c r="U44" i="52" s="1"/>
  <c r="V44" i="52" s="1"/>
  <c r="W44" i="52" s="1"/>
  <c r="S44" i="52"/>
  <c r="FK40" i="52"/>
  <c r="FI40" i="52"/>
  <c r="FG40" i="52"/>
  <c r="FL40" i="52" s="1"/>
  <c r="FA40" i="52"/>
  <c r="EY40" i="52"/>
  <c r="EW40" i="52"/>
  <c r="FB40" i="52" s="1"/>
  <c r="EQ40" i="52"/>
  <c r="EO40" i="52"/>
  <c r="EM40" i="52"/>
  <c r="EG40" i="52"/>
  <c r="EE40" i="52"/>
  <c r="EC40" i="52"/>
  <c r="DW40" i="52"/>
  <c r="DU40" i="52"/>
  <c r="DS40" i="52"/>
  <c r="DX40" i="52" s="1"/>
  <c r="DM40" i="52"/>
  <c r="DK40" i="52"/>
  <c r="DI40" i="52"/>
  <c r="DN40" i="52" s="1"/>
  <c r="DC40" i="52"/>
  <c r="DA40" i="52"/>
  <c r="DD40" i="52" s="1"/>
  <c r="CY40" i="52"/>
  <c r="CS40" i="52"/>
  <c r="CQ40" i="52"/>
  <c r="CO40" i="52"/>
  <c r="CI40" i="52"/>
  <c r="CG40" i="52"/>
  <c r="CE40" i="52"/>
  <c r="CJ40" i="52" s="1"/>
  <c r="BY40" i="52"/>
  <c r="BW40" i="52"/>
  <c r="BU40" i="52"/>
  <c r="BO40" i="52"/>
  <c r="BM40" i="52"/>
  <c r="BK40" i="52"/>
  <c r="BQ40" i="52" s="1"/>
  <c r="BH40" i="52" s="1"/>
  <c r="BI40" i="52" s="1"/>
  <c r="BE40" i="52"/>
  <c r="BC40" i="52"/>
  <c r="BA40" i="52"/>
  <c r="FK39" i="52"/>
  <c r="FI39" i="52"/>
  <c r="FG39" i="52"/>
  <c r="FA39" i="52"/>
  <c r="EY39" i="52"/>
  <c r="EW39" i="52"/>
  <c r="EQ39" i="52"/>
  <c r="EO39" i="52"/>
  <c r="EM39" i="52"/>
  <c r="ER39" i="52" s="1"/>
  <c r="EG39" i="52"/>
  <c r="EE39" i="52"/>
  <c r="EC39" i="52"/>
  <c r="EH39" i="52" s="1"/>
  <c r="DW39" i="52"/>
  <c r="DU39" i="52"/>
  <c r="DS39" i="52"/>
  <c r="DM39" i="52"/>
  <c r="DK39" i="52"/>
  <c r="DI39" i="52"/>
  <c r="DC39" i="52"/>
  <c r="DA39" i="52"/>
  <c r="CY39" i="52"/>
  <c r="DD39" i="52" s="1"/>
  <c r="CS39" i="52"/>
  <c r="CQ39" i="52"/>
  <c r="CO39" i="52"/>
  <c r="CI39" i="52"/>
  <c r="CG39" i="52"/>
  <c r="CE39" i="52"/>
  <c r="BY39" i="52"/>
  <c r="BW39" i="52"/>
  <c r="BU39" i="52"/>
  <c r="BP39" i="52"/>
  <c r="BO39" i="52"/>
  <c r="BM39" i="52"/>
  <c r="BK39" i="52"/>
  <c r="BQ39" i="52" s="1"/>
  <c r="BH39" i="52" s="1"/>
  <c r="BI39" i="52" s="1"/>
  <c r="BE39" i="52"/>
  <c r="BC39" i="52"/>
  <c r="BA39" i="52"/>
  <c r="FK38" i="52"/>
  <c r="FL38" i="52" s="1"/>
  <c r="FI38" i="52"/>
  <c r="FG38" i="52"/>
  <c r="FA38" i="52"/>
  <c r="EY38" i="52"/>
  <c r="EW38" i="52"/>
  <c r="EQ38" i="52"/>
  <c r="EO38" i="52"/>
  <c r="EM38" i="52"/>
  <c r="EG38" i="52"/>
  <c r="EE38" i="52"/>
  <c r="EC38" i="52"/>
  <c r="EH38" i="52" s="1"/>
  <c r="DX38" i="52"/>
  <c r="DW38" i="52"/>
  <c r="DU38" i="52"/>
  <c r="DS38" i="52"/>
  <c r="DM38" i="52"/>
  <c r="DK38" i="52"/>
  <c r="DI38" i="52"/>
  <c r="DC38" i="52"/>
  <c r="DA38" i="52"/>
  <c r="DD38" i="52" s="1"/>
  <c r="CY38" i="52"/>
  <c r="CS38" i="52"/>
  <c r="CQ38" i="52"/>
  <c r="CO38" i="52"/>
  <c r="CT38" i="52" s="1"/>
  <c r="CI38" i="52"/>
  <c r="CG38" i="52"/>
  <c r="CE38" i="52"/>
  <c r="CJ38" i="52" s="1"/>
  <c r="BY38" i="52"/>
  <c r="BW38" i="52"/>
  <c r="BU38" i="52"/>
  <c r="BZ38" i="52" s="1"/>
  <c r="BO38" i="52"/>
  <c r="BM38" i="52"/>
  <c r="BK38" i="52"/>
  <c r="BE38" i="52"/>
  <c r="BG38" i="52" s="1"/>
  <c r="AX38" i="52" s="1"/>
  <c r="AY38" i="52" s="1"/>
  <c r="BC38" i="52"/>
  <c r="BA38" i="52"/>
  <c r="FK37" i="52"/>
  <c r="FI37" i="52"/>
  <c r="FL37" i="52" s="1"/>
  <c r="FG37" i="52"/>
  <c r="FA37" i="52"/>
  <c r="EY37" i="52"/>
  <c r="EW37" i="52"/>
  <c r="FB37" i="52" s="1"/>
  <c r="EQ37" i="52"/>
  <c r="EO37" i="52"/>
  <c r="EM37" i="52"/>
  <c r="ER37" i="52" s="1"/>
  <c r="EG37" i="52"/>
  <c r="EE37" i="52"/>
  <c r="EC37" i="52"/>
  <c r="EH37" i="52" s="1"/>
  <c r="DW37" i="52"/>
  <c r="DU37" i="52"/>
  <c r="DS37" i="52"/>
  <c r="DM37" i="52"/>
  <c r="DK37" i="52"/>
  <c r="DI37" i="52"/>
  <c r="DC37" i="52"/>
  <c r="DA37" i="52"/>
  <c r="CY37" i="52"/>
  <c r="DD37" i="52" s="1"/>
  <c r="CS37" i="52"/>
  <c r="CQ37" i="52"/>
  <c r="CO37" i="52"/>
  <c r="CT37" i="52" s="1"/>
  <c r="CI37" i="52"/>
  <c r="CG37" i="52"/>
  <c r="CE37" i="52"/>
  <c r="BY37" i="52"/>
  <c r="BW37" i="52"/>
  <c r="BU37" i="52"/>
  <c r="BO37" i="52"/>
  <c r="BP37" i="52" s="1"/>
  <c r="BM37" i="52"/>
  <c r="BK37" i="52"/>
  <c r="BE37" i="52"/>
  <c r="BC37" i="52"/>
  <c r="BA37" i="52"/>
  <c r="FK36" i="52"/>
  <c r="FI36" i="52"/>
  <c r="FG36" i="52"/>
  <c r="FA36" i="52"/>
  <c r="FB36" i="52" s="1"/>
  <c r="EY36" i="52"/>
  <c r="EW36" i="52"/>
  <c r="EQ36" i="52"/>
  <c r="EO36" i="52"/>
  <c r="EM36" i="52"/>
  <c r="EG36" i="52"/>
  <c r="EE36" i="52"/>
  <c r="EH36" i="52" s="1"/>
  <c r="EC36" i="52"/>
  <c r="DW36" i="52"/>
  <c r="DU36" i="52"/>
  <c r="DS36" i="52"/>
  <c r="DX36" i="52" s="1"/>
  <c r="DM36" i="52"/>
  <c r="DK36" i="52"/>
  <c r="DI36" i="52"/>
  <c r="DN36" i="52" s="1"/>
  <c r="DC36" i="52"/>
  <c r="DA36" i="52"/>
  <c r="CY36" i="52"/>
  <c r="DD36" i="52" s="1"/>
  <c r="CS36" i="52"/>
  <c r="CQ36" i="52"/>
  <c r="CO36" i="52"/>
  <c r="CI36" i="52"/>
  <c r="CG36" i="52"/>
  <c r="CE36" i="52"/>
  <c r="BY36" i="52"/>
  <c r="BW36" i="52"/>
  <c r="BZ36" i="52" s="1"/>
  <c r="BU36" i="52"/>
  <c r="BO36" i="52"/>
  <c r="BM36" i="52"/>
  <c r="BQ36" i="52" s="1"/>
  <c r="BH36" i="52" s="1"/>
  <c r="BI36" i="52" s="1"/>
  <c r="BK36" i="52"/>
  <c r="BE36" i="52"/>
  <c r="BC36" i="52"/>
  <c r="BF36" i="52" s="1"/>
  <c r="BA36" i="52"/>
  <c r="FK35" i="52"/>
  <c r="FI35" i="52"/>
  <c r="FL35" i="52" s="1"/>
  <c r="FG35" i="52"/>
  <c r="FA35" i="52"/>
  <c r="EY35" i="52"/>
  <c r="EW35" i="52"/>
  <c r="FB35" i="52" s="1"/>
  <c r="EQ35" i="52"/>
  <c r="EO35" i="52"/>
  <c r="EM35" i="52"/>
  <c r="EG35" i="52"/>
  <c r="EE35" i="52"/>
  <c r="EC35" i="52"/>
  <c r="DW35" i="52"/>
  <c r="DX35" i="52" s="1"/>
  <c r="DU35" i="52"/>
  <c r="DS35" i="52"/>
  <c r="DM35" i="52"/>
  <c r="DK35" i="52"/>
  <c r="DI35" i="52"/>
  <c r="DC35" i="52"/>
  <c r="DA35" i="52"/>
  <c r="CY35" i="52"/>
  <c r="CS35" i="52"/>
  <c r="CQ35" i="52"/>
  <c r="CO35" i="52"/>
  <c r="CJ35" i="52"/>
  <c r="CI35" i="52"/>
  <c r="CG35" i="52"/>
  <c r="CE35" i="52"/>
  <c r="BY35" i="52"/>
  <c r="BW35" i="52"/>
  <c r="BU35" i="52"/>
  <c r="BO35" i="52"/>
  <c r="BM35" i="52"/>
  <c r="BP35" i="52" s="1"/>
  <c r="BK35" i="52"/>
  <c r="BE35" i="52"/>
  <c r="BC35" i="52"/>
  <c r="BA35" i="52"/>
  <c r="BG35" i="52" s="1"/>
  <c r="AX35" i="52" s="1"/>
  <c r="AY35" i="52" s="1"/>
  <c r="FK34" i="52"/>
  <c r="FI34" i="52"/>
  <c r="FG34" i="52"/>
  <c r="FL34" i="52" s="1"/>
  <c r="FA34" i="52"/>
  <c r="EY34" i="52"/>
  <c r="EW34" i="52"/>
  <c r="EQ34" i="52"/>
  <c r="EO34" i="52"/>
  <c r="EM34" i="52"/>
  <c r="EG34" i="52"/>
  <c r="EE34" i="52"/>
  <c r="EH34" i="52" s="1"/>
  <c r="EC34" i="52"/>
  <c r="DW34" i="52"/>
  <c r="DU34" i="52"/>
  <c r="DS34" i="52"/>
  <c r="DX34" i="52" s="1"/>
  <c r="DM34" i="52"/>
  <c r="DK34" i="52"/>
  <c r="DI34" i="52"/>
  <c r="DC34" i="52"/>
  <c r="DA34" i="52"/>
  <c r="CY34" i="52"/>
  <c r="CS34" i="52"/>
  <c r="CT34" i="52" s="1"/>
  <c r="CQ34" i="52"/>
  <c r="CO34" i="52"/>
  <c r="CI34" i="52"/>
  <c r="CG34" i="52"/>
  <c r="CE34" i="52"/>
  <c r="BY34" i="52"/>
  <c r="BW34" i="52"/>
  <c r="BU34" i="52"/>
  <c r="BO34" i="52"/>
  <c r="BM34" i="52"/>
  <c r="BK34" i="52"/>
  <c r="BF34" i="52"/>
  <c r="BE34" i="52"/>
  <c r="BC34" i="52"/>
  <c r="BA34" i="52"/>
  <c r="FL33" i="52"/>
  <c r="FK33" i="52"/>
  <c r="FI33" i="52"/>
  <c r="FG33" i="52"/>
  <c r="FA33" i="52"/>
  <c r="EY33" i="52"/>
  <c r="EW33" i="52"/>
  <c r="EQ33" i="52"/>
  <c r="EO33" i="52"/>
  <c r="ER33" i="52" s="1"/>
  <c r="EM33" i="52"/>
  <c r="EG33" i="52"/>
  <c r="EE33" i="52"/>
  <c r="EC33" i="52"/>
  <c r="DW33" i="52"/>
  <c r="DU33" i="52"/>
  <c r="DS33" i="52"/>
  <c r="DX33" i="52" s="1"/>
  <c r="DM33" i="52"/>
  <c r="DK33" i="52"/>
  <c r="DI33" i="52"/>
  <c r="DN33" i="52" s="1"/>
  <c r="DC33" i="52"/>
  <c r="DA33" i="52"/>
  <c r="CY33" i="52"/>
  <c r="CS33" i="52"/>
  <c r="CQ33" i="52"/>
  <c r="CO33" i="52"/>
  <c r="CI33" i="52"/>
  <c r="CG33" i="52"/>
  <c r="CE33" i="52"/>
  <c r="CJ33" i="52" s="1"/>
  <c r="BY33" i="52"/>
  <c r="BW33" i="52"/>
  <c r="BU33" i="52"/>
  <c r="BZ33" i="52" s="1"/>
  <c r="BO33" i="52"/>
  <c r="BM33" i="52"/>
  <c r="BK33" i="52"/>
  <c r="BQ33" i="52" s="1"/>
  <c r="BH33" i="52" s="1"/>
  <c r="BI33" i="52" s="1"/>
  <c r="BE33" i="52"/>
  <c r="BG33" i="52" s="1"/>
  <c r="AX33" i="52" s="1"/>
  <c r="AY33" i="52" s="1"/>
  <c r="BC33" i="52"/>
  <c r="BA33" i="52"/>
  <c r="IM32" i="52"/>
  <c r="IK32" i="52"/>
  <c r="II32" i="52"/>
  <c r="IC32" i="52"/>
  <c r="IA32" i="52"/>
  <c r="HY32" i="52"/>
  <c r="HS32" i="52"/>
  <c r="HQ32" i="52"/>
  <c r="HO32" i="52"/>
  <c r="HJ32" i="52"/>
  <c r="HI32" i="52"/>
  <c r="HG32" i="52"/>
  <c r="HE32" i="52"/>
  <c r="GY32" i="52"/>
  <c r="GW32" i="52"/>
  <c r="GU32" i="52"/>
  <c r="GO32" i="52"/>
  <c r="GM32" i="52"/>
  <c r="GP32" i="52" s="1"/>
  <c r="GK32" i="52"/>
  <c r="GE32" i="52"/>
  <c r="GC32" i="52"/>
  <c r="GA32" i="52"/>
  <c r="FU32" i="52"/>
  <c r="FS32" i="52"/>
  <c r="FQ32" i="52"/>
  <c r="FV32" i="52" s="1"/>
  <c r="FK32" i="52"/>
  <c r="FI32" i="52"/>
  <c r="FG32" i="52"/>
  <c r="FL32" i="52" s="1"/>
  <c r="FA32" i="52"/>
  <c r="EY32" i="52"/>
  <c r="EW32" i="52"/>
  <c r="EQ32" i="52"/>
  <c r="EO32" i="52"/>
  <c r="EM32" i="52"/>
  <c r="EG32" i="52"/>
  <c r="EE32" i="52"/>
  <c r="EC32" i="52"/>
  <c r="EH32" i="52" s="1"/>
  <c r="DW32" i="52"/>
  <c r="DU32" i="52"/>
  <c r="DS32" i="52"/>
  <c r="DX32" i="52" s="1"/>
  <c r="DM32" i="52"/>
  <c r="DK32" i="52"/>
  <c r="DI32" i="52"/>
  <c r="DC32" i="52"/>
  <c r="DA32" i="52"/>
  <c r="CY32" i="52"/>
  <c r="CS32" i="52"/>
  <c r="CT32" i="52" s="1"/>
  <c r="CQ32" i="52"/>
  <c r="CO32" i="52"/>
  <c r="CI32" i="52"/>
  <c r="CG32" i="52"/>
  <c r="CE32" i="52"/>
  <c r="BY32" i="52"/>
  <c r="BW32" i="52"/>
  <c r="BU32" i="52"/>
  <c r="BO32" i="52"/>
  <c r="BM32" i="52"/>
  <c r="BK32" i="52"/>
  <c r="BF32" i="52"/>
  <c r="BE32" i="52"/>
  <c r="BC32" i="52"/>
  <c r="BA32" i="52"/>
  <c r="BG32" i="52" s="1"/>
  <c r="AX32" i="52" s="1"/>
  <c r="AY32" i="52" s="1"/>
  <c r="IM31" i="52"/>
  <c r="IK31" i="52"/>
  <c r="II31" i="52"/>
  <c r="IC31" i="52"/>
  <c r="IA31" i="52"/>
  <c r="HY31" i="52"/>
  <c r="HS31" i="52"/>
  <c r="HT31" i="52" s="1"/>
  <c r="HQ31" i="52"/>
  <c r="HO31" i="52"/>
  <c r="HI31" i="52"/>
  <c r="HG31" i="52"/>
  <c r="HE31" i="52"/>
  <c r="GY31" i="52"/>
  <c r="GW31" i="52"/>
  <c r="GU31" i="52"/>
  <c r="GO31" i="52"/>
  <c r="GM31" i="52"/>
  <c r="GK31" i="52"/>
  <c r="GE31" i="52"/>
  <c r="GC31" i="52"/>
  <c r="GA31" i="52"/>
  <c r="FU31" i="52"/>
  <c r="FS31" i="52"/>
  <c r="FQ31" i="52"/>
  <c r="FK31" i="52"/>
  <c r="FI31" i="52"/>
  <c r="FG31" i="52"/>
  <c r="FL31" i="52" s="1"/>
  <c r="FA31" i="52"/>
  <c r="EY31" i="52"/>
  <c r="EW31" i="52"/>
  <c r="EQ31" i="52"/>
  <c r="EO31" i="52"/>
  <c r="EM31" i="52"/>
  <c r="EG31" i="52"/>
  <c r="EH31" i="52" s="1"/>
  <c r="EE31" i="52"/>
  <c r="EC31" i="52"/>
  <c r="DW31" i="52"/>
  <c r="DU31" i="52"/>
  <c r="DS31" i="52"/>
  <c r="DM31" i="52"/>
  <c r="DK31" i="52"/>
  <c r="DI31" i="52"/>
  <c r="DC31" i="52"/>
  <c r="DA31" i="52"/>
  <c r="CY31" i="52"/>
  <c r="DD31" i="52" s="1"/>
  <c r="CT31" i="52"/>
  <c r="CS31" i="52"/>
  <c r="CQ31" i="52"/>
  <c r="CO31" i="52"/>
  <c r="CI31" i="52"/>
  <c r="CJ31" i="52" s="1"/>
  <c r="CG31" i="52"/>
  <c r="CE31" i="52"/>
  <c r="BY31" i="52"/>
  <c r="BW31" i="52"/>
  <c r="BZ31" i="52" s="1"/>
  <c r="BU31" i="52"/>
  <c r="BO31" i="52"/>
  <c r="BM31" i="52"/>
  <c r="BK31" i="52"/>
  <c r="BE31" i="52"/>
  <c r="BC31" i="52"/>
  <c r="BA31" i="52"/>
  <c r="BG31" i="52" s="1"/>
  <c r="AX31" i="52" s="1"/>
  <c r="AY31" i="52" s="1"/>
  <c r="IM30" i="52"/>
  <c r="IK30" i="52"/>
  <c r="II30" i="52"/>
  <c r="IC30" i="52"/>
  <c r="IA30" i="52"/>
  <c r="HY30" i="52"/>
  <c r="HS30" i="52"/>
  <c r="HT30" i="52" s="1"/>
  <c r="HQ30" i="52"/>
  <c r="HO30" i="52"/>
  <c r="HI30" i="52"/>
  <c r="HG30" i="52"/>
  <c r="HE30" i="52"/>
  <c r="GY30" i="52"/>
  <c r="GW30" i="52"/>
  <c r="GU30" i="52"/>
  <c r="GO30" i="52"/>
  <c r="GM30" i="52"/>
  <c r="GK30" i="52"/>
  <c r="GP30" i="52" s="1"/>
  <c r="GF30" i="52"/>
  <c r="GE30" i="52"/>
  <c r="GC30" i="52"/>
  <c r="GA30" i="52"/>
  <c r="FU30" i="52"/>
  <c r="FV30" i="52" s="1"/>
  <c r="FS30" i="52"/>
  <c r="FQ30" i="52"/>
  <c r="FK30" i="52"/>
  <c r="FI30" i="52"/>
  <c r="FL30" i="52" s="1"/>
  <c r="FG30" i="52"/>
  <c r="FA30" i="52"/>
  <c r="EY30" i="52"/>
  <c r="EW30" i="52"/>
  <c r="FB30" i="52" s="1"/>
  <c r="EQ30" i="52"/>
  <c r="EO30" i="52"/>
  <c r="EM30" i="52"/>
  <c r="ER30" i="52" s="1"/>
  <c r="EG30" i="52"/>
  <c r="EE30" i="52"/>
  <c r="EC30" i="52"/>
  <c r="DW30" i="52"/>
  <c r="DU30" i="52"/>
  <c r="DS30" i="52"/>
  <c r="DM30" i="52"/>
  <c r="DK30" i="52"/>
  <c r="DI30" i="52"/>
  <c r="DC30" i="52"/>
  <c r="DA30" i="52"/>
  <c r="CY30" i="52"/>
  <c r="DD30" i="52" s="1"/>
  <c r="CS30" i="52"/>
  <c r="CQ30" i="52"/>
  <c r="CO30" i="52"/>
  <c r="CI30" i="52"/>
  <c r="CG30" i="52"/>
  <c r="CE30" i="52"/>
  <c r="BY30" i="52"/>
  <c r="BW30" i="52"/>
  <c r="BU30" i="52"/>
  <c r="BO30" i="52"/>
  <c r="BP30" i="52" s="1"/>
  <c r="BM30" i="52"/>
  <c r="BK30" i="52"/>
  <c r="BE30" i="52"/>
  <c r="BC30" i="52"/>
  <c r="BA30" i="52"/>
  <c r="IM29" i="52"/>
  <c r="IK29" i="52"/>
  <c r="II29" i="52"/>
  <c r="IC29" i="52"/>
  <c r="IA29" i="52"/>
  <c r="HY29" i="52"/>
  <c r="ID29" i="52" s="1"/>
  <c r="HS29" i="52"/>
  <c r="HQ29" i="52"/>
  <c r="HO29" i="52"/>
  <c r="HT29" i="52" s="1"/>
  <c r="HI29" i="52"/>
  <c r="HG29" i="52"/>
  <c r="HE29" i="52"/>
  <c r="GY29" i="52"/>
  <c r="GW29" i="52"/>
  <c r="GU29" i="52"/>
  <c r="GO29" i="52"/>
  <c r="GP29" i="52" s="1"/>
  <c r="GM29" i="52"/>
  <c r="GK29" i="52"/>
  <c r="GE29" i="52"/>
  <c r="GC29" i="52"/>
  <c r="GA29" i="52"/>
  <c r="FU29" i="52"/>
  <c r="FS29" i="52"/>
  <c r="FQ29" i="52"/>
  <c r="FK29" i="52"/>
  <c r="FI29" i="52"/>
  <c r="FG29" i="52"/>
  <c r="FL29" i="52" s="1"/>
  <c r="FA29" i="52"/>
  <c r="EY29" i="52"/>
  <c r="EW29" i="52"/>
  <c r="EQ29" i="52"/>
  <c r="EO29" i="52"/>
  <c r="EM29" i="52"/>
  <c r="EG29" i="52"/>
  <c r="EE29" i="52"/>
  <c r="EC29" i="52"/>
  <c r="DW29" i="52"/>
  <c r="DU29" i="52"/>
  <c r="DS29" i="52"/>
  <c r="DX29" i="52" s="1"/>
  <c r="DM29" i="52"/>
  <c r="DK29" i="52"/>
  <c r="DI29" i="52"/>
  <c r="DC29" i="52"/>
  <c r="DA29" i="52"/>
  <c r="CY29" i="52"/>
  <c r="CS29" i="52"/>
  <c r="CQ29" i="52"/>
  <c r="CO29" i="52"/>
  <c r="CI29" i="52"/>
  <c r="CG29" i="52"/>
  <c r="CE29" i="52"/>
  <c r="CJ29" i="52" s="1"/>
  <c r="BY29" i="52"/>
  <c r="BW29" i="52"/>
  <c r="BU29" i="52"/>
  <c r="BQ29" i="52"/>
  <c r="BH29" i="52" s="1"/>
  <c r="BO29" i="52"/>
  <c r="BM29" i="52"/>
  <c r="BK29" i="52"/>
  <c r="BE29" i="52"/>
  <c r="BC29" i="52"/>
  <c r="BA29" i="52"/>
  <c r="IM28" i="52"/>
  <c r="IK28" i="52"/>
  <c r="IN28" i="52" s="1"/>
  <c r="II28" i="52"/>
  <c r="IC28" i="52"/>
  <c r="IA28" i="52"/>
  <c r="HY28" i="52"/>
  <c r="HS28" i="52"/>
  <c r="HQ28" i="52"/>
  <c r="HO28" i="52"/>
  <c r="HI28" i="52"/>
  <c r="HG28" i="52"/>
  <c r="HE28" i="52"/>
  <c r="GZ28" i="52"/>
  <c r="GY28" i="52"/>
  <c r="GW28" i="52"/>
  <c r="GU28" i="52"/>
  <c r="GO28" i="52"/>
  <c r="GM28" i="52"/>
  <c r="GK28" i="52"/>
  <c r="GE28" i="52"/>
  <c r="GC28" i="52"/>
  <c r="GA28" i="52"/>
  <c r="FU28" i="52"/>
  <c r="FS28" i="52"/>
  <c r="FQ28" i="52"/>
  <c r="FV28" i="52" s="1"/>
  <c r="FK28" i="52"/>
  <c r="FI28" i="52"/>
  <c r="FG28" i="52"/>
  <c r="FL28" i="52" s="1"/>
  <c r="FA28" i="52"/>
  <c r="EY28" i="52"/>
  <c r="EW28" i="52"/>
  <c r="EQ28" i="52"/>
  <c r="EO28" i="52"/>
  <c r="EM28" i="52"/>
  <c r="EG28" i="52"/>
  <c r="EE28" i="52"/>
  <c r="EC28" i="52"/>
  <c r="DW28" i="52"/>
  <c r="DU28" i="52"/>
  <c r="DS28" i="52"/>
  <c r="DX28" i="52" s="1"/>
  <c r="DM28" i="52"/>
  <c r="DK28" i="52"/>
  <c r="DI28" i="52"/>
  <c r="DN28" i="52" s="1"/>
  <c r="DC28" i="52"/>
  <c r="DA28" i="52"/>
  <c r="CY28" i="52"/>
  <c r="CS28" i="52"/>
  <c r="CQ28" i="52"/>
  <c r="CO28" i="52"/>
  <c r="CI28" i="52"/>
  <c r="CG28" i="52"/>
  <c r="CJ28" i="52" s="1"/>
  <c r="CE28" i="52"/>
  <c r="BY28" i="52"/>
  <c r="BW28" i="52"/>
  <c r="BU28" i="52"/>
  <c r="BO28" i="52"/>
  <c r="BM28" i="52"/>
  <c r="BK28" i="52"/>
  <c r="BQ28" i="52" s="1"/>
  <c r="BH28" i="52" s="1"/>
  <c r="BE28" i="52"/>
  <c r="BC28" i="52"/>
  <c r="BA28" i="52"/>
  <c r="BF28" i="52" s="1"/>
  <c r="IM27" i="52"/>
  <c r="IK27" i="52"/>
  <c r="II27" i="52"/>
  <c r="IN27" i="52" s="1"/>
  <c r="IC27" i="52"/>
  <c r="IA27" i="52"/>
  <c r="HY27" i="52"/>
  <c r="HS27" i="52"/>
  <c r="HQ27" i="52"/>
  <c r="HO27" i="52"/>
  <c r="HI27" i="52"/>
  <c r="HG27" i="52"/>
  <c r="HE27" i="52"/>
  <c r="HJ27" i="52" s="1"/>
  <c r="GY27" i="52"/>
  <c r="GW27" i="52"/>
  <c r="GU27" i="52"/>
  <c r="GZ27" i="52" s="1"/>
  <c r="GO27" i="52"/>
  <c r="GM27" i="52"/>
  <c r="GK27" i="52"/>
  <c r="GE27" i="52"/>
  <c r="GC27" i="52"/>
  <c r="GA27" i="52"/>
  <c r="FU27" i="52"/>
  <c r="FS27" i="52"/>
  <c r="FQ27" i="52"/>
  <c r="FK27" i="52"/>
  <c r="FI27" i="52"/>
  <c r="FG27" i="52"/>
  <c r="FL27" i="52" s="1"/>
  <c r="FA27" i="52"/>
  <c r="EY27" i="52"/>
  <c r="EW27" i="52"/>
  <c r="EQ27" i="52"/>
  <c r="EO27" i="52"/>
  <c r="EM27" i="52"/>
  <c r="ER27" i="52" s="1"/>
  <c r="EG27" i="52"/>
  <c r="EE27" i="52"/>
  <c r="EC27" i="52"/>
  <c r="DW27" i="52"/>
  <c r="DX27" i="52" s="1"/>
  <c r="DU27" i="52"/>
  <c r="DS27" i="52"/>
  <c r="DM27" i="52"/>
  <c r="DK27" i="52"/>
  <c r="DI27" i="52"/>
  <c r="DC27" i="52"/>
  <c r="DA27" i="52"/>
  <c r="CY27" i="52"/>
  <c r="DD27" i="52" s="1"/>
  <c r="CS27" i="52"/>
  <c r="CQ27" i="52"/>
  <c r="CO27" i="52"/>
  <c r="CT27" i="52" s="1"/>
  <c r="CJ27" i="52"/>
  <c r="CI27" i="52"/>
  <c r="CG27" i="52"/>
  <c r="CE27" i="52"/>
  <c r="BY27" i="52"/>
  <c r="BW27" i="52"/>
  <c r="BU27" i="52"/>
  <c r="BO27" i="52"/>
  <c r="BM27" i="52"/>
  <c r="BK27" i="52"/>
  <c r="BE27" i="52"/>
  <c r="BC27" i="52"/>
  <c r="BG27" i="52" s="1"/>
  <c r="AX27" i="52" s="1"/>
  <c r="AY27" i="52" s="1"/>
  <c r="BA27" i="52"/>
  <c r="IM26" i="52"/>
  <c r="IK26" i="52"/>
  <c r="IN26" i="52" s="1"/>
  <c r="II26" i="52"/>
  <c r="IC26" i="52"/>
  <c r="IA26" i="52"/>
  <c r="HY26" i="52"/>
  <c r="HS26" i="52"/>
  <c r="HQ26" i="52"/>
  <c r="HO26" i="52"/>
  <c r="HI26" i="52"/>
  <c r="HG26" i="52"/>
  <c r="HE26" i="52"/>
  <c r="GY26" i="52"/>
  <c r="GZ26" i="52" s="1"/>
  <c r="GW26" i="52"/>
  <c r="GU26" i="52"/>
  <c r="GO26" i="52"/>
  <c r="GM26" i="52"/>
  <c r="GK26" i="52"/>
  <c r="GE26" i="52"/>
  <c r="GC26" i="52"/>
  <c r="GA26" i="52"/>
  <c r="FU26" i="52"/>
  <c r="FS26" i="52"/>
  <c r="FQ26" i="52"/>
  <c r="FV26" i="52" s="1"/>
  <c r="FL26" i="52"/>
  <c r="FK26" i="52"/>
  <c r="FI26" i="52"/>
  <c r="FG26" i="52"/>
  <c r="FA26" i="52"/>
  <c r="EY26" i="52"/>
  <c r="EW26" i="52"/>
  <c r="EQ26" i="52"/>
  <c r="EO26" i="52"/>
  <c r="EM26" i="52"/>
  <c r="EG26" i="52"/>
  <c r="EE26" i="52"/>
  <c r="EC26" i="52"/>
  <c r="EH26" i="52" s="1"/>
  <c r="DW26" i="52"/>
  <c r="DU26" i="52"/>
  <c r="DS26" i="52"/>
  <c r="DX26" i="52" s="1"/>
  <c r="DM26" i="52"/>
  <c r="DK26" i="52"/>
  <c r="DI26" i="52"/>
  <c r="DC26" i="52"/>
  <c r="DA26" i="52"/>
  <c r="CY26" i="52"/>
  <c r="CS26" i="52"/>
  <c r="CQ26" i="52"/>
  <c r="CO26" i="52"/>
  <c r="CI26" i="52"/>
  <c r="CG26" i="52"/>
  <c r="CJ26" i="52" s="1"/>
  <c r="CE26" i="52"/>
  <c r="BY26" i="52"/>
  <c r="BW26" i="52"/>
  <c r="BU26" i="52"/>
  <c r="BO26" i="52"/>
  <c r="BM26" i="52"/>
  <c r="BK26" i="52"/>
  <c r="BG26" i="52"/>
  <c r="AX26" i="52" s="1"/>
  <c r="AY26" i="52" s="1"/>
  <c r="BE26" i="52"/>
  <c r="BC26" i="52"/>
  <c r="BA26" i="52"/>
  <c r="BF26" i="52" s="1"/>
  <c r="IN25" i="52"/>
  <c r="IM25" i="52"/>
  <c r="IK25" i="52"/>
  <c r="II25" i="52"/>
  <c r="IC25" i="52"/>
  <c r="IA25" i="52"/>
  <c r="HY25" i="52"/>
  <c r="HS25" i="52"/>
  <c r="HQ25" i="52"/>
  <c r="HO25" i="52"/>
  <c r="HI25" i="52"/>
  <c r="HG25" i="52"/>
  <c r="HE25" i="52"/>
  <c r="HJ25" i="52" s="1"/>
  <c r="GY25" i="52"/>
  <c r="GW25" i="52"/>
  <c r="GU25" i="52"/>
  <c r="GZ25" i="52" s="1"/>
  <c r="GO25" i="52"/>
  <c r="GM25" i="52"/>
  <c r="GK25" i="52"/>
  <c r="GP25" i="52" s="1"/>
  <c r="GE25" i="52"/>
  <c r="GC25" i="52"/>
  <c r="GA25" i="52"/>
  <c r="FU25" i="52"/>
  <c r="FS25" i="52"/>
  <c r="FQ25" i="52"/>
  <c r="FK25" i="52"/>
  <c r="FI25" i="52"/>
  <c r="FL25" i="52" s="1"/>
  <c r="FG25" i="52"/>
  <c r="FA25" i="52"/>
  <c r="EY25" i="52"/>
  <c r="EW25" i="52"/>
  <c r="FB25" i="52" s="1"/>
  <c r="EQ25" i="52"/>
  <c r="EO25" i="52"/>
  <c r="EM25" i="52"/>
  <c r="EG25" i="52"/>
  <c r="EE25" i="52"/>
  <c r="EC25" i="52"/>
  <c r="DW25" i="52"/>
  <c r="DX25" i="52" s="1"/>
  <c r="DU25" i="52"/>
  <c r="DS25" i="52"/>
  <c r="DM25" i="52"/>
  <c r="DK25" i="52"/>
  <c r="DI25" i="52"/>
  <c r="DC25" i="52"/>
  <c r="DA25" i="52"/>
  <c r="CY25" i="52"/>
  <c r="CS25" i="52"/>
  <c r="CQ25" i="52"/>
  <c r="CO25" i="52"/>
  <c r="CT25" i="52" s="1"/>
  <c r="CJ25" i="52"/>
  <c r="CI25" i="52"/>
  <c r="CG25" i="52"/>
  <c r="CE25" i="52"/>
  <c r="BY25" i="52"/>
  <c r="BW25" i="52"/>
  <c r="BU25" i="52"/>
  <c r="BO25" i="52"/>
  <c r="BM25" i="52"/>
  <c r="BP25" i="52" s="1"/>
  <c r="BK25" i="52"/>
  <c r="BE25" i="52"/>
  <c r="BC25" i="52"/>
  <c r="BA25" i="52"/>
  <c r="BF25" i="52" s="1"/>
  <c r="IM24" i="52"/>
  <c r="IK24" i="52"/>
  <c r="II24" i="52"/>
  <c r="IN24" i="52" s="1"/>
  <c r="IC24" i="52"/>
  <c r="IA24" i="52"/>
  <c r="HY24" i="52"/>
  <c r="ID24" i="52" s="1"/>
  <c r="HS24" i="52"/>
  <c r="HQ24" i="52"/>
  <c r="HO24" i="52"/>
  <c r="HI24" i="52"/>
  <c r="HG24" i="52"/>
  <c r="HE24" i="52"/>
  <c r="GY24" i="52"/>
  <c r="GW24" i="52"/>
  <c r="GZ24" i="52" s="1"/>
  <c r="GU24" i="52"/>
  <c r="GO24" i="52"/>
  <c r="GM24" i="52"/>
  <c r="GK24" i="52"/>
  <c r="GP24" i="52" s="1"/>
  <c r="GE24" i="52"/>
  <c r="GC24" i="52"/>
  <c r="GA24" i="52"/>
  <c r="FU24" i="52"/>
  <c r="FS24" i="52"/>
  <c r="FQ24" i="52"/>
  <c r="FK24" i="52"/>
  <c r="FL24" i="52" s="1"/>
  <c r="FI24" i="52"/>
  <c r="FG24" i="52"/>
  <c r="FA24" i="52"/>
  <c r="EY24" i="52"/>
  <c r="EW24" i="52"/>
  <c r="EQ24" i="52"/>
  <c r="EO24" i="52"/>
  <c r="EM24" i="52"/>
  <c r="EG24" i="52"/>
  <c r="EE24" i="52"/>
  <c r="EC24" i="52"/>
  <c r="EH24" i="52" s="1"/>
  <c r="DX24" i="52"/>
  <c r="DW24" i="52"/>
  <c r="DU24" i="52"/>
  <c r="DS24" i="52"/>
  <c r="DM24" i="52"/>
  <c r="DK24" i="52"/>
  <c r="DI24" i="52"/>
  <c r="DC24" i="52"/>
  <c r="DA24" i="52"/>
  <c r="DD24" i="52" s="1"/>
  <c r="CY24" i="52"/>
  <c r="CS24" i="52"/>
  <c r="CQ24" i="52"/>
  <c r="CO24" i="52"/>
  <c r="CT24" i="52" s="1"/>
  <c r="CI24" i="52"/>
  <c r="CG24" i="52"/>
  <c r="CE24" i="52"/>
  <c r="CJ24" i="52" s="1"/>
  <c r="BY24" i="52"/>
  <c r="BW24" i="52"/>
  <c r="BU24" i="52"/>
  <c r="BZ24" i="52" s="1"/>
  <c r="BO24" i="52"/>
  <c r="BM24" i="52"/>
  <c r="BK24" i="52"/>
  <c r="BE24" i="52"/>
  <c r="BG24" i="52" s="1"/>
  <c r="AX24" i="52" s="1"/>
  <c r="AY24" i="52" s="1"/>
  <c r="BC24" i="52"/>
  <c r="BA24" i="52"/>
  <c r="AU24" i="52"/>
  <c r="AV24" i="52" s="1"/>
  <c r="IN23" i="52"/>
  <c r="IM23" i="52"/>
  <c r="IK23" i="52"/>
  <c r="II23" i="52"/>
  <c r="IC23" i="52"/>
  <c r="IA23" i="52"/>
  <c r="HY23" i="52"/>
  <c r="HS23" i="52"/>
  <c r="HQ23" i="52"/>
  <c r="HT23" i="52" s="1"/>
  <c r="HO23" i="52"/>
  <c r="HI23" i="52"/>
  <c r="HG23" i="52"/>
  <c r="HE23" i="52"/>
  <c r="GY23" i="52"/>
  <c r="GW23" i="52"/>
  <c r="GU23" i="52"/>
  <c r="GZ23" i="52" s="1"/>
  <c r="GO23" i="52"/>
  <c r="GM23" i="52"/>
  <c r="GK23" i="52"/>
  <c r="GP23" i="52" s="1"/>
  <c r="GF23" i="52"/>
  <c r="GE23" i="52"/>
  <c r="GC23" i="52"/>
  <c r="GA23" i="52"/>
  <c r="FU23" i="52"/>
  <c r="FS23" i="52"/>
  <c r="FQ23" i="52"/>
  <c r="FK23" i="52"/>
  <c r="FI23" i="52"/>
  <c r="FG23" i="52"/>
  <c r="FA23" i="52"/>
  <c r="EY23" i="52"/>
  <c r="EW23" i="52"/>
  <c r="FB23" i="52" s="1"/>
  <c r="EQ23" i="52"/>
  <c r="EO23" i="52"/>
  <c r="EM23" i="52"/>
  <c r="ER23" i="52" s="1"/>
  <c r="EG23" i="52"/>
  <c r="EE23" i="52"/>
  <c r="EC23" i="52"/>
  <c r="EH23" i="52" s="1"/>
  <c r="DW23" i="52"/>
  <c r="DX23" i="52" s="1"/>
  <c r="DU23" i="52"/>
  <c r="DS23" i="52"/>
  <c r="DM23" i="52"/>
  <c r="DK23" i="52"/>
  <c r="DI23" i="52"/>
  <c r="DC23" i="52"/>
  <c r="DA23" i="52"/>
  <c r="DD23" i="52" s="1"/>
  <c r="CY23" i="52"/>
  <c r="CS23" i="52"/>
  <c r="CQ23" i="52"/>
  <c r="CO23" i="52"/>
  <c r="CT23" i="52" s="1"/>
  <c r="CI23" i="52"/>
  <c r="CG23" i="52"/>
  <c r="CE23" i="52"/>
  <c r="BY23" i="52"/>
  <c r="BW23" i="52"/>
  <c r="BU23" i="52"/>
  <c r="BO23" i="52"/>
  <c r="BP23" i="52" s="1"/>
  <c r="BM23" i="52"/>
  <c r="BK23" i="52"/>
  <c r="BE23" i="52"/>
  <c r="BC23" i="52"/>
  <c r="BA23" i="52"/>
  <c r="AU23" i="52"/>
  <c r="AV23" i="52" s="1"/>
  <c r="IM22" i="52"/>
  <c r="IN22" i="52" s="1"/>
  <c r="IK22" i="52"/>
  <c r="II22" i="52"/>
  <c r="IC22" i="52"/>
  <c r="IA22" i="52"/>
  <c r="HY22" i="52"/>
  <c r="HS22" i="52"/>
  <c r="HQ22" i="52"/>
  <c r="HT22" i="52" s="1"/>
  <c r="HO22" i="52"/>
  <c r="HI22" i="52"/>
  <c r="HG22" i="52"/>
  <c r="HE22" i="52"/>
  <c r="GY22" i="52"/>
  <c r="GW22" i="52"/>
  <c r="GU22" i="52"/>
  <c r="GZ22" i="52" s="1"/>
  <c r="GO22" i="52"/>
  <c r="GM22" i="52"/>
  <c r="GK22" i="52"/>
  <c r="GE22" i="52"/>
  <c r="GC22" i="52"/>
  <c r="GA22" i="52"/>
  <c r="FU22" i="52"/>
  <c r="FS22" i="52"/>
  <c r="FQ22" i="52"/>
  <c r="FK22" i="52"/>
  <c r="FI22" i="52"/>
  <c r="FL22" i="52" s="1"/>
  <c r="FA22" i="52"/>
  <c r="EY22" i="52"/>
  <c r="EW22" i="52"/>
  <c r="EQ22" i="52"/>
  <c r="EO22" i="52"/>
  <c r="EM22" i="52"/>
  <c r="EG22" i="52"/>
  <c r="EE22" i="52"/>
  <c r="EC22" i="52"/>
  <c r="DW22" i="52"/>
  <c r="DX22" i="52" s="1"/>
  <c r="DU22" i="52"/>
  <c r="DS22" i="52"/>
  <c r="DM22" i="52"/>
  <c r="DN22" i="52" s="1"/>
  <c r="DK22" i="52"/>
  <c r="DI22" i="52"/>
  <c r="DC22" i="52"/>
  <c r="DA22" i="52"/>
  <c r="DD22" i="52" s="1"/>
  <c r="CY22" i="52"/>
  <c r="CS22" i="52"/>
  <c r="CQ22" i="52"/>
  <c r="CO22" i="52"/>
  <c r="CT22" i="52" s="1"/>
  <c r="CI22" i="52"/>
  <c r="CG22" i="52"/>
  <c r="CE22" i="52"/>
  <c r="CJ22" i="52" s="1"/>
  <c r="BY22" i="52"/>
  <c r="BZ22" i="52" s="1"/>
  <c r="BW22" i="52"/>
  <c r="BU22" i="52"/>
  <c r="BO22" i="52"/>
  <c r="BM22" i="52"/>
  <c r="BK22" i="52"/>
  <c r="BE22" i="52"/>
  <c r="BC22" i="52"/>
  <c r="BA22" i="52"/>
  <c r="AV22" i="52"/>
  <c r="IM21" i="52"/>
  <c r="IK21" i="52"/>
  <c r="II21" i="52"/>
  <c r="IC21" i="52"/>
  <c r="IA21" i="52"/>
  <c r="HY21" i="52"/>
  <c r="HS21" i="52"/>
  <c r="HQ21" i="52"/>
  <c r="HO21" i="52"/>
  <c r="HJ21" i="52"/>
  <c r="HI21" i="52"/>
  <c r="HG21" i="52"/>
  <c r="HE21" i="52"/>
  <c r="GY21" i="52"/>
  <c r="GZ21" i="52" s="1"/>
  <c r="GW21" i="52"/>
  <c r="GU21" i="52"/>
  <c r="GO21" i="52"/>
  <c r="GM21" i="52"/>
  <c r="GP21" i="52" s="1"/>
  <c r="GK21" i="52"/>
  <c r="GE21" i="52"/>
  <c r="GC21" i="52"/>
  <c r="GA21" i="52"/>
  <c r="GF21" i="52" s="1"/>
  <c r="FU21" i="52"/>
  <c r="FS21" i="52"/>
  <c r="FQ21" i="52"/>
  <c r="FV21" i="52" s="1"/>
  <c r="FK21" i="52"/>
  <c r="FL21" i="52" s="1"/>
  <c r="FI21" i="52"/>
  <c r="FG21" i="52"/>
  <c r="FA21" i="52"/>
  <c r="EY21" i="52"/>
  <c r="EW21" i="52"/>
  <c r="EQ21" i="52"/>
  <c r="EO21" i="52"/>
  <c r="EM21" i="52"/>
  <c r="EG21" i="52"/>
  <c r="EE21" i="52"/>
  <c r="EC21" i="52"/>
  <c r="EH21" i="52" s="1"/>
  <c r="DW21" i="52"/>
  <c r="DU21" i="52"/>
  <c r="DS21" i="52"/>
  <c r="DM21" i="52"/>
  <c r="DK21" i="52"/>
  <c r="DI21" i="52"/>
  <c r="DC21" i="52"/>
  <c r="DA21" i="52"/>
  <c r="CY21" i="52"/>
  <c r="CS21" i="52"/>
  <c r="CQ21" i="52"/>
  <c r="CO21" i="52"/>
  <c r="CI21" i="52"/>
  <c r="CG21" i="52"/>
  <c r="CE21" i="52"/>
  <c r="BY21" i="52"/>
  <c r="BW21" i="52"/>
  <c r="BU21" i="52"/>
  <c r="BO21" i="52"/>
  <c r="BM21" i="52"/>
  <c r="BK21" i="52"/>
  <c r="BF21" i="52"/>
  <c r="BE21" i="52"/>
  <c r="BC21" i="52"/>
  <c r="BA21" i="52"/>
  <c r="AV21" i="52"/>
  <c r="B21" i="52"/>
  <c r="B22" i="52" s="1"/>
  <c r="B20" i="52"/>
  <c r="CB19" i="52"/>
  <c r="BR19" i="52"/>
  <c r="BI19" i="52"/>
  <c r="AY19" i="52"/>
  <c r="F16" i="52"/>
  <c r="G16" i="52" s="1"/>
  <c r="H16" i="52" s="1"/>
  <c r="I16" i="52" s="1"/>
  <c r="O12" i="52"/>
  <c r="O11" i="52"/>
  <c r="O10" i="52"/>
  <c r="O9" i="52"/>
  <c r="O8" i="52"/>
  <c r="O7" i="52"/>
  <c r="C7" i="52"/>
  <c r="V6" i="52"/>
  <c r="O6" i="52"/>
  <c r="V5" i="52"/>
  <c r="O5" i="52"/>
  <c r="O4" i="52"/>
  <c r="C4" i="52"/>
  <c r="C3" i="52"/>
  <c r="P30" i="2" a="1"/>
  <c r="P29" i="2" a="1"/>
  <c r="P28" i="2" a="1"/>
  <c r="D51" i="57" l="1"/>
  <c r="AM48" i="57" s="1"/>
  <c r="AM52" i="56"/>
  <c r="D63" i="56"/>
  <c r="AM53" i="56" s="1"/>
  <c r="P28" i="2"/>
  <c r="P29" i="2"/>
  <c r="P30" i="2"/>
  <c r="AO53" i="60"/>
  <c r="AO52" i="60"/>
  <c r="AO53" i="58"/>
  <c r="AO52" i="58"/>
  <c r="AO53" i="59"/>
  <c r="AO52" i="59"/>
  <c r="AO53" i="57"/>
  <c r="AO52" i="57"/>
  <c r="AM48" i="58"/>
  <c r="AM47" i="58"/>
  <c r="E50" i="58"/>
  <c r="E51" i="58" s="1"/>
  <c r="E50" i="60"/>
  <c r="E51" i="60" s="1"/>
  <c r="AM47" i="60"/>
  <c r="AM48" i="60"/>
  <c r="AM47" i="57"/>
  <c r="E50" i="57"/>
  <c r="E51" i="57" s="1"/>
  <c r="AM47" i="59"/>
  <c r="AM48" i="59"/>
  <c r="E50" i="59"/>
  <c r="E51" i="59" s="1"/>
  <c r="E50" i="56"/>
  <c r="E62" i="56"/>
  <c r="E63" i="56" s="1"/>
  <c r="I84" i="52"/>
  <c r="W9" i="52"/>
  <c r="C45" i="55"/>
  <c r="D13" i="59"/>
  <c r="D13" i="58"/>
  <c r="C63" i="53"/>
  <c r="C63" i="54"/>
  <c r="AN52" i="54" s="1"/>
  <c r="C44" i="55"/>
  <c r="F55" i="55" s="1"/>
  <c r="D13" i="60"/>
  <c r="D13" i="56"/>
  <c r="P10" i="56" s="1"/>
  <c r="D13" i="57"/>
  <c r="AB76" i="57" s="1"/>
  <c r="I9" i="52"/>
  <c r="I10" i="52" s="1"/>
  <c r="U73" i="52"/>
  <c r="V73" i="52" s="1"/>
  <c r="V76" i="52" s="1"/>
  <c r="AB78" i="52" s="1"/>
  <c r="W5" i="52"/>
  <c r="W6" i="52"/>
  <c r="W7" i="53"/>
  <c r="C9" i="52"/>
  <c r="C10" i="52" s="1"/>
  <c r="D84" i="52"/>
  <c r="F9" i="52"/>
  <c r="F10" i="52" s="1"/>
  <c r="C44" i="53"/>
  <c r="D50" i="53" s="1"/>
  <c r="V81" i="52"/>
  <c r="P74" i="52"/>
  <c r="P76" i="52" s="1"/>
  <c r="AB73" i="52" s="1"/>
  <c r="S81" i="52"/>
  <c r="P81" i="52"/>
  <c r="P83" i="52" s="1"/>
  <c r="AB74" i="52" s="1"/>
  <c r="W8" i="53"/>
  <c r="C64" i="55"/>
  <c r="AL54" i="55" s="1"/>
  <c r="G12" i="55"/>
  <c r="C63" i="55"/>
  <c r="AN52" i="55" s="1"/>
  <c r="W8" i="55"/>
  <c r="CK39" i="55"/>
  <c r="CB39" i="55" s="1"/>
  <c r="CC39" i="55" s="1"/>
  <c r="CK37" i="55"/>
  <c r="CB37" i="55" s="1"/>
  <c r="CC37" i="55" s="1"/>
  <c r="CK35" i="55"/>
  <c r="CB35" i="55" s="1"/>
  <c r="CC35" i="55" s="1"/>
  <c r="CK40" i="55"/>
  <c r="CB40" i="55" s="1"/>
  <c r="CC40" i="55" s="1"/>
  <c r="CK36" i="55"/>
  <c r="CB36" i="55" s="1"/>
  <c r="CC36" i="55" s="1"/>
  <c r="CK38" i="55"/>
  <c r="CB38" i="55" s="1"/>
  <c r="CC38" i="55" s="1"/>
  <c r="CK33" i="55"/>
  <c r="CB33" i="55" s="1"/>
  <c r="CC33" i="55" s="1"/>
  <c r="CK30" i="55"/>
  <c r="CB30" i="55" s="1"/>
  <c r="CK31" i="55"/>
  <c r="CB31" i="55" s="1"/>
  <c r="CK34" i="55"/>
  <c r="CB34" i="55" s="1"/>
  <c r="CC34" i="55" s="1"/>
  <c r="CK32" i="55"/>
  <c r="CB32" i="55" s="1"/>
  <c r="CK29" i="55"/>
  <c r="CB29" i="55" s="1"/>
  <c r="CK28" i="55"/>
  <c r="CB28" i="55" s="1"/>
  <c r="CK27" i="55"/>
  <c r="CB27" i="55" s="1"/>
  <c r="CK26" i="55"/>
  <c r="CB26" i="55" s="1"/>
  <c r="CK25" i="55"/>
  <c r="CB25" i="55" s="1"/>
  <c r="CK24" i="55"/>
  <c r="CB24" i="55" s="1"/>
  <c r="CC19" i="55"/>
  <c r="CK23" i="55"/>
  <c r="CB23" i="55" s="1"/>
  <c r="CK22" i="55"/>
  <c r="CB22" i="55" s="1"/>
  <c r="CK21" i="55"/>
  <c r="CB21" i="55" s="1"/>
  <c r="CL19" i="55"/>
  <c r="BS27" i="55"/>
  <c r="F24" i="55"/>
  <c r="AV26" i="55"/>
  <c r="AU27" i="55"/>
  <c r="BS24" i="55"/>
  <c r="F21" i="55"/>
  <c r="BS28" i="55"/>
  <c r="F25" i="55"/>
  <c r="BS32" i="55"/>
  <c r="BI31" i="55"/>
  <c r="BS22" i="55"/>
  <c r="F19" i="55"/>
  <c r="BI24" i="55"/>
  <c r="E21" i="55"/>
  <c r="BS21" i="55"/>
  <c r="F18" i="55"/>
  <c r="BS25" i="55"/>
  <c r="F22" i="55"/>
  <c r="BS29" i="55"/>
  <c r="F26" i="55"/>
  <c r="E27" i="55"/>
  <c r="B28" i="55"/>
  <c r="B29" i="55" s="1"/>
  <c r="E24" i="55"/>
  <c r="BI27" i="55"/>
  <c r="E25" i="55"/>
  <c r="BI28" i="55"/>
  <c r="BS26" i="55"/>
  <c r="F23" i="55"/>
  <c r="BS30" i="55"/>
  <c r="F27" i="55"/>
  <c r="BS31" i="55"/>
  <c r="D12" i="55"/>
  <c r="W7" i="55"/>
  <c r="F26" i="54"/>
  <c r="C64" i="54"/>
  <c r="AL54" i="54" s="1"/>
  <c r="C45" i="54"/>
  <c r="H50" i="54" s="1"/>
  <c r="BI21" i="54"/>
  <c r="E18" i="54"/>
  <c r="F24" i="54"/>
  <c r="BS27" i="54"/>
  <c r="F19" i="54"/>
  <c r="BS22" i="54"/>
  <c r="F21" i="54"/>
  <c r="BS24" i="54"/>
  <c r="E25" i="54"/>
  <c r="BI28" i="54"/>
  <c r="BI32" i="54"/>
  <c r="E29" i="54"/>
  <c r="F29" i="54"/>
  <c r="BS32" i="54"/>
  <c r="F23" i="54"/>
  <c r="BS26" i="54"/>
  <c r="W8" i="54"/>
  <c r="G12" i="54"/>
  <c r="BI29" i="54"/>
  <c r="E26" i="54"/>
  <c r="E23" i="54"/>
  <c r="BI26" i="54"/>
  <c r="AV31" i="54"/>
  <c r="AU32" i="54"/>
  <c r="BS30" i="54"/>
  <c r="F27" i="54"/>
  <c r="F28" i="54"/>
  <c r="BS31" i="54"/>
  <c r="D12" i="54"/>
  <c r="W7" i="54"/>
  <c r="C44" i="54"/>
  <c r="BS21" i="54"/>
  <c r="F18" i="54"/>
  <c r="CK39" i="54"/>
  <c r="CB39" i="54" s="1"/>
  <c r="CC39" i="54" s="1"/>
  <c r="CK37" i="54"/>
  <c r="CB37" i="54" s="1"/>
  <c r="CC37" i="54" s="1"/>
  <c r="CK35" i="54"/>
  <c r="CB35" i="54" s="1"/>
  <c r="CC35" i="54" s="1"/>
  <c r="CK40" i="54"/>
  <c r="CB40" i="54" s="1"/>
  <c r="CC40" i="54" s="1"/>
  <c r="CK36" i="54"/>
  <c r="CB36" i="54" s="1"/>
  <c r="CC36" i="54" s="1"/>
  <c r="CK34" i="54"/>
  <c r="CB34" i="54" s="1"/>
  <c r="CC34" i="54" s="1"/>
  <c r="CK30" i="54"/>
  <c r="CB30" i="54" s="1"/>
  <c r="CK38" i="54"/>
  <c r="CB38" i="54" s="1"/>
  <c r="CC38" i="54" s="1"/>
  <c r="CK31" i="54"/>
  <c r="CB31" i="54" s="1"/>
  <c r="CK33" i="54"/>
  <c r="CB33" i="54" s="1"/>
  <c r="CC33" i="54" s="1"/>
  <c r="CK32" i="54"/>
  <c r="CB32" i="54" s="1"/>
  <c r="CK22" i="54"/>
  <c r="CB22" i="54" s="1"/>
  <c r="CL19" i="54"/>
  <c r="CK26" i="54"/>
  <c r="CB26" i="54" s="1"/>
  <c r="CK27" i="54"/>
  <c r="CB27" i="54" s="1"/>
  <c r="CK25" i="54"/>
  <c r="CB25" i="54" s="1"/>
  <c r="CK24" i="54"/>
  <c r="CB24" i="54" s="1"/>
  <c r="CK21" i="54"/>
  <c r="CB21" i="54" s="1"/>
  <c r="CK23" i="54"/>
  <c r="CB23" i="54" s="1"/>
  <c r="CK29" i="54"/>
  <c r="CB29" i="54" s="1"/>
  <c r="CC19" i="54"/>
  <c r="CK28" i="54"/>
  <c r="CB28" i="54" s="1"/>
  <c r="F22" i="54"/>
  <c r="BS25" i="54"/>
  <c r="F25" i="54"/>
  <c r="BS28" i="54"/>
  <c r="C64" i="53"/>
  <c r="AL54" i="53" s="1"/>
  <c r="C45" i="53"/>
  <c r="H50" i="53" s="1"/>
  <c r="BS25" i="53"/>
  <c r="F22" i="53"/>
  <c r="F20" i="53"/>
  <c r="BS23" i="53"/>
  <c r="BS32" i="53"/>
  <c r="BS27" i="53"/>
  <c r="F24" i="53"/>
  <c r="D12" i="53"/>
  <c r="G12" i="53"/>
  <c r="AU26" i="53"/>
  <c r="AV25" i="53"/>
  <c r="BI31" i="53"/>
  <c r="BS21" i="53"/>
  <c r="F18" i="53"/>
  <c r="F23" i="53"/>
  <c r="BS26" i="53"/>
  <c r="BS24" i="53"/>
  <c r="F21" i="53"/>
  <c r="F19" i="53"/>
  <c r="BS22" i="53"/>
  <c r="BS28" i="53"/>
  <c r="F25" i="53"/>
  <c r="BS31" i="53"/>
  <c r="B27" i="53"/>
  <c r="E26" i="53"/>
  <c r="BI27" i="53"/>
  <c r="E24" i="53"/>
  <c r="CK39" i="53"/>
  <c r="CB39" i="53" s="1"/>
  <c r="CC39" i="53" s="1"/>
  <c r="CK37" i="53"/>
  <c r="CB37" i="53" s="1"/>
  <c r="CC37" i="53" s="1"/>
  <c r="CK34" i="53"/>
  <c r="CB34" i="53" s="1"/>
  <c r="CC34" i="53" s="1"/>
  <c r="CK40" i="53"/>
  <c r="CB40" i="53" s="1"/>
  <c r="CC40" i="53" s="1"/>
  <c r="CK35" i="53"/>
  <c r="CB35" i="53" s="1"/>
  <c r="CC35" i="53" s="1"/>
  <c r="CK38" i="53"/>
  <c r="CB38" i="53" s="1"/>
  <c r="CC38" i="53" s="1"/>
  <c r="CK36" i="53"/>
  <c r="CB36" i="53" s="1"/>
  <c r="CC36" i="53" s="1"/>
  <c r="CK33" i="53"/>
  <c r="CB33" i="53" s="1"/>
  <c r="CC33" i="53" s="1"/>
  <c r="CK32" i="53"/>
  <c r="CB32" i="53" s="1"/>
  <c r="CK30" i="53"/>
  <c r="CB30" i="53" s="1"/>
  <c r="CK28" i="53"/>
  <c r="CB28" i="53" s="1"/>
  <c r="CK27" i="53"/>
  <c r="CB27" i="53" s="1"/>
  <c r="CK29" i="53"/>
  <c r="CB29" i="53" s="1"/>
  <c r="CK31" i="53"/>
  <c r="CB31" i="53" s="1"/>
  <c r="CC19" i="53"/>
  <c r="CK21" i="53"/>
  <c r="CB21" i="53" s="1"/>
  <c r="CK26" i="53"/>
  <c r="CB26" i="53" s="1"/>
  <c r="CK25" i="53"/>
  <c r="CB25" i="53" s="1"/>
  <c r="CK24" i="53"/>
  <c r="CB24" i="53" s="1"/>
  <c r="CK23" i="53"/>
  <c r="CB23" i="53" s="1"/>
  <c r="CK22" i="53"/>
  <c r="CB22" i="53" s="1"/>
  <c r="CL19" i="53"/>
  <c r="BS30" i="53"/>
  <c r="F27" i="53"/>
  <c r="BS29" i="53"/>
  <c r="F26" i="53"/>
  <c r="CK21" i="52"/>
  <c r="CB21" i="52" s="1"/>
  <c r="CC21" i="52" s="1"/>
  <c r="ER21" i="52"/>
  <c r="FB21" i="52"/>
  <c r="BF22" i="52"/>
  <c r="BP22" i="52"/>
  <c r="CT21" i="52"/>
  <c r="FL23" i="52"/>
  <c r="ER24" i="52"/>
  <c r="DD25" i="52"/>
  <c r="BF30" i="52"/>
  <c r="GZ30" i="52"/>
  <c r="HJ30" i="52"/>
  <c r="DN31" i="52"/>
  <c r="DX31" i="52"/>
  <c r="GZ31" i="52"/>
  <c r="BZ32" i="52"/>
  <c r="ID32" i="52"/>
  <c r="BZ34" i="52"/>
  <c r="DD35" i="52"/>
  <c r="ER38" i="52"/>
  <c r="BZ39" i="52"/>
  <c r="CJ39" i="52"/>
  <c r="BP40" i="52"/>
  <c r="BP21" i="52"/>
  <c r="BZ21" i="52"/>
  <c r="CJ21" i="52"/>
  <c r="HT21" i="52"/>
  <c r="ID21" i="52"/>
  <c r="IN21" i="52"/>
  <c r="EH22" i="52"/>
  <c r="ER22" i="52"/>
  <c r="FB22" i="52"/>
  <c r="HJ22" i="52"/>
  <c r="BQ23" i="52"/>
  <c r="BH23" i="52" s="1"/>
  <c r="BZ23" i="52"/>
  <c r="FV23" i="52"/>
  <c r="ID23" i="52"/>
  <c r="BF24" i="52"/>
  <c r="BQ24" i="52"/>
  <c r="BH24" i="52" s="1"/>
  <c r="BI24" i="52" s="1"/>
  <c r="DN24" i="52"/>
  <c r="FV24" i="52"/>
  <c r="GF24" i="52"/>
  <c r="BZ25" i="52"/>
  <c r="EH25" i="52"/>
  <c r="ER25" i="52"/>
  <c r="ID25" i="52"/>
  <c r="HJ26" i="52"/>
  <c r="EH27" i="52"/>
  <c r="GF27" i="52"/>
  <c r="DD28" i="52"/>
  <c r="FB28" i="52"/>
  <c r="HJ28" i="52"/>
  <c r="BP29" i="52"/>
  <c r="BZ29" i="52"/>
  <c r="DN29" i="52"/>
  <c r="FB29" i="52"/>
  <c r="HJ29" i="52"/>
  <c r="BQ30" i="52"/>
  <c r="BH30" i="52" s="1"/>
  <c r="BI30" i="52" s="1"/>
  <c r="BZ30" i="52"/>
  <c r="CJ30" i="52"/>
  <c r="CT30" i="52"/>
  <c r="ID30" i="52"/>
  <c r="IN30" i="52"/>
  <c r="ER31" i="52"/>
  <c r="IN31" i="52"/>
  <c r="DN32" i="52"/>
  <c r="GZ32" i="52"/>
  <c r="BP33" i="52"/>
  <c r="FB33" i="52"/>
  <c r="DN34" i="52"/>
  <c r="BZ35" i="52"/>
  <c r="ER35" i="52"/>
  <c r="FL36" i="52"/>
  <c r="BG37" i="52"/>
  <c r="AX37" i="52" s="1"/>
  <c r="AY37" i="52" s="1"/>
  <c r="BQ37" i="52"/>
  <c r="BH37" i="52" s="1"/>
  <c r="BI37" i="52" s="1"/>
  <c r="BZ37" i="52"/>
  <c r="CJ37" i="52"/>
  <c r="BF38" i="52"/>
  <c r="DN38" i="52"/>
  <c r="BG39" i="52"/>
  <c r="AX39" i="52" s="1"/>
  <c r="AY39" i="52" s="1"/>
  <c r="DN39" i="52"/>
  <c r="DX39" i="52"/>
  <c r="CT40" i="52"/>
  <c r="ER40" i="52"/>
  <c r="BG21" i="52"/>
  <c r="AX21" i="52" s="1"/>
  <c r="AY21" i="52" s="1"/>
  <c r="DD21" i="52"/>
  <c r="DN21" i="52"/>
  <c r="DX21" i="52"/>
  <c r="BQ22" i="52"/>
  <c r="BH22" i="52" s="1"/>
  <c r="FV22" i="52"/>
  <c r="GF22" i="52"/>
  <c r="GP22" i="52"/>
  <c r="BF23" i="52"/>
  <c r="CJ23" i="52"/>
  <c r="DN23" i="52"/>
  <c r="BP24" i="52"/>
  <c r="FB24" i="52"/>
  <c r="HJ24" i="52"/>
  <c r="HT24" i="52"/>
  <c r="BQ25" i="52"/>
  <c r="BH25" i="52" s="1"/>
  <c r="BI25" i="52" s="1"/>
  <c r="DN25" i="52"/>
  <c r="FV25" i="52"/>
  <c r="GF25" i="52"/>
  <c r="HT25" i="52"/>
  <c r="CT26" i="52"/>
  <c r="BF27" i="52"/>
  <c r="BQ27" i="52"/>
  <c r="BH27" i="52" s="1"/>
  <c r="FV27" i="52"/>
  <c r="HT27" i="52"/>
  <c r="CT28" i="52"/>
  <c r="ER28" i="52"/>
  <c r="GP28" i="52"/>
  <c r="DD29" i="52"/>
  <c r="ER29" i="52"/>
  <c r="GF29" i="52"/>
  <c r="BG30" i="52"/>
  <c r="AX30" i="52" s="1"/>
  <c r="AY30" i="52" s="1"/>
  <c r="DN30" i="52"/>
  <c r="DX30" i="52"/>
  <c r="EH30" i="52"/>
  <c r="BF31" i="52"/>
  <c r="FB31" i="52"/>
  <c r="GF31" i="52"/>
  <c r="HJ31" i="52"/>
  <c r="BQ32" i="52"/>
  <c r="BH32" i="52" s="1"/>
  <c r="BI32" i="52" s="1"/>
  <c r="CJ32" i="52"/>
  <c r="FB32" i="52"/>
  <c r="IN32" i="52"/>
  <c r="DD33" i="52"/>
  <c r="CJ34" i="52"/>
  <c r="FB34" i="52"/>
  <c r="DN35" i="52"/>
  <c r="BG36" i="52"/>
  <c r="AX36" i="52" s="1"/>
  <c r="AY36" i="52" s="1"/>
  <c r="BP36" i="52"/>
  <c r="CT36" i="52"/>
  <c r="ER36" i="52"/>
  <c r="DN37" i="52"/>
  <c r="DX37" i="52"/>
  <c r="BP38" i="52"/>
  <c r="FB38" i="52"/>
  <c r="CT39" i="52"/>
  <c r="FB39" i="52"/>
  <c r="FL39" i="52"/>
  <c r="BZ40" i="52"/>
  <c r="EH40" i="52"/>
  <c r="BG28" i="52"/>
  <c r="AX28" i="52" s="1"/>
  <c r="AY28" i="52" s="1"/>
  <c r="BZ28" i="52"/>
  <c r="EH28" i="52"/>
  <c r="B23" i="52"/>
  <c r="B24" i="52" s="1"/>
  <c r="B25" i="52" s="1"/>
  <c r="B26" i="52" s="1"/>
  <c r="B27" i="52" s="1"/>
  <c r="E20" i="52"/>
  <c r="BI23" i="52"/>
  <c r="G18" i="52"/>
  <c r="E19" i="52"/>
  <c r="BI22" i="52"/>
  <c r="BP31" i="52"/>
  <c r="BQ31" i="52"/>
  <c r="BH31" i="52" s="1"/>
  <c r="E21" i="52"/>
  <c r="CK22" i="52"/>
  <c r="CB22" i="52" s="1"/>
  <c r="E25" i="52"/>
  <c r="BI28" i="52"/>
  <c r="GF28" i="52"/>
  <c r="HT28" i="52"/>
  <c r="ID28" i="52"/>
  <c r="BF29" i="52"/>
  <c r="EH29" i="52"/>
  <c r="BG23" i="52"/>
  <c r="AX23" i="52" s="1"/>
  <c r="AY23" i="52" s="1"/>
  <c r="CA40" i="52"/>
  <c r="BR40" i="52" s="1"/>
  <c r="BS40" i="52" s="1"/>
  <c r="CA38" i="52"/>
  <c r="BR38" i="52" s="1"/>
  <c r="BS38" i="52" s="1"/>
  <c r="CA39" i="52"/>
  <c r="BR39" i="52" s="1"/>
  <c r="BS39" i="52" s="1"/>
  <c r="CA36" i="52"/>
  <c r="BR36" i="52" s="1"/>
  <c r="BS36" i="52" s="1"/>
  <c r="CA32" i="52"/>
  <c r="BR32" i="52" s="1"/>
  <c r="CA34" i="52"/>
  <c r="BR34" i="52" s="1"/>
  <c r="BS34" i="52" s="1"/>
  <c r="CA35" i="52"/>
  <c r="BR35" i="52" s="1"/>
  <c r="BS35" i="52" s="1"/>
  <c r="CA31" i="52"/>
  <c r="BR31" i="52" s="1"/>
  <c r="CA37" i="52"/>
  <c r="BR37" i="52" s="1"/>
  <c r="BS37" i="52" s="1"/>
  <c r="CA30" i="52"/>
  <c r="BR30" i="52" s="1"/>
  <c r="CA29" i="52"/>
  <c r="BR29" i="52" s="1"/>
  <c r="CA28" i="52"/>
  <c r="BR28" i="52" s="1"/>
  <c r="CA27" i="52"/>
  <c r="BR27" i="52" s="1"/>
  <c r="CA26" i="52"/>
  <c r="BR26" i="52" s="1"/>
  <c r="CA25" i="52"/>
  <c r="BR25" i="52" s="1"/>
  <c r="CA24" i="52"/>
  <c r="BR24" i="52" s="1"/>
  <c r="CA33" i="52"/>
  <c r="BR33" i="52" s="1"/>
  <c r="BS33" i="52" s="1"/>
  <c r="CL19" i="52"/>
  <c r="CA22" i="52"/>
  <c r="BR22" i="52" s="1"/>
  <c r="HJ23" i="52"/>
  <c r="E24" i="52"/>
  <c r="BI27" i="52"/>
  <c r="BZ27" i="52"/>
  <c r="DN27" i="52"/>
  <c r="FB27" i="52"/>
  <c r="GP27" i="52"/>
  <c r="ID27" i="52"/>
  <c r="BI29" i="52"/>
  <c r="E26" i="52"/>
  <c r="CK39" i="52"/>
  <c r="CB39" i="52" s="1"/>
  <c r="CC39" i="52" s="1"/>
  <c r="CK37" i="52"/>
  <c r="CB37" i="52" s="1"/>
  <c r="CC37" i="52" s="1"/>
  <c r="CK40" i="52"/>
  <c r="CB40" i="52" s="1"/>
  <c r="CC40" i="52" s="1"/>
  <c r="CK38" i="52"/>
  <c r="CB38" i="52" s="1"/>
  <c r="CC38" i="52" s="1"/>
  <c r="CK35" i="52"/>
  <c r="CB35" i="52" s="1"/>
  <c r="CC35" i="52" s="1"/>
  <c r="CK33" i="52"/>
  <c r="CB33" i="52" s="1"/>
  <c r="CC33" i="52" s="1"/>
  <c r="CK34" i="52"/>
  <c r="CB34" i="52" s="1"/>
  <c r="CC34" i="52" s="1"/>
  <c r="CK30" i="52"/>
  <c r="CB30" i="52" s="1"/>
  <c r="CK36" i="52"/>
  <c r="CB36" i="52" s="1"/>
  <c r="CC36" i="52" s="1"/>
  <c r="CK31" i="52"/>
  <c r="CB31" i="52" s="1"/>
  <c r="CK29" i="52"/>
  <c r="CB29" i="52" s="1"/>
  <c r="CK32" i="52"/>
  <c r="CB32" i="52" s="1"/>
  <c r="CK28" i="52"/>
  <c r="CB28" i="52" s="1"/>
  <c r="CK27" i="52"/>
  <c r="CB27" i="52" s="1"/>
  <c r="CK26" i="52"/>
  <c r="CB26" i="52" s="1"/>
  <c r="CK25" i="52"/>
  <c r="CB25" i="52" s="1"/>
  <c r="CK24" i="52"/>
  <c r="CB24" i="52" s="1"/>
  <c r="CK23" i="52"/>
  <c r="CB23" i="52" s="1"/>
  <c r="BQ21" i="52"/>
  <c r="BH21" i="52" s="1"/>
  <c r="BG22" i="52"/>
  <c r="AX22" i="52" s="1"/>
  <c r="AY22" i="52" s="1"/>
  <c r="CC19" i="52"/>
  <c r="BS19" i="52"/>
  <c r="CA21" i="52"/>
  <c r="BR21" i="52" s="1"/>
  <c r="ID22" i="52"/>
  <c r="CA23" i="52"/>
  <c r="BR23" i="52" s="1"/>
  <c r="AU25" i="52"/>
  <c r="BG25" i="52"/>
  <c r="AX25" i="52" s="1"/>
  <c r="AY25" i="52" s="1"/>
  <c r="BQ26" i="52"/>
  <c r="BH26" i="52" s="1"/>
  <c r="BZ26" i="52"/>
  <c r="DD26" i="52"/>
  <c r="DN26" i="52"/>
  <c r="ER26" i="52"/>
  <c r="FB26" i="52"/>
  <c r="GF26" i="52"/>
  <c r="GP26" i="52"/>
  <c r="HT26" i="52"/>
  <c r="ID26" i="52"/>
  <c r="CT29" i="52"/>
  <c r="FV29" i="52"/>
  <c r="BQ34" i="52"/>
  <c r="BH34" i="52" s="1"/>
  <c r="BI34" i="52" s="1"/>
  <c r="BP26" i="52"/>
  <c r="BP27" i="52"/>
  <c r="BP28" i="52"/>
  <c r="BG29" i="52"/>
  <c r="AX29" i="52" s="1"/>
  <c r="AY29" i="52" s="1"/>
  <c r="GZ29" i="52"/>
  <c r="IN29" i="52"/>
  <c r="BG34" i="52"/>
  <c r="AX34" i="52" s="1"/>
  <c r="AY34" i="52" s="1"/>
  <c r="BF40" i="52"/>
  <c r="BG40" i="52"/>
  <c r="AX40" i="52" s="1"/>
  <c r="AY40" i="52" s="1"/>
  <c r="FV31" i="52"/>
  <c r="GP31" i="52"/>
  <c r="ID31" i="52"/>
  <c r="BP34" i="52"/>
  <c r="DD34" i="52"/>
  <c r="ER34" i="52"/>
  <c r="BF35" i="52"/>
  <c r="CT35" i="52"/>
  <c r="EH35" i="52"/>
  <c r="BP32" i="52"/>
  <c r="DD32" i="52"/>
  <c r="ER32" i="52"/>
  <c r="GF32" i="52"/>
  <c r="HT32" i="52"/>
  <c r="BF33" i="52"/>
  <c r="CT33" i="52"/>
  <c r="EH33" i="52"/>
  <c r="BQ35" i="52"/>
  <c r="BH35" i="52" s="1"/>
  <c r="BI35" i="52" s="1"/>
  <c r="CJ36" i="52"/>
  <c r="BQ38" i="52"/>
  <c r="BH38" i="52" s="1"/>
  <c r="BI38" i="52" s="1"/>
  <c r="BF37" i="52"/>
  <c r="BF39" i="52"/>
  <c r="AN53" i="57" l="1"/>
  <c r="AO59" i="57" s="1"/>
  <c r="V83" i="55"/>
  <c r="S83" i="55"/>
  <c r="AB76" i="55" s="1"/>
  <c r="S83" i="53"/>
  <c r="AB76" i="53" s="1"/>
  <c r="V83" i="53"/>
  <c r="AB77" i="53" s="1"/>
  <c r="V83" i="54"/>
  <c r="AB77" i="54" s="1"/>
  <c r="S83" i="54"/>
  <c r="AB76" i="54" s="1"/>
  <c r="E51" i="56"/>
  <c r="AO48" i="56" s="1"/>
  <c r="E22" i="52"/>
  <c r="AN53" i="59"/>
  <c r="AO59" i="59" s="1"/>
  <c r="AN53" i="60"/>
  <c r="AO59" i="60" s="1"/>
  <c r="N9" i="1"/>
  <c r="AN53" i="58"/>
  <c r="AO59" i="58" s="1"/>
  <c r="AO48" i="58"/>
  <c r="AO47" i="58"/>
  <c r="AO48" i="59"/>
  <c r="AO47" i="59"/>
  <c r="AO47" i="57"/>
  <c r="AO48" i="57"/>
  <c r="AO48" i="60"/>
  <c r="AO47" i="60"/>
  <c r="P10" i="59"/>
  <c r="AB76" i="59"/>
  <c r="P10" i="60"/>
  <c r="AB76" i="60"/>
  <c r="P10" i="58"/>
  <c r="AB76" i="58"/>
  <c r="AO47" i="56"/>
  <c r="AO53" i="56"/>
  <c r="AO52" i="56"/>
  <c r="P10" i="57"/>
  <c r="D57" i="55"/>
  <c r="H50" i="55"/>
  <c r="D56" i="55" s="1"/>
  <c r="D50" i="55"/>
  <c r="D51" i="55" s="1"/>
  <c r="AN47" i="55"/>
  <c r="AL49" i="55"/>
  <c r="F74" i="54"/>
  <c r="AN52" i="53"/>
  <c r="D69" i="53"/>
  <c r="AM52" i="53" s="1"/>
  <c r="F74" i="53"/>
  <c r="D13" i="54"/>
  <c r="P10" i="54" s="1"/>
  <c r="D69" i="54"/>
  <c r="AM52" i="54" s="1"/>
  <c r="C63" i="52"/>
  <c r="D13" i="53"/>
  <c r="C44" i="52"/>
  <c r="D13" i="55"/>
  <c r="P10" i="55" s="1"/>
  <c r="A12" i="6"/>
  <c r="A11" i="6"/>
  <c r="F55" i="53"/>
  <c r="AN47" i="53"/>
  <c r="AB75" i="56"/>
  <c r="AB76" i="56"/>
  <c r="D76" i="55"/>
  <c r="H69" i="55"/>
  <c r="AL53" i="55" s="1"/>
  <c r="D69" i="55"/>
  <c r="AM52" i="55" s="1"/>
  <c r="F74" i="55"/>
  <c r="AB77" i="55"/>
  <c r="F28" i="55"/>
  <c r="E28" i="55"/>
  <c r="AV27" i="55"/>
  <c r="AU28" i="55"/>
  <c r="CC22" i="55"/>
  <c r="CC25" i="55"/>
  <c r="G22" i="55"/>
  <c r="G26" i="55"/>
  <c r="CC29" i="55"/>
  <c r="CC30" i="55"/>
  <c r="G27" i="55"/>
  <c r="CC23" i="55"/>
  <c r="G20" i="55"/>
  <c r="CC26" i="55"/>
  <c r="G23" i="55"/>
  <c r="CC32" i="55"/>
  <c r="G29" i="55"/>
  <c r="B30" i="55"/>
  <c r="B31" i="55" s="1"/>
  <c r="B32" i="55" s="1"/>
  <c r="B33" i="55" s="1"/>
  <c r="B34" i="55" s="1"/>
  <c r="B35" i="55" s="1"/>
  <c r="B36" i="55" s="1"/>
  <c r="B37" i="55" s="1"/>
  <c r="E29" i="55"/>
  <c r="F29" i="55"/>
  <c r="CU40" i="55"/>
  <c r="CL40" i="55" s="1"/>
  <c r="CM40" i="55" s="1"/>
  <c r="CU38" i="55"/>
  <c r="CL38" i="55" s="1"/>
  <c r="CM38" i="55" s="1"/>
  <c r="CU39" i="55"/>
  <c r="CL39" i="55" s="1"/>
  <c r="CM39" i="55" s="1"/>
  <c r="CU37" i="55"/>
  <c r="CL37" i="55" s="1"/>
  <c r="CM37" i="55" s="1"/>
  <c r="CU34" i="55"/>
  <c r="CL34" i="55" s="1"/>
  <c r="CM34" i="55" s="1"/>
  <c r="CU36" i="55"/>
  <c r="CL36" i="55" s="1"/>
  <c r="CM36" i="55" s="1"/>
  <c r="CU35" i="55"/>
  <c r="CL35" i="55" s="1"/>
  <c r="CM35" i="55" s="1"/>
  <c r="CU30" i="55"/>
  <c r="CL30" i="55" s="1"/>
  <c r="CU31" i="55"/>
  <c r="CL31" i="55" s="1"/>
  <c r="CU33" i="55"/>
  <c r="CL33" i="55" s="1"/>
  <c r="CM33" i="55" s="1"/>
  <c r="CU32" i="55"/>
  <c r="CL32" i="55" s="1"/>
  <c r="CU26" i="55"/>
  <c r="CL26" i="55" s="1"/>
  <c r="CU23" i="55"/>
  <c r="CL23" i="55" s="1"/>
  <c r="CU22" i="55"/>
  <c r="CL22" i="55" s="1"/>
  <c r="CU27" i="55"/>
  <c r="CL27" i="55" s="1"/>
  <c r="CV19" i="55"/>
  <c r="CU21" i="55"/>
  <c r="CL21" i="55" s="1"/>
  <c r="CU28" i="55"/>
  <c r="CL28" i="55" s="1"/>
  <c r="CU24" i="55"/>
  <c r="CL24" i="55" s="1"/>
  <c r="CM19" i="55"/>
  <c r="CU29" i="55"/>
  <c r="CL29" i="55" s="1"/>
  <c r="CU25" i="55"/>
  <c r="CL25" i="55" s="1"/>
  <c r="G24" i="55"/>
  <c r="CC27" i="55"/>
  <c r="G18" i="55"/>
  <c r="CC21" i="55"/>
  <c r="CC24" i="55"/>
  <c r="G21" i="55"/>
  <c r="G25" i="55"/>
  <c r="CC28" i="55"/>
  <c r="CC31" i="55"/>
  <c r="G28" i="55"/>
  <c r="CC23" i="54"/>
  <c r="G20" i="54"/>
  <c r="CC27" i="54"/>
  <c r="G24" i="54"/>
  <c r="CC32" i="54"/>
  <c r="G29" i="54"/>
  <c r="CC30" i="54"/>
  <c r="G27" i="54"/>
  <c r="AU33" i="54"/>
  <c r="AV32" i="54"/>
  <c r="CC28" i="54"/>
  <c r="G25" i="54"/>
  <c r="G18" i="54"/>
  <c r="CC21" i="54"/>
  <c r="CC26" i="54"/>
  <c r="G23" i="54"/>
  <c r="D50" i="54"/>
  <c r="AN47" i="54"/>
  <c r="F55" i="54"/>
  <c r="D57" i="54"/>
  <c r="AL49" i="54"/>
  <c r="CC24" i="54"/>
  <c r="G21" i="54"/>
  <c r="CU40" i="54"/>
  <c r="CL40" i="54" s="1"/>
  <c r="CM40" i="54" s="1"/>
  <c r="CU34" i="54"/>
  <c r="CL34" i="54" s="1"/>
  <c r="CM34" i="54" s="1"/>
  <c r="CU35" i="54"/>
  <c r="CL35" i="54" s="1"/>
  <c r="CM35" i="54" s="1"/>
  <c r="CU38" i="54"/>
  <c r="CL38" i="54" s="1"/>
  <c r="CM38" i="54" s="1"/>
  <c r="CU33" i="54"/>
  <c r="CL33" i="54" s="1"/>
  <c r="CM33" i="54" s="1"/>
  <c r="CU29" i="54"/>
  <c r="CL29" i="54" s="1"/>
  <c r="CU28" i="54"/>
  <c r="CL28" i="54" s="1"/>
  <c r="CU30" i="54"/>
  <c r="CL30" i="54" s="1"/>
  <c r="CU27" i="54"/>
  <c r="CL27" i="54" s="1"/>
  <c r="CU26" i="54"/>
  <c r="CL26" i="54" s="1"/>
  <c r="CU25" i="54"/>
  <c r="CL25" i="54" s="1"/>
  <c r="CU24" i="54"/>
  <c r="CL24" i="54" s="1"/>
  <c r="CU23" i="54"/>
  <c r="CL23" i="54" s="1"/>
  <c r="CU37" i="54"/>
  <c r="CL37" i="54" s="1"/>
  <c r="CM37" i="54" s="1"/>
  <c r="CU32" i="54"/>
  <c r="CL32" i="54" s="1"/>
  <c r="CU31" i="54"/>
  <c r="CL31" i="54" s="1"/>
  <c r="CV19" i="54"/>
  <c r="CU36" i="54"/>
  <c r="CL36" i="54" s="1"/>
  <c r="CM36" i="54" s="1"/>
  <c r="CM19" i="54"/>
  <c r="CU21" i="54"/>
  <c r="CL21" i="54" s="1"/>
  <c r="CU39" i="54"/>
  <c r="CL39" i="54" s="1"/>
  <c r="CM39" i="54" s="1"/>
  <c r="CU22" i="54"/>
  <c r="CL22" i="54" s="1"/>
  <c r="CC31" i="54"/>
  <c r="G28" i="54"/>
  <c r="CC29" i="54"/>
  <c r="G26" i="54"/>
  <c r="CC25" i="54"/>
  <c r="G22" i="54"/>
  <c r="CC22" i="54"/>
  <c r="G19" i="54"/>
  <c r="D76" i="54"/>
  <c r="H69" i="54"/>
  <c r="AL53" i="54" s="1"/>
  <c r="CC23" i="53"/>
  <c r="G20" i="53"/>
  <c r="G18" i="53"/>
  <c r="CC21" i="53"/>
  <c r="CC27" i="53"/>
  <c r="G24" i="53"/>
  <c r="CC24" i="53"/>
  <c r="G21" i="53"/>
  <c r="CC28" i="53"/>
  <c r="G25" i="53"/>
  <c r="CU40" i="53"/>
  <c r="CL40" i="53" s="1"/>
  <c r="CM40" i="53" s="1"/>
  <c r="CU38" i="53"/>
  <c r="CL38" i="53" s="1"/>
  <c r="CM38" i="53" s="1"/>
  <c r="CU39" i="53"/>
  <c r="CL39" i="53" s="1"/>
  <c r="CM39" i="53" s="1"/>
  <c r="CU37" i="53"/>
  <c r="CL37" i="53" s="1"/>
  <c r="CM37" i="53" s="1"/>
  <c r="CU33" i="53"/>
  <c r="CL33" i="53" s="1"/>
  <c r="CM33" i="53" s="1"/>
  <c r="CU34" i="53"/>
  <c r="CL34" i="53" s="1"/>
  <c r="CM34" i="53" s="1"/>
  <c r="CU35" i="53"/>
  <c r="CL35" i="53" s="1"/>
  <c r="CM35" i="53" s="1"/>
  <c r="CU31" i="53"/>
  <c r="CL31" i="53" s="1"/>
  <c r="CU32" i="53"/>
  <c r="CL32" i="53" s="1"/>
  <c r="CU36" i="53"/>
  <c r="CL36" i="53" s="1"/>
  <c r="CM36" i="53" s="1"/>
  <c r="CU29" i="53"/>
  <c r="CL29" i="53" s="1"/>
  <c r="CU30" i="53"/>
  <c r="CL30" i="53" s="1"/>
  <c r="CU28" i="53"/>
  <c r="CL28" i="53" s="1"/>
  <c r="CU26" i="53"/>
  <c r="CL26" i="53" s="1"/>
  <c r="CU25" i="53"/>
  <c r="CL25" i="53" s="1"/>
  <c r="CU24" i="53"/>
  <c r="CL24" i="53" s="1"/>
  <c r="CU23" i="53"/>
  <c r="CL23" i="53" s="1"/>
  <c r="CU22" i="53"/>
  <c r="CL22" i="53" s="1"/>
  <c r="CU27" i="53"/>
  <c r="CL27" i="53" s="1"/>
  <c r="CV19" i="53"/>
  <c r="CM19" i="53"/>
  <c r="CU21" i="53"/>
  <c r="CL21" i="53" s="1"/>
  <c r="CC25" i="53"/>
  <c r="G22" i="53"/>
  <c r="CC31" i="53"/>
  <c r="G28" i="53"/>
  <c r="G27" i="53"/>
  <c r="CC30" i="53"/>
  <c r="AM47" i="53"/>
  <c r="E55" i="53"/>
  <c r="E50" i="53"/>
  <c r="D51" i="53"/>
  <c r="D57" i="53"/>
  <c r="AL49" i="53"/>
  <c r="CC22" i="53"/>
  <c r="G19" i="53"/>
  <c r="CC26" i="53"/>
  <c r="G23" i="53"/>
  <c r="CC29" i="53"/>
  <c r="G26" i="53"/>
  <c r="CC32" i="53"/>
  <c r="E27" i="53"/>
  <c r="B28" i="53"/>
  <c r="AU27" i="53"/>
  <c r="AV26" i="53"/>
  <c r="D76" i="53"/>
  <c r="H69" i="53"/>
  <c r="AL53" i="53" s="1"/>
  <c r="BI26" i="52"/>
  <c r="E23" i="52"/>
  <c r="G21" i="52"/>
  <c r="CC24" i="52"/>
  <c r="G25" i="52"/>
  <c r="CC28" i="52"/>
  <c r="CU39" i="52"/>
  <c r="CL39" i="52" s="1"/>
  <c r="CM39" i="52" s="1"/>
  <c r="CU37" i="52"/>
  <c r="CL37" i="52" s="1"/>
  <c r="CM37" i="52" s="1"/>
  <c r="CU40" i="52"/>
  <c r="CL40" i="52" s="1"/>
  <c r="CM40" i="52" s="1"/>
  <c r="CU34" i="52"/>
  <c r="CL34" i="52" s="1"/>
  <c r="CM34" i="52" s="1"/>
  <c r="CU38" i="52"/>
  <c r="CL38" i="52" s="1"/>
  <c r="CM38" i="52" s="1"/>
  <c r="CU36" i="52"/>
  <c r="CL36" i="52" s="1"/>
  <c r="CM36" i="52" s="1"/>
  <c r="CU32" i="52"/>
  <c r="CL32" i="52" s="1"/>
  <c r="CU29" i="52"/>
  <c r="CL29" i="52" s="1"/>
  <c r="CU33" i="52"/>
  <c r="CL33" i="52" s="1"/>
  <c r="CM33" i="52" s="1"/>
  <c r="CU30" i="52"/>
  <c r="CL30" i="52" s="1"/>
  <c r="CU35" i="52"/>
  <c r="CL35" i="52" s="1"/>
  <c r="CM35" i="52" s="1"/>
  <c r="CU31" i="52"/>
  <c r="CL31" i="52" s="1"/>
  <c r="CU25" i="52"/>
  <c r="CL25" i="52" s="1"/>
  <c r="CM19" i="52"/>
  <c r="CU26" i="52"/>
  <c r="CL26" i="52" s="1"/>
  <c r="CU23" i="52"/>
  <c r="CL23" i="52" s="1"/>
  <c r="CV19" i="52"/>
  <c r="CU27" i="52"/>
  <c r="CL27" i="52" s="1"/>
  <c r="CU21" i="52"/>
  <c r="CL21" i="52" s="1"/>
  <c r="CU28" i="52"/>
  <c r="CL28" i="52" s="1"/>
  <c r="CU24" i="52"/>
  <c r="CL24" i="52" s="1"/>
  <c r="CU22" i="52"/>
  <c r="CL22" i="52" s="1"/>
  <c r="BS26" i="52"/>
  <c r="F23" i="52"/>
  <c r="BS30" i="52"/>
  <c r="F27" i="52"/>
  <c r="BI31" i="52"/>
  <c r="C64" i="52"/>
  <c r="AL54" i="52" s="1"/>
  <c r="C45" i="52"/>
  <c r="H50" i="52" s="1"/>
  <c r="F18" i="52"/>
  <c r="BS21" i="52"/>
  <c r="CC25" i="52"/>
  <c r="G22" i="52"/>
  <c r="CC32" i="52"/>
  <c r="CC30" i="52"/>
  <c r="G27" i="52"/>
  <c r="BS27" i="52"/>
  <c r="F24" i="52"/>
  <c r="BS32" i="52"/>
  <c r="AV25" i="52"/>
  <c r="AU26" i="52"/>
  <c r="BI21" i="52"/>
  <c r="G23" i="52"/>
  <c r="CC26" i="52"/>
  <c r="CC29" i="52"/>
  <c r="G26" i="52"/>
  <c r="BS24" i="52"/>
  <c r="F21" i="52"/>
  <c r="BS28" i="52"/>
  <c r="F25" i="52"/>
  <c r="BS31" i="52"/>
  <c r="CC22" i="52"/>
  <c r="W7" i="52"/>
  <c r="D12" i="52"/>
  <c r="BS23" i="52"/>
  <c r="F20" i="52"/>
  <c r="CC23" i="52"/>
  <c r="G24" i="52"/>
  <c r="CC27" i="52"/>
  <c r="CC31" i="52"/>
  <c r="BS22" i="52"/>
  <c r="BS25" i="52"/>
  <c r="F22" i="52"/>
  <c r="BS29" i="52"/>
  <c r="F26" i="52"/>
  <c r="W8" i="52"/>
  <c r="G12" i="52"/>
  <c r="E27" i="52"/>
  <c r="B28" i="52"/>
  <c r="B29" i="52" s="1"/>
  <c r="G29" i="52" s="1"/>
  <c r="V83" i="52" l="1"/>
  <c r="AB77" i="52" s="1"/>
  <c r="S83" i="52"/>
  <c r="AB76" i="52" s="1"/>
  <c r="AN48" i="57"/>
  <c r="AO58" i="57" s="1"/>
  <c r="AB72" i="57" s="1"/>
  <c r="AB80" i="57" s="1"/>
  <c r="AB81" i="57" s="1"/>
  <c r="AN48" i="59"/>
  <c r="AO58" i="59" s="1"/>
  <c r="AB72" i="59" s="1"/>
  <c r="AB80" i="59" s="1"/>
  <c r="AB81" i="59" s="1"/>
  <c r="AN48" i="60"/>
  <c r="AO58" i="60" s="1"/>
  <c r="AB72" i="60" s="1"/>
  <c r="AB80" i="60" s="1"/>
  <c r="AB81" i="60" s="1"/>
  <c r="AN48" i="58"/>
  <c r="AO58" i="58" s="1"/>
  <c r="I50" i="55"/>
  <c r="I51" i="55" s="1"/>
  <c r="AM47" i="55"/>
  <c r="E55" i="55"/>
  <c r="E50" i="55"/>
  <c r="AO47" i="55" s="1"/>
  <c r="D70" i="54"/>
  <c r="AL48" i="55"/>
  <c r="H51" i="55"/>
  <c r="AM48" i="55" s="1"/>
  <c r="S74" i="54"/>
  <c r="S76" i="54" s="1"/>
  <c r="AB75" i="54" s="1"/>
  <c r="S74" i="53"/>
  <c r="S76" i="53" s="1"/>
  <c r="AB75" i="53" s="1"/>
  <c r="P10" i="53"/>
  <c r="D70" i="53"/>
  <c r="E69" i="53"/>
  <c r="AO52" i="53" s="1"/>
  <c r="E74" i="53"/>
  <c r="E69" i="54"/>
  <c r="AO52" i="54" s="1"/>
  <c r="E74" i="54"/>
  <c r="AN52" i="52"/>
  <c r="D69" i="52"/>
  <c r="AM52" i="52" s="1"/>
  <c r="F74" i="52"/>
  <c r="D50" i="52"/>
  <c r="AM47" i="52" s="1"/>
  <c r="AN47" i="52"/>
  <c r="F55" i="52"/>
  <c r="D13" i="52"/>
  <c r="N10" i="1"/>
  <c r="E69" i="55"/>
  <c r="AO52" i="55" s="1"/>
  <c r="S74" i="55"/>
  <c r="S76" i="55" s="1"/>
  <c r="AB75" i="55" s="1"/>
  <c r="D75" i="55"/>
  <c r="I69" i="55"/>
  <c r="AL55" i="55" s="1"/>
  <c r="H70" i="55"/>
  <c r="E74" i="55"/>
  <c r="D70" i="55"/>
  <c r="A10" i="6"/>
  <c r="CM25" i="55"/>
  <c r="H22" i="55"/>
  <c r="CM28" i="55"/>
  <c r="H25" i="55"/>
  <c r="H19" i="55"/>
  <c r="CM22" i="55"/>
  <c r="CM29" i="55"/>
  <c r="H26" i="55"/>
  <c r="CM21" i="55"/>
  <c r="H18" i="55"/>
  <c r="H20" i="55"/>
  <c r="CM23" i="55"/>
  <c r="CM31" i="55"/>
  <c r="H28" i="55"/>
  <c r="AV28" i="55"/>
  <c r="AU29" i="55"/>
  <c r="DE40" i="55"/>
  <c r="CV40" i="55" s="1"/>
  <c r="CW40" i="55" s="1"/>
  <c r="DE38" i="55"/>
  <c r="CV38" i="55" s="1"/>
  <c r="CW38" i="55" s="1"/>
  <c r="DE33" i="55"/>
  <c r="CV33" i="55" s="1"/>
  <c r="CW33" i="55" s="1"/>
  <c r="DE39" i="55"/>
  <c r="CV39" i="55" s="1"/>
  <c r="CW39" i="55" s="1"/>
  <c r="DE37" i="55"/>
  <c r="CV37" i="55" s="1"/>
  <c r="CW37" i="55" s="1"/>
  <c r="DE35" i="55"/>
  <c r="CV35" i="55" s="1"/>
  <c r="CW35" i="55" s="1"/>
  <c r="DE34" i="55"/>
  <c r="CV34" i="55" s="1"/>
  <c r="CW34" i="55" s="1"/>
  <c r="DE32" i="55"/>
  <c r="CV32" i="55" s="1"/>
  <c r="DE36" i="55"/>
  <c r="CV36" i="55" s="1"/>
  <c r="CW36" i="55" s="1"/>
  <c r="DE30" i="55"/>
  <c r="CV30" i="55" s="1"/>
  <c r="DE31" i="55"/>
  <c r="CV31" i="55" s="1"/>
  <c r="DE29" i="55"/>
  <c r="CV29" i="55" s="1"/>
  <c r="DE28" i="55"/>
  <c r="CV28" i="55" s="1"/>
  <c r="DE27" i="55"/>
  <c r="CV27" i="55" s="1"/>
  <c r="DE26" i="55"/>
  <c r="CV26" i="55" s="1"/>
  <c r="DE25" i="55"/>
  <c r="CV25" i="55" s="1"/>
  <c r="DE24" i="55"/>
  <c r="CV24" i="55" s="1"/>
  <c r="DE21" i="55"/>
  <c r="CV21" i="55" s="1"/>
  <c r="CW19" i="55"/>
  <c r="DE23" i="55"/>
  <c r="CV23" i="55" s="1"/>
  <c r="DE22" i="55"/>
  <c r="CV22" i="55" s="1"/>
  <c r="DF19" i="55"/>
  <c r="CM26" i="55"/>
  <c r="H23" i="55"/>
  <c r="CM30" i="55"/>
  <c r="H27" i="55"/>
  <c r="CM24" i="55"/>
  <c r="H21" i="55"/>
  <c r="CM27" i="55"/>
  <c r="H24" i="55"/>
  <c r="CM32" i="55"/>
  <c r="H29" i="55"/>
  <c r="H28" i="54"/>
  <c r="CM31" i="54"/>
  <c r="CM30" i="54"/>
  <c r="H27" i="54"/>
  <c r="H70" i="54"/>
  <c r="I69" i="54"/>
  <c r="AL55" i="54" s="1"/>
  <c r="D75" i="54"/>
  <c r="CM32" i="54"/>
  <c r="H29" i="54"/>
  <c r="CM25" i="54"/>
  <c r="H22" i="54"/>
  <c r="CM28" i="54"/>
  <c r="H25" i="54"/>
  <c r="H21" i="54"/>
  <c r="CM24" i="54"/>
  <c r="CM22" i="54"/>
  <c r="H19" i="54"/>
  <c r="CM26" i="54"/>
  <c r="H23" i="54"/>
  <c r="CM29" i="54"/>
  <c r="H26" i="54"/>
  <c r="H51" i="54"/>
  <c r="I50" i="54"/>
  <c r="AL48" i="54"/>
  <c r="D56" i="54"/>
  <c r="AM47" i="54"/>
  <c r="E55" i="54"/>
  <c r="E50" i="54"/>
  <c r="D51" i="54"/>
  <c r="CM21" i="54"/>
  <c r="H18" i="54"/>
  <c r="DE40" i="54"/>
  <c r="CV40" i="54" s="1"/>
  <c r="CW40" i="54" s="1"/>
  <c r="DE38" i="54"/>
  <c r="CV38" i="54" s="1"/>
  <c r="CW38" i="54" s="1"/>
  <c r="DE37" i="54"/>
  <c r="CV37" i="54" s="1"/>
  <c r="CW37" i="54" s="1"/>
  <c r="DE39" i="54"/>
  <c r="CV39" i="54" s="1"/>
  <c r="CW39" i="54" s="1"/>
  <c r="DE34" i="54"/>
  <c r="CV34" i="54" s="1"/>
  <c r="CW34" i="54" s="1"/>
  <c r="DE32" i="54"/>
  <c r="CV32" i="54" s="1"/>
  <c r="DE33" i="54"/>
  <c r="CV33" i="54" s="1"/>
  <c r="CW33" i="54" s="1"/>
  <c r="DE29" i="54"/>
  <c r="CV29" i="54" s="1"/>
  <c r="DE28" i="54"/>
  <c r="CV28" i="54" s="1"/>
  <c r="DE35" i="54"/>
  <c r="CV35" i="54" s="1"/>
  <c r="CW35" i="54" s="1"/>
  <c r="DE27" i="54"/>
  <c r="CV27" i="54" s="1"/>
  <c r="DE26" i="54"/>
  <c r="CV26" i="54" s="1"/>
  <c r="DE25" i="54"/>
  <c r="CV25" i="54" s="1"/>
  <c r="DE24" i="54"/>
  <c r="CV24" i="54" s="1"/>
  <c r="DE31" i="54"/>
  <c r="CV31" i="54" s="1"/>
  <c r="DE22" i="54"/>
  <c r="CV22" i="54" s="1"/>
  <c r="DE21" i="54"/>
  <c r="CV21" i="54" s="1"/>
  <c r="CW19" i="54"/>
  <c r="DE30" i="54"/>
  <c r="CV30" i="54" s="1"/>
  <c r="DE23" i="54"/>
  <c r="CV23" i="54" s="1"/>
  <c r="DF19" i="54"/>
  <c r="DE36" i="54"/>
  <c r="CV36" i="54" s="1"/>
  <c r="CW36" i="54" s="1"/>
  <c r="CM23" i="54"/>
  <c r="H20" i="54"/>
  <c r="CM27" i="54"/>
  <c r="H24" i="54"/>
  <c r="AU34" i="54"/>
  <c r="AV33" i="54"/>
  <c r="CM21" i="53"/>
  <c r="H18" i="53"/>
  <c r="CM22" i="53"/>
  <c r="H19" i="53"/>
  <c r="CM26" i="53"/>
  <c r="H23" i="53"/>
  <c r="D75" i="53"/>
  <c r="I69" i="53"/>
  <c r="AL55" i="53" s="1"/>
  <c r="H70" i="53"/>
  <c r="AV27" i="53"/>
  <c r="AU28" i="53"/>
  <c r="B29" i="53"/>
  <c r="F28" i="53"/>
  <c r="E28" i="53"/>
  <c r="CM23" i="53"/>
  <c r="H20" i="53"/>
  <c r="CM28" i="53"/>
  <c r="H25" i="53"/>
  <c r="H29" i="53"/>
  <c r="CM32" i="53"/>
  <c r="DE40" i="53"/>
  <c r="CV40" i="53" s="1"/>
  <c r="CW40" i="53" s="1"/>
  <c r="DE38" i="53"/>
  <c r="CV38" i="53" s="1"/>
  <c r="CW38" i="53" s="1"/>
  <c r="DE36" i="53"/>
  <c r="CV36" i="53" s="1"/>
  <c r="CW36" i="53" s="1"/>
  <c r="DE39" i="53"/>
  <c r="CV39" i="53" s="1"/>
  <c r="CW39" i="53" s="1"/>
  <c r="DE33" i="53"/>
  <c r="CV33" i="53" s="1"/>
  <c r="CW33" i="53" s="1"/>
  <c r="DE37" i="53"/>
  <c r="CV37" i="53" s="1"/>
  <c r="CW37" i="53" s="1"/>
  <c r="DE34" i="53"/>
  <c r="CV34" i="53" s="1"/>
  <c r="CW34" i="53" s="1"/>
  <c r="DE30" i="53"/>
  <c r="CV30" i="53" s="1"/>
  <c r="DE31" i="53"/>
  <c r="CV31" i="53" s="1"/>
  <c r="DE35" i="53"/>
  <c r="CV35" i="53" s="1"/>
  <c r="CW35" i="53" s="1"/>
  <c r="DE32" i="53"/>
  <c r="CV32" i="53" s="1"/>
  <c r="DE28" i="53"/>
  <c r="CV28" i="53" s="1"/>
  <c r="DE27" i="53"/>
  <c r="CV27" i="53" s="1"/>
  <c r="DE29" i="53"/>
  <c r="CV29" i="53" s="1"/>
  <c r="DE21" i="53"/>
  <c r="CV21" i="53" s="1"/>
  <c r="CW19" i="53"/>
  <c r="DE26" i="53"/>
  <c r="CV26" i="53" s="1"/>
  <c r="DE25" i="53"/>
  <c r="CV25" i="53" s="1"/>
  <c r="DE24" i="53"/>
  <c r="CV24" i="53" s="1"/>
  <c r="DE23" i="53"/>
  <c r="CV23" i="53" s="1"/>
  <c r="DE22" i="53"/>
  <c r="CV22" i="53" s="1"/>
  <c r="DF19" i="53"/>
  <c r="CM24" i="53"/>
  <c r="H21" i="53"/>
  <c r="CM30" i="53"/>
  <c r="H27" i="53"/>
  <c r="CM31" i="53"/>
  <c r="H28" i="53"/>
  <c r="H51" i="53"/>
  <c r="I50" i="53"/>
  <c r="AL48" i="53"/>
  <c r="D56" i="53"/>
  <c r="G55" i="53"/>
  <c r="E51" i="53"/>
  <c r="AO47" i="53"/>
  <c r="CM27" i="53"/>
  <c r="H24" i="53"/>
  <c r="CM25" i="53"/>
  <c r="H22" i="53"/>
  <c r="CM29" i="53"/>
  <c r="H26" i="53"/>
  <c r="G28" i="52"/>
  <c r="F28" i="52"/>
  <c r="AV26" i="52"/>
  <c r="AU27" i="52"/>
  <c r="E28" i="52"/>
  <c r="CM28" i="52"/>
  <c r="H25" i="52"/>
  <c r="CM23" i="52"/>
  <c r="H20" i="52"/>
  <c r="CM31" i="52"/>
  <c r="H28" i="52"/>
  <c r="H26" i="52"/>
  <c r="CM29" i="52"/>
  <c r="H18" i="52"/>
  <c r="CM21" i="52"/>
  <c r="CM26" i="52"/>
  <c r="H23" i="52"/>
  <c r="CM32" i="52"/>
  <c r="H29" i="52"/>
  <c r="B30" i="52"/>
  <c r="B31" i="52" s="1"/>
  <c r="B32" i="52" s="1"/>
  <c r="B33" i="52" s="1"/>
  <c r="B34" i="52" s="1"/>
  <c r="B35" i="52" s="1"/>
  <c r="B36" i="52" s="1"/>
  <c r="B37" i="52" s="1"/>
  <c r="E29" i="52"/>
  <c r="F29" i="52"/>
  <c r="D57" i="52"/>
  <c r="AL49" i="52"/>
  <c r="CM22" i="52"/>
  <c r="H19" i="52"/>
  <c r="CM27" i="52"/>
  <c r="H24" i="52"/>
  <c r="CM30" i="52"/>
  <c r="H27" i="52"/>
  <c r="D76" i="52"/>
  <c r="H69" i="52"/>
  <c r="AL53" i="52" s="1"/>
  <c r="CM24" i="52"/>
  <c r="H21" i="52"/>
  <c r="DE40" i="52"/>
  <c r="CV40" i="52" s="1"/>
  <c r="CW40" i="52" s="1"/>
  <c r="DE38" i="52"/>
  <c r="CV38" i="52" s="1"/>
  <c r="CW38" i="52" s="1"/>
  <c r="DE39" i="52"/>
  <c r="CV39" i="52" s="1"/>
  <c r="CW39" i="52" s="1"/>
  <c r="DE37" i="52"/>
  <c r="CV37" i="52" s="1"/>
  <c r="CW37" i="52" s="1"/>
  <c r="DE36" i="52"/>
  <c r="CV36" i="52" s="1"/>
  <c r="CW36" i="52" s="1"/>
  <c r="DE33" i="52"/>
  <c r="CV33" i="52" s="1"/>
  <c r="CW33" i="52" s="1"/>
  <c r="DE35" i="52"/>
  <c r="CV35" i="52" s="1"/>
  <c r="CW35" i="52" s="1"/>
  <c r="DE32" i="52"/>
  <c r="CV32" i="52" s="1"/>
  <c r="DE34" i="52"/>
  <c r="CV34" i="52" s="1"/>
  <c r="CW34" i="52" s="1"/>
  <c r="DE30" i="52"/>
  <c r="CV30" i="52" s="1"/>
  <c r="DE31" i="52"/>
  <c r="CV31" i="52" s="1"/>
  <c r="DE28" i="52"/>
  <c r="CV28" i="52" s="1"/>
  <c r="DE27" i="52"/>
  <c r="CV27" i="52" s="1"/>
  <c r="DE26" i="52"/>
  <c r="CV26" i="52" s="1"/>
  <c r="DE25" i="52"/>
  <c r="CV25" i="52" s="1"/>
  <c r="DE24" i="52"/>
  <c r="CV24" i="52" s="1"/>
  <c r="DE22" i="52"/>
  <c r="CV22" i="52" s="1"/>
  <c r="DE23" i="52"/>
  <c r="CV23" i="52" s="1"/>
  <c r="DF19" i="52"/>
  <c r="DE29" i="52"/>
  <c r="CV29" i="52" s="1"/>
  <c r="CW19" i="52"/>
  <c r="DE21" i="52"/>
  <c r="CV21" i="52" s="1"/>
  <c r="CM25" i="52"/>
  <c r="H22" i="52"/>
  <c r="C7" i="46"/>
  <c r="C5" i="46"/>
  <c r="S81" i="46" s="1"/>
  <c r="C4" i="46"/>
  <c r="V81" i="46" s="1"/>
  <c r="C3" i="46"/>
  <c r="AB72" i="58" l="1"/>
  <c r="AB80" i="58" s="1"/>
  <c r="AB81" i="58" s="1"/>
  <c r="D58" i="55"/>
  <c r="AL50" i="55"/>
  <c r="E51" i="55"/>
  <c r="AO48" i="55" s="1"/>
  <c r="AN48" i="55" s="1"/>
  <c r="G55" i="55"/>
  <c r="E56" i="55"/>
  <c r="G74" i="53"/>
  <c r="E70" i="53"/>
  <c r="AO53" i="53" s="1"/>
  <c r="W9" i="46"/>
  <c r="S74" i="52"/>
  <c r="S76" i="52" s="1"/>
  <c r="AB75" i="52" s="1"/>
  <c r="P10" i="52"/>
  <c r="G74" i="54"/>
  <c r="E70" i="54"/>
  <c r="AO53" i="54" s="1"/>
  <c r="D70" i="52"/>
  <c r="E69" i="52"/>
  <c r="AO52" i="52" s="1"/>
  <c r="E74" i="52"/>
  <c r="D51" i="52"/>
  <c r="E55" i="52"/>
  <c r="E50" i="52"/>
  <c r="G55" i="52" s="1"/>
  <c r="E70" i="55"/>
  <c r="G75" i="55" s="1"/>
  <c r="G74" i="55"/>
  <c r="U73" i="46"/>
  <c r="V73" i="46" s="1"/>
  <c r="V76" i="46" s="1"/>
  <c r="AB78" i="46" s="1"/>
  <c r="D84" i="46"/>
  <c r="I84" i="46"/>
  <c r="W6" i="46"/>
  <c r="I70" i="55"/>
  <c r="AM55" i="55" s="1"/>
  <c r="W5" i="46"/>
  <c r="P74" i="46"/>
  <c r="P76" i="46" s="1"/>
  <c r="AB73" i="46" s="1"/>
  <c r="I9" i="46"/>
  <c r="I10" i="46" s="1"/>
  <c r="C9" i="46"/>
  <c r="C10" i="46" s="1"/>
  <c r="P81" i="46"/>
  <c r="P83" i="46" s="1"/>
  <c r="AB74" i="46" s="1"/>
  <c r="F9" i="46"/>
  <c r="F10" i="46" s="1"/>
  <c r="D77" i="55"/>
  <c r="AM53" i="55"/>
  <c r="E75" i="55"/>
  <c r="AN48" i="56"/>
  <c r="AO58" i="56" s="1"/>
  <c r="AN53" i="56"/>
  <c r="AO59" i="56" s="1"/>
  <c r="AM53" i="53"/>
  <c r="AM53" i="54"/>
  <c r="CW22" i="55"/>
  <c r="I19" i="55"/>
  <c r="CW24" i="55"/>
  <c r="I21" i="55"/>
  <c r="I25" i="55"/>
  <c r="CW28" i="55"/>
  <c r="CW23" i="55"/>
  <c r="I20" i="55"/>
  <c r="CW25" i="55"/>
  <c r="I22" i="55"/>
  <c r="I26" i="55"/>
  <c r="CW29" i="55"/>
  <c r="CW32" i="55"/>
  <c r="I29" i="55"/>
  <c r="AU30" i="55"/>
  <c r="AV29" i="55"/>
  <c r="E58" i="55"/>
  <c r="AM50" i="55"/>
  <c r="CW26" i="55"/>
  <c r="I23" i="55"/>
  <c r="CW31" i="55"/>
  <c r="I28" i="55"/>
  <c r="DO39" i="55"/>
  <c r="DF39" i="55" s="1"/>
  <c r="DG39" i="55" s="1"/>
  <c r="DO37" i="55"/>
  <c r="DF37" i="55" s="1"/>
  <c r="DG37" i="55" s="1"/>
  <c r="DO40" i="55"/>
  <c r="DF40" i="55" s="1"/>
  <c r="DG40" i="55" s="1"/>
  <c r="DO38" i="55"/>
  <c r="DF38" i="55" s="1"/>
  <c r="DG38" i="55" s="1"/>
  <c r="DO36" i="55"/>
  <c r="DF36" i="55" s="1"/>
  <c r="DG36" i="55" s="1"/>
  <c r="DO34" i="55"/>
  <c r="DF34" i="55" s="1"/>
  <c r="DG34" i="55" s="1"/>
  <c r="DO31" i="55"/>
  <c r="DF31" i="55" s="1"/>
  <c r="DO33" i="55"/>
  <c r="DF33" i="55" s="1"/>
  <c r="DG33" i="55" s="1"/>
  <c r="DO35" i="55"/>
  <c r="DF35" i="55" s="1"/>
  <c r="DG35" i="55" s="1"/>
  <c r="DO32" i="55"/>
  <c r="DF32" i="55" s="1"/>
  <c r="DO30" i="55"/>
  <c r="DF30" i="55" s="1"/>
  <c r="DO29" i="55"/>
  <c r="DF29" i="55" s="1"/>
  <c r="DO28" i="55"/>
  <c r="DF28" i="55" s="1"/>
  <c r="DO27" i="55"/>
  <c r="DF27" i="55" s="1"/>
  <c r="DO26" i="55"/>
  <c r="DF26" i="55" s="1"/>
  <c r="DO25" i="55"/>
  <c r="DF25" i="55" s="1"/>
  <c r="DO24" i="55"/>
  <c r="DF24" i="55" s="1"/>
  <c r="DO21" i="55"/>
  <c r="DF21" i="55" s="1"/>
  <c r="DP19" i="55"/>
  <c r="DO23" i="55"/>
  <c r="DF23" i="55" s="1"/>
  <c r="DO22" i="55"/>
  <c r="DF22" i="55" s="1"/>
  <c r="DG19" i="55"/>
  <c r="CW21" i="55"/>
  <c r="I18" i="55"/>
  <c r="I24" i="55"/>
  <c r="CW27" i="55"/>
  <c r="I27" i="55"/>
  <c r="CW30" i="55"/>
  <c r="D77" i="54"/>
  <c r="I70" i="54"/>
  <c r="I27" i="54"/>
  <c r="CW30" i="54"/>
  <c r="CW31" i="54"/>
  <c r="I28" i="54"/>
  <c r="CW27" i="54"/>
  <c r="I24" i="54"/>
  <c r="E75" i="54"/>
  <c r="AU35" i="54"/>
  <c r="AV34" i="54"/>
  <c r="I21" i="54"/>
  <c r="CW24" i="54"/>
  <c r="CW32" i="54"/>
  <c r="I29" i="54"/>
  <c r="G55" i="54"/>
  <c r="AO47" i="54"/>
  <c r="E51" i="54"/>
  <c r="AO48" i="54" s="1"/>
  <c r="DO39" i="54"/>
  <c r="DF39" i="54" s="1"/>
  <c r="DG39" i="54" s="1"/>
  <c r="DO36" i="54"/>
  <c r="DF36" i="54" s="1"/>
  <c r="DG36" i="54" s="1"/>
  <c r="DO40" i="54"/>
  <c r="DF40" i="54" s="1"/>
  <c r="DG40" i="54" s="1"/>
  <c r="DO38" i="54"/>
  <c r="DF38" i="54" s="1"/>
  <c r="DG38" i="54" s="1"/>
  <c r="DO31" i="54"/>
  <c r="DF31" i="54" s="1"/>
  <c r="DO32" i="54"/>
  <c r="DF32" i="54" s="1"/>
  <c r="DO37" i="54"/>
  <c r="DF37" i="54" s="1"/>
  <c r="DG37" i="54" s="1"/>
  <c r="DO35" i="54"/>
  <c r="DF35" i="54" s="1"/>
  <c r="DG35" i="54" s="1"/>
  <c r="DO33" i="54"/>
  <c r="DF33" i="54" s="1"/>
  <c r="DG33" i="54" s="1"/>
  <c r="DO28" i="54"/>
  <c r="DF28" i="54" s="1"/>
  <c r="DO21" i="54"/>
  <c r="DF21" i="54" s="1"/>
  <c r="DP19" i="54"/>
  <c r="DO34" i="54"/>
  <c r="DF34" i="54" s="1"/>
  <c r="DG34" i="54" s="1"/>
  <c r="DO26" i="54"/>
  <c r="DF26" i="54" s="1"/>
  <c r="DO24" i="54"/>
  <c r="DF24" i="54" s="1"/>
  <c r="DO30" i="54"/>
  <c r="DF30" i="54" s="1"/>
  <c r="DO27" i="54"/>
  <c r="DF27" i="54" s="1"/>
  <c r="DO25" i="54"/>
  <c r="DF25" i="54" s="1"/>
  <c r="DO22" i="54"/>
  <c r="DF22" i="54" s="1"/>
  <c r="DG19" i="54"/>
  <c r="DO23" i="54"/>
  <c r="DF23" i="54" s="1"/>
  <c r="DO29" i="54"/>
  <c r="DF29" i="54" s="1"/>
  <c r="CW21" i="54"/>
  <c r="I18" i="54"/>
  <c r="CW25" i="54"/>
  <c r="I22" i="54"/>
  <c r="I25" i="54"/>
  <c r="CW28" i="54"/>
  <c r="I51" i="54"/>
  <c r="AL50" i="54"/>
  <c r="D58" i="54"/>
  <c r="CW23" i="54"/>
  <c r="I20" i="54"/>
  <c r="CW22" i="54"/>
  <c r="I19" i="54"/>
  <c r="CW26" i="54"/>
  <c r="I23" i="54"/>
  <c r="CW29" i="54"/>
  <c r="I26" i="54"/>
  <c r="AM48" i="54"/>
  <c r="E56" i="54"/>
  <c r="I21" i="53"/>
  <c r="CW24" i="53"/>
  <c r="CW21" i="53"/>
  <c r="I18" i="53"/>
  <c r="CW32" i="53"/>
  <c r="I29" i="53"/>
  <c r="E75" i="53"/>
  <c r="I51" i="53"/>
  <c r="AL50" i="53"/>
  <c r="D58" i="53"/>
  <c r="DO39" i="53"/>
  <c r="DF39" i="53" s="1"/>
  <c r="DG39" i="53" s="1"/>
  <c r="DO37" i="53"/>
  <c r="DF37" i="53" s="1"/>
  <c r="DG37" i="53" s="1"/>
  <c r="DO40" i="53"/>
  <c r="DF40" i="53" s="1"/>
  <c r="DG40" i="53" s="1"/>
  <c r="DO38" i="53"/>
  <c r="DF38" i="53" s="1"/>
  <c r="DG38" i="53" s="1"/>
  <c r="DO35" i="53"/>
  <c r="DF35" i="53" s="1"/>
  <c r="DG35" i="53" s="1"/>
  <c r="DO36" i="53"/>
  <c r="DF36" i="53" s="1"/>
  <c r="DG36" i="53" s="1"/>
  <c r="DO33" i="53"/>
  <c r="DF33" i="53" s="1"/>
  <c r="DG33" i="53" s="1"/>
  <c r="DO29" i="53"/>
  <c r="DF29" i="53" s="1"/>
  <c r="DO31" i="53"/>
  <c r="DF31" i="53" s="1"/>
  <c r="DO34" i="53"/>
  <c r="DF34" i="53" s="1"/>
  <c r="DG34" i="53" s="1"/>
  <c r="DO32" i="53"/>
  <c r="DF32" i="53" s="1"/>
  <c r="DO30" i="53"/>
  <c r="DF30" i="53" s="1"/>
  <c r="DO28" i="53"/>
  <c r="DF28" i="53" s="1"/>
  <c r="DO27" i="53"/>
  <c r="DF27" i="53" s="1"/>
  <c r="DO21" i="53"/>
  <c r="DF21" i="53" s="1"/>
  <c r="DP19" i="53"/>
  <c r="DO26" i="53"/>
  <c r="DF26" i="53" s="1"/>
  <c r="DO25" i="53"/>
  <c r="DF25" i="53" s="1"/>
  <c r="DO24" i="53"/>
  <c r="DF24" i="53" s="1"/>
  <c r="DO23" i="53"/>
  <c r="DF23" i="53" s="1"/>
  <c r="DO22" i="53"/>
  <c r="DF22" i="53" s="1"/>
  <c r="DG19" i="53"/>
  <c r="I22" i="53"/>
  <c r="CW25" i="53"/>
  <c r="CW29" i="53"/>
  <c r="I26" i="53"/>
  <c r="D77" i="53"/>
  <c r="I70" i="53"/>
  <c r="G56" i="53"/>
  <c r="AM48" i="53"/>
  <c r="E56" i="53"/>
  <c r="AO48" i="53"/>
  <c r="CW22" i="53"/>
  <c r="I19" i="53"/>
  <c r="I23" i="53"/>
  <c r="CW26" i="53"/>
  <c r="CW27" i="53"/>
  <c r="I24" i="53"/>
  <c r="CW31" i="53"/>
  <c r="I28" i="53"/>
  <c r="AV28" i="53"/>
  <c r="AU29" i="53"/>
  <c r="CW23" i="53"/>
  <c r="I20" i="53"/>
  <c r="CW28" i="53"/>
  <c r="I25" i="53"/>
  <c r="CW30" i="53"/>
  <c r="I27" i="53"/>
  <c r="B30" i="53"/>
  <c r="B31" i="53" s="1"/>
  <c r="B32" i="53" s="1"/>
  <c r="B33" i="53" s="1"/>
  <c r="B34" i="53" s="1"/>
  <c r="B35" i="53" s="1"/>
  <c r="B36" i="53" s="1"/>
  <c r="B37" i="53" s="1"/>
  <c r="E29" i="53"/>
  <c r="F29" i="53"/>
  <c r="G29" i="53"/>
  <c r="CW24" i="52"/>
  <c r="I21" i="52"/>
  <c r="CW32" i="52"/>
  <c r="I29" i="52"/>
  <c r="DO40" i="52"/>
  <c r="DF40" i="52" s="1"/>
  <c r="DG40" i="52" s="1"/>
  <c r="DO38" i="52"/>
  <c r="DF38" i="52" s="1"/>
  <c r="DG38" i="52" s="1"/>
  <c r="DO36" i="52"/>
  <c r="DF36" i="52" s="1"/>
  <c r="DG36" i="52" s="1"/>
  <c r="DO39" i="52"/>
  <c r="DF39" i="52" s="1"/>
  <c r="DG39" i="52" s="1"/>
  <c r="DO32" i="52"/>
  <c r="DF32" i="52" s="1"/>
  <c r="DO37" i="52"/>
  <c r="DF37" i="52" s="1"/>
  <c r="DG37" i="52" s="1"/>
  <c r="DO34" i="52"/>
  <c r="DF34" i="52" s="1"/>
  <c r="DG34" i="52" s="1"/>
  <c r="DO35" i="52"/>
  <c r="DF35" i="52" s="1"/>
  <c r="DG35" i="52" s="1"/>
  <c r="DO31" i="52"/>
  <c r="DF31" i="52" s="1"/>
  <c r="DO30" i="52"/>
  <c r="DF30" i="52" s="1"/>
  <c r="DO29" i="52"/>
  <c r="DF29" i="52" s="1"/>
  <c r="DO28" i="52"/>
  <c r="DF28" i="52" s="1"/>
  <c r="DO27" i="52"/>
  <c r="DF27" i="52" s="1"/>
  <c r="DO26" i="52"/>
  <c r="DF26" i="52" s="1"/>
  <c r="DO25" i="52"/>
  <c r="DF25" i="52" s="1"/>
  <c r="DO24" i="52"/>
  <c r="DF24" i="52" s="1"/>
  <c r="DO33" i="52"/>
  <c r="DF33" i="52" s="1"/>
  <c r="DG33" i="52" s="1"/>
  <c r="DO23" i="52"/>
  <c r="DF23" i="52" s="1"/>
  <c r="DO21" i="52"/>
  <c r="DF21" i="52" s="1"/>
  <c r="DG19" i="52"/>
  <c r="DO22" i="52"/>
  <c r="DF22" i="52" s="1"/>
  <c r="DP19" i="52"/>
  <c r="CW25" i="52"/>
  <c r="I22" i="52"/>
  <c r="CW31" i="52"/>
  <c r="I28" i="52"/>
  <c r="H51" i="52"/>
  <c r="I50" i="52"/>
  <c r="AL48" i="52"/>
  <c r="D56" i="52"/>
  <c r="CW26" i="52"/>
  <c r="I23" i="52"/>
  <c r="D75" i="52"/>
  <c r="I69" i="52"/>
  <c r="AL55" i="52" s="1"/>
  <c r="H70" i="52"/>
  <c r="CW21" i="52"/>
  <c r="I18" i="52"/>
  <c r="I20" i="52"/>
  <c r="CW23" i="52"/>
  <c r="I27" i="52"/>
  <c r="CW30" i="52"/>
  <c r="I19" i="52"/>
  <c r="CW22" i="52"/>
  <c r="I24" i="52"/>
  <c r="CW27" i="52"/>
  <c r="CW29" i="52"/>
  <c r="I26" i="52"/>
  <c r="I25" i="52"/>
  <c r="CW28" i="52"/>
  <c r="AV27" i="52"/>
  <c r="AU28" i="52"/>
  <c r="D16" i="6"/>
  <c r="D17" i="6" s="1"/>
  <c r="C16" i="6"/>
  <c r="C17" i="6" s="1"/>
  <c r="B16" i="6"/>
  <c r="B17" i="6" s="1"/>
  <c r="C12" i="1"/>
  <c r="C7" i="64" s="1"/>
  <c r="AO53" i="55" l="1"/>
  <c r="AN53" i="55" s="1"/>
  <c r="AB72" i="56"/>
  <c r="AM49" i="55"/>
  <c r="AO50" i="55"/>
  <c r="AO49" i="55" s="1"/>
  <c r="G56" i="55"/>
  <c r="F56" i="55" s="1"/>
  <c r="G58" i="55"/>
  <c r="F58" i="55" s="1"/>
  <c r="E57" i="55"/>
  <c r="G75" i="53"/>
  <c r="F75" i="53" s="1"/>
  <c r="G75" i="54"/>
  <c r="F75" i="54" s="1"/>
  <c r="E70" i="52"/>
  <c r="AO53" i="52" s="1"/>
  <c r="G74" i="52"/>
  <c r="E51" i="52"/>
  <c r="AO47" i="52"/>
  <c r="AO55" i="55"/>
  <c r="G77" i="55"/>
  <c r="G76" i="55" s="1"/>
  <c r="E77" i="55"/>
  <c r="E76" i="55" s="1"/>
  <c r="W8" i="46"/>
  <c r="W7" i="46"/>
  <c r="AM54" i="55"/>
  <c r="F75" i="55"/>
  <c r="AM53" i="52"/>
  <c r="AO55" i="53"/>
  <c r="AM55" i="53"/>
  <c r="AM54" i="53" s="1"/>
  <c r="AO55" i="54"/>
  <c r="AO54" i="54" s="1"/>
  <c r="AM55" i="54"/>
  <c r="AM54" i="54" s="1"/>
  <c r="AN53" i="54"/>
  <c r="AN53" i="53"/>
  <c r="G56" i="54"/>
  <c r="F56" i="54" s="1"/>
  <c r="AN48" i="53"/>
  <c r="F56" i="53"/>
  <c r="DY36" i="55"/>
  <c r="DP36" i="55" s="1"/>
  <c r="DQ36" i="55" s="1"/>
  <c r="DY39" i="55"/>
  <c r="DP39" i="55" s="1"/>
  <c r="DQ39" i="55" s="1"/>
  <c r="DY37" i="55"/>
  <c r="DP37" i="55" s="1"/>
  <c r="DQ37" i="55" s="1"/>
  <c r="DY35" i="55"/>
  <c r="DP35" i="55" s="1"/>
  <c r="DQ35" i="55" s="1"/>
  <c r="DY40" i="55"/>
  <c r="DP40" i="55" s="1"/>
  <c r="DQ40" i="55" s="1"/>
  <c r="DY38" i="55"/>
  <c r="DP38" i="55" s="1"/>
  <c r="DQ38" i="55" s="1"/>
  <c r="DY33" i="55"/>
  <c r="DP33" i="55" s="1"/>
  <c r="DQ33" i="55" s="1"/>
  <c r="DY30" i="55"/>
  <c r="DP30" i="55" s="1"/>
  <c r="DY32" i="55"/>
  <c r="DP32" i="55" s="1"/>
  <c r="DY31" i="55"/>
  <c r="DP31" i="55" s="1"/>
  <c r="DY34" i="55"/>
  <c r="DP34" i="55" s="1"/>
  <c r="DQ34" i="55" s="1"/>
  <c r="DY29" i="55"/>
  <c r="DP29" i="55" s="1"/>
  <c r="DY28" i="55"/>
  <c r="DP28" i="55" s="1"/>
  <c r="DY27" i="55"/>
  <c r="DP27" i="55" s="1"/>
  <c r="DY26" i="55"/>
  <c r="DP26" i="55" s="1"/>
  <c r="DY25" i="55"/>
  <c r="DP25" i="55" s="1"/>
  <c r="DY24" i="55"/>
  <c r="DP24" i="55" s="1"/>
  <c r="DQ19" i="55"/>
  <c r="DY22" i="55"/>
  <c r="DP22" i="55" s="1"/>
  <c r="DZ19" i="55"/>
  <c r="DY21" i="55"/>
  <c r="DP21" i="55" s="1"/>
  <c r="DY23" i="55"/>
  <c r="DP23" i="55" s="1"/>
  <c r="DG26" i="55"/>
  <c r="J23" i="55"/>
  <c r="DG30" i="55"/>
  <c r="J27" i="55"/>
  <c r="DG31" i="55"/>
  <c r="J28" i="55"/>
  <c r="AV30" i="55"/>
  <c r="AU31" i="55"/>
  <c r="DG21" i="55"/>
  <c r="J18" i="55"/>
  <c r="DG27" i="55"/>
  <c r="J24" i="55"/>
  <c r="DG32" i="55"/>
  <c r="J29" i="55"/>
  <c r="J19" i="55"/>
  <c r="DG22" i="55"/>
  <c r="DG24" i="55"/>
  <c r="J21" i="55"/>
  <c r="DG28" i="55"/>
  <c r="J25" i="55"/>
  <c r="J20" i="55"/>
  <c r="DG23" i="55"/>
  <c r="DG25" i="55"/>
  <c r="J22" i="55"/>
  <c r="DG29" i="55"/>
  <c r="J26" i="55"/>
  <c r="AN48" i="54"/>
  <c r="G58" i="54"/>
  <c r="AO50" i="54"/>
  <c r="AO49" i="54" s="1"/>
  <c r="E58" i="54"/>
  <c r="E57" i="54" s="1"/>
  <c r="AM50" i="54"/>
  <c r="AM49" i="54" s="1"/>
  <c r="DG23" i="54"/>
  <c r="J20" i="54"/>
  <c r="J24" i="54"/>
  <c r="DG27" i="54"/>
  <c r="J28" i="54"/>
  <c r="DG31" i="54"/>
  <c r="DG30" i="54"/>
  <c r="J27" i="54"/>
  <c r="DY39" i="54"/>
  <c r="DP39" i="54" s="1"/>
  <c r="DQ39" i="54" s="1"/>
  <c r="DY37" i="54"/>
  <c r="DP37" i="54" s="1"/>
  <c r="DQ37" i="54" s="1"/>
  <c r="DY35" i="54"/>
  <c r="DP35" i="54" s="1"/>
  <c r="DQ35" i="54" s="1"/>
  <c r="DY40" i="54"/>
  <c r="DP40" i="54" s="1"/>
  <c r="DQ40" i="54" s="1"/>
  <c r="DY30" i="54"/>
  <c r="DP30" i="54" s="1"/>
  <c r="DY36" i="54"/>
  <c r="DP36" i="54" s="1"/>
  <c r="DQ36" i="54" s="1"/>
  <c r="DY31" i="54"/>
  <c r="DP31" i="54" s="1"/>
  <c r="DY33" i="54"/>
  <c r="DP33" i="54" s="1"/>
  <c r="DQ33" i="54" s="1"/>
  <c r="DY28" i="54"/>
  <c r="DP28" i="54" s="1"/>
  <c r="DY38" i="54"/>
  <c r="DP38" i="54" s="1"/>
  <c r="DQ38" i="54" s="1"/>
  <c r="DY32" i="54"/>
  <c r="DP32" i="54" s="1"/>
  <c r="DY34" i="54"/>
  <c r="DP34" i="54" s="1"/>
  <c r="DQ34" i="54" s="1"/>
  <c r="DY23" i="54"/>
  <c r="DP23" i="54" s="1"/>
  <c r="DY22" i="54"/>
  <c r="DP22" i="54" s="1"/>
  <c r="DY27" i="54"/>
  <c r="DP27" i="54" s="1"/>
  <c r="DY25" i="54"/>
  <c r="DP25" i="54" s="1"/>
  <c r="DY21" i="54"/>
  <c r="DP21" i="54" s="1"/>
  <c r="DZ19" i="54"/>
  <c r="DY29" i="54"/>
  <c r="DP29" i="54" s="1"/>
  <c r="DY24" i="54"/>
  <c r="DP24" i="54" s="1"/>
  <c r="DY26" i="54"/>
  <c r="DP26" i="54" s="1"/>
  <c r="DQ19" i="54"/>
  <c r="AV35" i="54"/>
  <c r="AU36" i="54"/>
  <c r="J19" i="54"/>
  <c r="DG22" i="54"/>
  <c r="DG24" i="54"/>
  <c r="J21" i="54"/>
  <c r="DG21" i="54"/>
  <c r="J18" i="54"/>
  <c r="DG29" i="54"/>
  <c r="J26" i="54"/>
  <c r="J22" i="54"/>
  <c r="DG25" i="54"/>
  <c r="J23" i="54"/>
  <c r="DG26" i="54"/>
  <c r="J25" i="54"/>
  <c r="DG28" i="54"/>
  <c r="J29" i="54"/>
  <c r="DG32" i="54"/>
  <c r="E77" i="54"/>
  <c r="E76" i="54" s="1"/>
  <c r="G77" i="54"/>
  <c r="J19" i="53"/>
  <c r="DG22" i="53"/>
  <c r="J23" i="53"/>
  <c r="DG26" i="53"/>
  <c r="DG28" i="53"/>
  <c r="J25" i="53"/>
  <c r="J28" i="53"/>
  <c r="DG31" i="53"/>
  <c r="E77" i="53"/>
  <c r="E76" i="53" s="1"/>
  <c r="G77" i="53"/>
  <c r="J20" i="53"/>
  <c r="DG23" i="53"/>
  <c r="DY36" i="53"/>
  <c r="DP36" i="53" s="1"/>
  <c r="DQ36" i="53" s="1"/>
  <c r="DY39" i="53"/>
  <c r="DP39" i="53" s="1"/>
  <c r="DQ39" i="53" s="1"/>
  <c r="DY37" i="53"/>
  <c r="DP37" i="53" s="1"/>
  <c r="DQ37" i="53" s="1"/>
  <c r="DY34" i="53"/>
  <c r="DP34" i="53" s="1"/>
  <c r="DQ34" i="53" s="1"/>
  <c r="DY40" i="53"/>
  <c r="DP40" i="53" s="1"/>
  <c r="DQ40" i="53" s="1"/>
  <c r="DY35" i="53"/>
  <c r="DP35" i="53" s="1"/>
  <c r="DQ35" i="53" s="1"/>
  <c r="DY38" i="53"/>
  <c r="DP38" i="53" s="1"/>
  <c r="DQ38" i="53" s="1"/>
  <c r="DY33" i="53"/>
  <c r="DP33" i="53" s="1"/>
  <c r="DQ33" i="53" s="1"/>
  <c r="DY32" i="53"/>
  <c r="DP32" i="53" s="1"/>
  <c r="DY30" i="53"/>
  <c r="DP30" i="53" s="1"/>
  <c r="DY28" i="53"/>
  <c r="DP28" i="53" s="1"/>
  <c r="DY27" i="53"/>
  <c r="DP27" i="53" s="1"/>
  <c r="DY29" i="53"/>
  <c r="DP29" i="53" s="1"/>
  <c r="DY31" i="53"/>
  <c r="DP31" i="53" s="1"/>
  <c r="DY26" i="53"/>
  <c r="DP26" i="53" s="1"/>
  <c r="DQ19" i="53"/>
  <c r="DY21" i="53"/>
  <c r="DP21" i="53" s="1"/>
  <c r="DY25" i="53"/>
  <c r="DP25" i="53" s="1"/>
  <c r="DY24" i="53"/>
  <c r="DP24" i="53" s="1"/>
  <c r="DY23" i="53"/>
  <c r="DP23" i="53" s="1"/>
  <c r="DY22" i="53"/>
  <c r="DP22" i="53" s="1"/>
  <c r="DZ19" i="53"/>
  <c r="DG30" i="53"/>
  <c r="J27" i="53"/>
  <c r="DG29" i="53"/>
  <c r="J26" i="53"/>
  <c r="AU30" i="53"/>
  <c r="AV29" i="53"/>
  <c r="DG24" i="53"/>
  <c r="J21" i="53"/>
  <c r="DG21" i="53"/>
  <c r="J18" i="53"/>
  <c r="DG32" i="53"/>
  <c r="J29" i="53"/>
  <c r="DG25" i="53"/>
  <c r="J22" i="53"/>
  <c r="DG27" i="53"/>
  <c r="J24" i="53"/>
  <c r="G58" i="53"/>
  <c r="G57" i="53" s="1"/>
  <c r="AO50" i="53"/>
  <c r="E58" i="53"/>
  <c r="E57" i="53" s="1"/>
  <c r="AM50" i="53"/>
  <c r="AM49" i="53" s="1"/>
  <c r="J19" i="52"/>
  <c r="DG22" i="52"/>
  <c r="DG27" i="52"/>
  <c r="J24" i="52"/>
  <c r="DG31" i="52"/>
  <c r="J28" i="52"/>
  <c r="DG32" i="52"/>
  <c r="J29" i="52"/>
  <c r="AU29" i="52"/>
  <c r="AV28" i="52"/>
  <c r="D77" i="52"/>
  <c r="I70" i="52"/>
  <c r="I51" i="52"/>
  <c r="AL50" i="52"/>
  <c r="D58" i="52"/>
  <c r="DG24" i="52"/>
  <c r="J21" i="52"/>
  <c r="DG28" i="52"/>
  <c r="J25" i="52"/>
  <c r="AM48" i="52"/>
  <c r="J18" i="52"/>
  <c r="DG21" i="52"/>
  <c r="DG25" i="52"/>
  <c r="J22" i="52"/>
  <c r="DG29" i="52"/>
  <c r="J26" i="52"/>
  <c r="DY39" i="52"/>
  <c r="DP39" i="52" s="1"/>
  <c r="DQ39" i="52" s="1"/>
  <c r="DY37" i="52"/>
  <c r="DP37" i="52" s="1"/>
  <c r="DQ37" i="52" s="1"/>
  <c r="DY40" i="52"/>
  <c r="DP40" i="52" s="1"/>
  <c r="DQ40" i="52" s="1"/>
  <c r="DY38" i="52"/>
  <c r="DP38" i="52" s="1"/>
  <c r="DQ38" i="52" s="1"/>
  <c r="DY35" i="52"/>
  <c r="DP35" i="52" s="1"/>
  <c r="DQ35" i="52" s="1"/>
  <c r="DY36" i="52"/>
  <c r="DP36" i="52" s="1"/>
  <c r="DQ36" i="52" s="1"/>
  <c r="DY33" i="52"/>
  <c r="DP33" i="52" s="1"/>
  <c r="DQ33" i="52" s="1"/>
  <c r="DY34" i="52"/>
  <c r="DP34" i="52" s="1"/>
  <c r="DQ34" i="52" s="1"/>
  <c r="DY30" i="52"/>
  <c r="DP30" i="52" s="1"/>
  <c r="DY31" i="52"/>
  <c r="DP31" i="52" s="1"/>
  <c r="DY29" i="52"/>
  <c r="DP29" i="52" s="1"/>
  <c r="DY32" i="52"/>
  <c r="DP32" i="52" s="1"/>
  <c r="DY28" i="52"/>
  <c r="DP28" i="52" s="1"/>
  <c r="DY27" i="52"/>
  <c r="DP27" i="52" s="1"/>
  <c r="DY26" i="52"/>
  <c r="DP26" i="52" s="1"/>
  <c r="DY25" i="52"/>
  <c r="DP25" i="52" s="1"/>
  <c r="DY24" i="52"/>
  <c r="DP24" i="52" s="1"/>
  <c r="DY23" i="52"/>
  <c r="DP23" i="52" s="1"/>
  <c r="DY21" i="52"/>
  <c r="DP21" i="52" s="1"/>
  <c r="DZ19" i="52"/>
  <c r="DY22" i="52"/>
  <c r="DP22" i="52" s="1"/>
  <c r="DQ19" i="52"/>
  <c r="DG23" i="52"/>
  <c r="J20" i="52"/>
  <c r="DG26" i="52"/>
  <c r="J23" i="52"/>
  <c r="DG30" i="52"/>
  <c r="J27" i="52"/>
  <c r="O48" i="46"/>
  <c r="O49" i="46" s="1"/>
  <c r="O50" i="46" s="1"/>
  <c r="O51" i="46" s="1"/>
  <c r="O52" i="46" s="1"/>
  <c r="O53" i="46" s="1"/>
  <c r="O54" i="46" s="1"/>
  <c r="O55" i="46" s="1"/>
  <c r="O56" i="46" s="1"/>
  <c r="O57" i="46" s="1"/>
  <c r="O58" i="46" s="1"/>
  <c r="O59" i="46" s="1"/>
  <c r="O60" i="46" s="1"/>
  <c r="O61" i="46" s="1"/>
  <c r="O62" i="46" s="1"/>
  <c r="O63" i="46" s="1"/>
  <c r="O64" i="46" s="1"/>
  <c r="O65" i="46" s="1"/>
  <c r="S44" i="46"/>
  <c r="T44" i="46" s="1"/>
  <c r="U44" i="46" s="1"/>
  <c r="V44" i="46" s="1"/>
  <c r="W44" i="46" s="1"/>
  <c r="X44" i="46" s="1"/>
  <c r="Y44" i="46" s="1"/>
  <c r="Z44" i="46" s="1"/>
  <c r="AA44" i="46" s="1"/>
  <c r="AB44" i="46" s="1"/>
  <c r="AC44" i="46" s="1"/>
  <c r="AD44" i="46" s="1"/>
  <c r="AE44" i="46" s="1"/>
  <c r="AF44" i="46" s="1"/>
  <c r="AG44" i="46" s="1"/>
  <c r="AH44" i="46" s="1"/>
  <c r="AI44" i="46" s="1"/>
  <c r="AJ44" i="46" s="1"/>
  <c r="FK40" i="46"/>
  <c r="FI40" i="46"/>
  <c r="FG40" i="46"/>
  <c r="FA40" i="46"/>
  <c r="EY40" i="46"/>
  <c r="EW40" i="46"/>
  <c r="EQ40" i="46"/>
  <c r="EO40" i="46"/>
  <c r="EM40" i="46"/>
  <c r="EG40" i="46"/>
  <c r="EE40" i="46"/>
  <c r="EC40" i="46"/>
  <c r="DW40" i="46"/>
  <c r="DU40" i="46"/>
  <c r="DS40" i="46"/>
  <c r="DM40" i="46"/>
  <c r="DK40" i="46"/>
  <c r="DI40" i="46"/>
  <c r="DC40" i="46"/>
  <c r="DA40" i="46"/>
  <c r="CY40" i="46"/>
  <c r="CS40" i="46"/>
  <c r="CQ40" i="46"/>
  <c r="CO40" i="46"/>
  <c r="CI40" i="46"/>
  <c r="CG40" i="46"/>
  <c r="CE40" i="46"/>
  <c r="BY40" i="46"/>
  <c r="BW40" i="46"/>
  <c r="BU40" i="46"/>
  <c r="BO40" i="46"/>
  <c r="BM40" i="46"/>
  <c r="BK40" i="46"/>
  <c r="BE40" i="46"/>
  <c r="BC40" i="46"/>
  <c r="BA40" i="46"/>
  <c r="FK39" i="46"/>
  <c r="FI39" i="46"/>
  <c r="FG39" i="46"/>
  <c r="FA39" i="46"/>
  <c r="EY39" i="46"/>
  <c r="EW39" i="46"/>
  <c r="EQ39" i="46"/>
  <c r="EO39" i="46"/>
  <c r="EM39" i="46"/>
  <c r="EG39" i="46"/>
  <c r="EE39" i="46"/>
  <c r="EC39" i="46"/>
  <c r="DW39" i="46"/>
  <c r="DU39" i="46"/>
  <c r="DS39" i="46"/>
  <c r="DM39" i="46"/>
  <c r="DK39" i="46"/>
  <c r="DI39" i="46"/>
  <c r="DC39" i="46"/>
  <c r="DA39" i="46"/>
  <c r="CY39" i="46"/>
  <c r="CS39" i="46"/>
  <c r="CQ39" i="46"/>
  <c r="CO39" i="46"/>
  <c r="CI39" i="46"/>
  <c r="CG39" i="46"/>
  <c r="CE39" i="46"/>
  <c r="BY39" i="46"/>
  <c r="BW39" i="46"/>
  <c r="BU39" i="46"/>
  <c r="BO39" i="46"/>
  <c r="BM39" i="46"/>
  <c r="BK39" i="46"/>
  <c r="BE39" i="46"/>
  <c r="BC39" i="46"/>
  <c r="BA39" i="46"/>
  <c r="FK38" i="46"/>
  <c r="FI38" i="46"/>
  <c r="FG38" i="46"/>
  <c r="FA38" i="46"/>
  <c r="EY38" i="46"/>
  <c r="EW38" i="46"/>
  <c r="EQ38" i="46"/>
  <c r="EO38" i="46"/>
  <c r="EM38" i="46"/>
  <c r="EG38" i="46"/>
  <c r="EE38" i="46"/>
  <c r="EC38" i="46"/>
  <c r="DW38" i="46"/>
  <c r="DU38" i="46"/>
  <c r="DS38" i="46"/>
  <c r="DM38" i="46"/>
  <c r="DK38" i="46"/>
  <c r="DI38" i="46"/>
  <c r="DC38" i="46"/>
  <c r="DA38" i="46"/>
  <c r="CY38" i="46"/>
  <c r="CS38" i="46"/>
  <c r="CQ38" i="46"/>
  <c r="CO38" i="46"/>
  <c r="CI38" i="46"/>
  <c r="CG38" i="46"/>
  <c r="CE38" i="46"/>
  <c r="BY38" i="46"/>
  <c r="BW38" i="46"/>
  <c r="BU38" i="46"/>
  <c r="BO38" i="46"/>
  <c r="BM38" i="46"/>
  <c r="BK38" i="46"/>
  <c r="BE38" i="46"/>
  <c r="BC38" i="46"/>
  <c r="BA38" i="46"/>
  <c r="FK37" i="46"/>
  <c r="FI37" i="46"/>
  <c r="FG37" i="46"/>
  <c r="FA37" i="46"/>
  <c r="EY37" i="46"/>
  <c r="EW37" i="46"/>
  <c r="EQ37" i="46"/>
  <c r="EO37" i="46"/>
  <c r="EM37" i="46"/>
  <c r="EG37" i="46"/>
  <c r="EE37" i="46"/>
  <c r="EC37" i="46"/>
  <c r="DW37" i="46"/>
  <c r="DU37" i="46"/>
  <c r="DS37" i="46"/>
  <c r="DM37" i="46"/>
  <c r="DK37" i="46"/>
  <c r="DI37" i="46"/>
  <c r="DC37" i="46"/>
  <c r="DA37" i="46"/>
  <c r="CY37" i="46"/>
  <c r="CS37" i="46"/>
  <c r="CQ37" i="46"/>
  <c r="CO37" i="46"/>
  <c r="CI37" i="46"/>
  <c r="CG37" i="46"/>
  <c r="CE37" i="46"/>
  <c r="BY37" i="46"/>
  <c r="BW37" i="46"/>
  <c r="BU37" i="46"/>
  <c r="BO37" i="46"/>
  <c r="BM37" i="46"/>
  <c r="BK37" i="46"/>
  <c r="BE37" i="46"/>
  <c r="BC37" i="46"/>
  <c r="BA37" i="46"/>
  <c r="FK36" i="46"/>
  <c r="FI36" i="46"/>
  <c r="FG36" i="46"/>
  <c r="FA36" i="46"/>
  <c r="EY36" i="46"/>
  <c r="EW36" i="46"/>
  <c r="EQ36" i="46"/>
  <c r="ER36" i="46" s="1"/>
  <c r="EO36" i="46"/>
  <c r="EM36" i="46"/>
  <c r="EG36" i="46"/>
  <c r="EE36" i="46"/>
  <c r="EC36" i="46"/>
  <c r="DW36" i="46"/>
  <c r="DU36" i="46"/>
  <c r="DS36" i="46"/>
  <c r="DM36" i="46"/>
  <c r="DK36" i="46"/>
  <c r="DI36" i="46"/>
  <c r="DC36" i="46"/>
  <c r="DA36" i="46"/>
  <c r="CY36" i="46"/>
  <c r="CS36" i="46"/>
  <c r="CQ36" i="46"/>
  <c r="CT36" i="46" s="1"/>
  <c r="CO36" i="46"/>
  <c r="CI36" i="46"/>
  <c r="CG36" i="46"/>
  <c r="CE36" i="46"/>
  <c r="BY36" i="46"/>
  <c r="BW36" i="46"/>
  <c r="BU36" i="46"/>
  <c r="BO36" i="46"/>
  <c r="BM36" i="46"/>
  <c r="BK36" i="46"/>
  <c r="BE36" i="46"/>
  <c r="BC36" i="46"/>
  <c r="BA36" i="46"/>
  <c r="FK35" i="46"/>
  <c r="FI35" i="46"/>
  <c r="FG35" i="46"/>
  <c r="FA35" i="46"/>
  <c r="EY35" i="46"/>
  <c r="EW35" i="46"/>
  <c r="FB35" i="46" s="1"/>
  <c r="EQ35" i="46"/>
  <c r="EO35" i="46"/>
  <c r="EM35" i="46"/>
  <c r="EG35" i="46"/>
  <c r="EE35" i="46"/>
  <c r="EC35" i="46"/>
  <c r="DW35" i="46"/>
  <c r="DU35" i="46"/>
  <c r="DS35" i="46"/>
  <c r="DM35" i="46"/>
  <c r="DK35" i="46"/>
  <c r="DI35" i="46"/>
  <c r="DC35" i="46"/>
  <c r="DA35" i="46"/>
  <c r="CY35" i="46"/>
  <c r="CS35" i="46"/>
  <c r="CQ35" i="46"/>
  <c r="CO35" i="46"/>
  <c r="CI35" i="46"/>
  <c r="CG35" i="46"/>
  <c r="CE35" i="46"/>
  <c r="BY35" i="46"/>
  <c r="BW35" i="46"/>
  <c r="BU35" i="46"/>
  <c r="BO35" i="46"/>
  <c r="BM35" i="46"/>
  <c r="BK35" i="46"/>
  <c r="BE35" i="46"/>
  <c r="BC35" i="46"/>
  <c r="BA35" i="46"/>
  <c r="FK34" i="46"/>
  <c r="FI34" i="46"/>
  <c r="FG34" i="46"/>
  <c r="FA34" i="46"/>
  <c r="EY34" i="46"/>
  <c r="EW34" i="46"/>
  <c r="EQ34" i="46"/>
  <c r="EO34" i="46"/>
  <c r="EM34" i="46"/>
  <c r="EG34" i="46"/>
  <c r="EE34" i="46"/>
  <c r="EC34" i="46"/>
  <c r="DW34" i="46"/>
  <c r="DU34" i="46"/>
  <c r="DS34" i="46"/>
  <c r="DM34" i="46"/>
  <c r="DK34" i="46"/>
  <c r="DI34" i="46"/>
  <c r="DC34" i="46"/>
  <c r="DA34" i="46"/>
  <c r="CY34" i="46"/>
  <c r="CS34" i="46"/>
  <c r="CQ34" i="46"/>
  <c r="CO34" i="46"/>
  <c r="CI34" i="46"/>
  <c r="CG34" i="46"/>
  <c r="CE34" i="46"/>
  <c r="BY34" i="46"/>
  <c r="BW34" i="46"/>
  <c r="BU34" i="46"/>
  <c r="BO34" i="46"/>
  <c r="BM34" i="46"/>
  <c r="BK34" i="46"/>
  <c r="BE34" i="46"/>
  <c r="BC34" i="46"/>
  <c r="BA34" i="46"/>
  <c r="FK33" i="46"/>
  <c r="FI33" i="46"/>
  <c r="FG33" i="46"/>
  <c r="FA33" i="46"/>
  <c r="EY33" i="46"/>
  <c r="EW33" i="46"/>
  <c r="EQ33" i="46"/>
  <c r="EO33" i="46"/>
  <c r="EM33" i="46"/>
  <c r="EG33" i="46"/>
  <c r="EE33" i="46"/>
  <c r="EC33" i="46"/>
  <c r="DW33" i="46"/>
  <c r="DU33" i="46"/>
  <c r="DS33" i="46"/>
  <c r="DM33" i="46"/>
  <c r="DK33" i="46"/>
  <c r="DI33" i="46"/>
  <c r="DC33" i="46"/>
  <c r="DA33" i="46"/>
  <c r="CY33" i="46"/>
  <c r="CS33" i="46"/>
  <c r="CQ33" i="46"/>
  <c r="CO33" i="46"/>
  <c r="CI33" i="46"/>
  <c r="CG33" i="46"/>
  <c r="CE33" i="46"/>
  <c r="BY33" i="46"/>
  <c r="BW33" i="46"/>
  <c r="BU33" i="46"/>
  <c r="BO33" i="46"/>
  <c r="BM33" i="46"/>
  <c r="BK33" i="46"/>
  <c r="BE33" i="46"/>
  <c r="BC33" i="46"/>
  <c r="BA33" i="46"/>
  <c r="IM32" i="46"/>
  <c r="IK32" i="46"/>
  <c r="II32" i="46"/>
  <c r="IC32" i="46"/>
  <c r="IA32" i="46"/>
  <c r="HY32" i="46"/>
  <c r="HS32" i="46"/>
  <c r="HQ32" i="46"/>
  <c r="HO32" i="46"/>
  <c r="HI32" i="46"/>
  <c r="HG32" i="46"/>
  <c r="HE32" i="46"/>
  <c r="GY32" i="46"/>
  <c r="GW32" i="46"/>
  <c r="GU32" i="46"/>
  <c r="GO32" i="46"/>
  <c r="GM32" i="46"/>
  <c r="GK32" i="46"/>
  <c r="GE32" i="46"/>
  <c r="GC32" i="46"/>
  <c r="GA32" i="46"/>
  <c r="FU32" i="46"/>
  <c r="FS32" i="46"/>
  <c r="FQ32" i="46"/>
  <c r="FK32" i="46"/>
  <c r="FI32" i="46"/>
  <c r="FG32" i="46"/>
  <c r="FA32" i="46"/>
  <c r="EY32" i="46"/>
  <c r="EW32" i="46"/>
  <c r="EQ32" i="46"/>
  <c r="EO32" i="46"/>
  <c r="EM32" i="46"/>
  <c r="EG32" i="46"/>
  <c r="EE32" i="46"/>
  <c r="EC32" i="46"/>
  <c r="DW32" i="46"/>
  <c r="DU32" i="46"/>
  <c r="DS32" i="46"/>
  <c r="DM32" i="46"/>
  <c r="DK32" i="46"/>
  <c r="DI32" i="46"/>
  <c r="DC32" i="46"/>
  <c r="DA32" i="46"/>
  <c r="CY32" i="46"/>
  <c r="CS32" i="46"/>
  <c r="CQ32" i="46"/>
  <c r="CO32" i="46"/>
  <c r="CI32" i="46"/>
  <c r="CG32" i="46"/>
  <c r="CE32" i="46"/>
  <c r="CJ32" i="46" s="1"/>
  <c r="BY32" i="46"/>
  <c r="BW32" i="46"/>
  <c r="BU32" i="46"/>
  <c r="BO32" i="46"/>
  <c r="BM32" i="46"/>
  <c r="BK32" i="46"/>
  <c r="BE32" i="46"/>
  <c r="BC32" i="46"/>
  <c r="BA32" i="46"/>
  <c r="IM31" i="46"/>
  <c r="IK31" i="46"/>
  <c r="II31" i="46"/>
  <c r="IC31" i="46"/>
  <c r="IA31" i="46"/>
  <c r="HY31" i="46"/>
  <c r="HS31" i="46"/>
  <c r="HQ31" i="46"/>
  <c r="HO31" i="46"/>
  <c r="HI31" i="46"/>
  <c r="HG31" i="46"/>
  <c r="HE31" i="46"/>
  <c r="GY31" i="46"/>
  <c r="GW31" i="46"/>
  <c r="GU31" i="46"/>
  <c r="GO31" i="46"/>
  <c r="GM31" i="46"/>
  <c r="GK31" i="46"/>
  <c r="GE31" i="46"/>
  <c r="GC31" i="46"/>
  <c r="GA31" i="46"/>
  <c r="FU31" i="46"/>
  <c r="FS31" i="46"/>
  <c r="FV31" i="46" s="1"/>
  <c r="FQ31" i="46"/>
  <c r="FK31" i="46"/>
  <c r="FI31" i="46"/>
  <c r="FG31" i="46"/>
  <c r="FA31" i="46"/>
  <c r="EY31" i="46"/>
  <c r="EW31" i="46"/>
  <c r="EQ31" i="46"/>
  <c r="EO31" i="46"/>
  <c r="EM31" i="46"/>
  <c r="EG31" i="46"/>
  <c r="EE31" i="46"/>
  <c r="EC31" i="46"/>
  <c r="DW31" i="46"/>
  <c r="DU31" i="46"/>
  <c r="DS31" i="46"/>
  <c r="DM31" i="46"/>
  <c r="DK31" i="46"/>
  <c r="DI31" i="46"/>
  <c r="DC31" i="46"/>
  <c r="DA31" i="46"/>
  <c r="CY31" i="46"/>
  <c r="CS31" i="46"/>
  <c r="CQ31" i="46"/>
  <c r="CO31" i="46"/>
  <c r="CI31" i="46"/>
  <c r="CG31" i="46"/>
  <c r="CE31" i="46"/>
  <c r="BY31" i="46"/>
  <c r="BW31" i="46"/>
  <c r="BU31" i="46"/>
  <c r="BO31" i="46"/>
  <c r="BM31" i="46"/>
  <c r="BK31" i="46"/>
  <c r="BE31" i="46"/>
  <c r="BC31" i="46"/>
  <c r="BA31" i="46"/>
  <c r="IM30" i="46"/>
  <c r="IK30" i="46"/>
  <c r="II30" i="46"/>
  <c r="IC30" i="46"/>
  <c r="IA30" i="46"/>
  <c r="HY30" i="46"/>
  <c r="HS30" i="46"/>
  <c r="HT30" i="46" s="1"/>
  <c r="HQ30" i="46"/>
  <c r="HO30" i="46"/>
  <c r="HI30" i="46"/>
  <c r="HG30" i="46"/>
  <c r="HE30" i="46"/>
  <c r="GY30" i="46"/>
  <c r="GW30" i="46"/>
  <c r="GU30" i="46"/>
  <c r="GO30" i="46"/>
  <c r="GM30" i="46"/>
  <c r="GK30" i="46"/>
  <c r="GE30" i="46"/>
  <c r="GC30" i="46"/>
  <c r="GA30" i="46"/>
  <c r="GF30" i="46" s="1"/>
  <c r="FU30" i="46"/>
  <c r="FV30" i="46" s="1"/>
  <c r="FS30" i="46"/>
  <c r="FQ30" i="46"/>
  <c r="FK30" i="46"/>
  <c r="FI30" i="46"/>
  <c r="FL30" i="46" s="1"/>
  <c r="FG30" i="46"/>
  <c r="FA30" i="46"/>
  <c r="EY30" i="46"/>
  <c r="EW30" i="46"/>
  <c r="EQ30" i="46"/>
  <c r="EO30" i="46"/>
  <c r="EM30" i="46"/>
  <c r="EH30" i="46"/>
  <c r="EG30" i="46"/>
  <c r="EE30" i="46"/>
  <c r="EC30" i="46"/>
  <c r="DW30" i="46"/>
  <c r="DU30" i="46"/>
  <c r="DS30" i="46"/>
  <c r="DM30" i="46"/>
  <c r="DK30" i="46"/>
  <c r="DI30" i="46"/>
  <c r="DC30" i="46"/>
  <c r="DA30" i="46"/>
  <c r="CY30" i="46"/>
  <c r="DD30" i="46" s="1"/>
  <c r="CS30" i="46"/>
  <c r="CQ30" i="46"/>
  <c r="CO30" i="46"/>
  <c r="CI30" i="46"/>
  <c r="CG30" i="46"/>
  <c r="CE30" i="46"/>
  <c r="BY30" i="46"/>
  <c r="BW30" i="46"/>
  <c r="BU30" i="46"/>
  <c r="BO30" i="46"/>
  <c r="BM30" i="46"/>
  <c r="BK30" i="46"/>
  <c r="BE30" i="46"/>
  <c r="BC30" i="46"/>
  <c r="BA30" i="46"/>
  <c r="IM29" i="46"/>
  <c r="IK29" i="46"/>
  <c r="II29" i="46"/>
  <c r="IC29" i="46"/>
  <c r="IA29" i="46"/>
  <c r="HY29" i="46"/>
  <c r="HS29" i="46"/>
  <c r="HQ29" i="46"/>
  <c r="HO29" i="46"/>
  <c r="HI29" i="46"/>
  <c r="HG29" i="46"/>
  <c r="HE29" i="46"/>
  <c r="GY29" i="46"/>
  <c r="GW29" i="46"/>
  <c r="GU29" i="46"/>
  <c r="GO29" i="46"/>
  <c r="GM29" i="46"/>
  <c r="GK29" i="46"/>
  <c r="GE29" i="46"/>
  <c r="GC29" i="46"/>
  <c r="GA29" i="46"/>
  <c r="FU29" i="46"/>
  <c r="FS29" i="46"/>
  <c r="FQ29" i="46"/>
  <c r="FK29" i="46"/>
  <c r="FI29" i="46"/>
  <c r="FG29" i="46"/>
  <c r="FA29" i="46"/>
  <c r="EY29" i="46"/>
  <c r="EW29" i="46"/>
  <c r="EQ29" i="46"/>
  <c r="EO29" i="46"/>
  <c r="EM29" i="46"/>
  <c r="EG29" i="46"/>
  <c r="EE29" i="46"/>
  <c r="EC29" i="46"/>
  <c r="DW29" i="46"/>
  <c r="DU29" i="46"/>
  <c r="DS29" i="46"/>
  <c r="DM29" i="46"/>
  <c r="DK29" i="46"/>
  <c r="DI29" i="46"/>
  <c r="DC29" i="46"/>
  <c r="DA29" i="46"/>
  <c r="CY29" i="46"/>
  <c r="CS29" i="46"/>
  <c r="CQ29" i="46"/>
  <c r="CO29" i="46"/>
  <c r="CI29" i="46"/>
  <c r="CG29" i="46"/>
  <c r="CE29" i="46"/>
  <c r="BY29" i="46"/>
  <c r="BW29" i="46"/>
  <c r="BU29" i="46"/>
  <c r="BO29" i="46"/>
  <c r="BM29" i="46"/>
  <c r="BK29" i="46"/>
  <c r="BE29" i="46"/>
  <c r="BC29" i="46"/>
  <c r="BA29" i="46"/>
  <c r="IM28" i="46"/>
  <c r="IK28" i="46"/>
  <c r="II28" i="46"/>
  <c r="IC28" i="46"/>
  <c r="IA28" i="46"/>
  <c r="HY28" i="46"/>
  <c r="HS28" i="46"/>
  <c r="HQ28" i="46"/>
  <c r="HO28" i="46"/>
  <c r="HI28" i="46"/>
  <c r="HG28" i="46"/>
  <c r="HE28" i="46"/>
  <c r="GY28" i="46"/>
  <c r="GW28" i="46"/>
  <c r="GU28" i="46"/>
  <c r="GO28" i="46"/>
  <c r="GM28" i="46"/>
  <c r="GK28" i="46"/>
  <c r="GE28" i="46"/>
  <c r="GC28" i="46"/>
  <c r="GA28" i="46"/>
  <c r="FU28" i="46"/>
  <c r="FS28" i="46"/>
  <c r="FQ28" i="46"/>
  <c r="FK28" i="46"/>
  <c r="FI28" i="46"/>
  <c r="FG28" i="46"/>
  <c r="FA28" i="46"/>
  <c r="EY28" i="46"/>
  <c r="EW28" i="46"/>
  <c r="EQ28" i="46"/>
  <c r="EO28" i="46"/>
  <c r="EM28" i="46"/>
  <c r="EG28" i="46"/>
  <c r="EE28" i="46"/>
  <c r="EC28" i="46"/>
  <c r="DW28" i="46"/>
  <c r="DU28" i="46"/>
  <c r="DS28" i="46"/>
  <c r="DM28" i="46"/>
  <c r="DK28" i="46"/>
  <c r="DI28" i="46"/>
  <c r="DC28" i="46"/>
  <c r="DA28" i="46"/>
  <c r="CY28" i="46"/>
  <c r="CS28" i="46"/>
  <c r="CQ28" i="46"/>
  <c r="CO28" i="46"/>
  <c r="CI28" i="46"/>
  <c r="CG28" i="46"/>
  <c r="CE28" i="46"/>
  <c r="BY28" i="46"/>
  <c r="BW28" i="46"/>
  <c r="BU28" i="46"/>
  <c r="BO28" i="46"/>
  <c r="BM28" i="46"/>
  <c r="BK28" i="46"/>
  <c r="BE28" i="46"/>
  <c r="BC28" i="46"/>
  <c r="BA28" i="46"/>
  <c r="IM27" i="46"/>
  <c r="IK27" i="46"/>
  <c r="II27" i="46"/>
  <c r="IC27" i="46"/>
  <c r="IA27" i="46"/>
  <c r="HY27" i="46"/>
  <c r="HS27" i="46"/>
  <c r="HQ27" i="46"/>
  <c r="HO27" i="46"/>
  <c r="HI27" i="46"/>
  <c r="HG27" i="46"/>
  <c r="HE27" i="46"/>
  <c r="GY27" i="46"/>
  <c r="GW27" i="46"/>
  <c r="GU27" i="46"/>
  <c r="GO27" i="46"/>
  <c r="GM27" i="46"/>
  <c r="GK27" i="46"/>
  <c r="GE27" i="46"/>
  <c r="GC27" i="46"/>
  <c r="GA27" i="46"/>
  <c r="FU27" i="46"/>
  <c r="FS27" i="46"/>
  <c r="FQ27" i="46"/>
  <c r="FK27" i="46"/>
  <c r="FI27" i="46"/>
  <c r="FG27" i="46"/>
  <c r="FA27" i="46"/>
  <c r="EY27" i="46"/>
  <c r="EW27" i="46"/>
  <c r="EQ27" i="46"/>
  <c r="EO27" i="46"/>
  <c r="EM27" i="46"/>
  <c r="EG27" i="46"/>
  <c r="EE27" i="46"/>
  <c r="EC27" i="46"/>
  <c r="DW27" i="46"/>
  <c r="DX27" i="46" s="1"/>
  <c r="DU27" i="46"/>
  <c r="DS27" i="46"/>
  <c r="DM27" i="46"/>
  <c r="DK27" i="46"/>
  <c r="DI27" i="46"/>
  <c r="DC27" i="46"/>
  <c r="DA27" i="46"/>
  <c r="CY27" i="46"/>
  <c r="CS27" i="46"/>
  <c r="CQ27" i="46"/>
  <c r="CO27" i="46"/>
  <c r="CI27" i="46"/>
  <c r="CG27" i="46"/>
  <c r="CE27" i="46"/>
  <c r="BY27" i="46"/>
  <c r="BW27" i="46"/>
  <c r="BU27" i="46"/>
  <c r="BO27" i="46"/>
  <c r="BM27" i="46"/>
  <c r="BK27" i="46"/>
  <c r="BE27" i="46"/>
  <c r="BC27" i="46"/>
  <c r="BA27" i="46"/>
  <c r="IM26" i="46"/>
  <c r="IK26" i="46"/>
  <c r="II26" i="46"/>
  <c r="IC26" i="46"/>
  <c r="IA26" i="46"/>
  <c r="HY26" i="46"/>
  <c r="HS26" i="46"/>
  <c r="HQ26" i="46"/>
  <c r="HO26" i="46"/>
  <c r="HI26" i="46"/>
  <c r="HG26" i="46"/>
  <c r="HE26" i="46"/>
  <c r="GY26" i="46"/>
  <c r="GW26" i="46"/>
  <c r="GU26" i="46"/>
  <c r="GO26" i="46"/>
  <c r="GM26" i="46"/>
  <c r="GK26" i="46"/>
  <c r="GE26" i="46"/>
  <c r="GC26" i="46"/>
  <c r="GA26" i="46"/>
  <c r="FU26" i="46"/>
  <c r="FS26" i="46"/>
  <c r="FQ26" i="46"/>
  <c r="FK26" i="46"/>
  <c r="FI26" i="46"/>
  <c r="FG26" i="46"/>
  <c r="FA26" i="46"/>
  <c r="EY26" i="46"/>
  <c r="EW26" i="46"/>
  <c r="EQ26" i="46"/>
  <c r="EO26" i="46"/>
  <c r="EM26" i="46"/>
  <c r="EG26" i="46"/>
  <c r="EE26" i="46"/>
  <c r="EC26" i="46"/>
  <c r="DW26" i="46"/>
  <c r="DU26" i="46"/>
  <c r="DS26" i="46"/>
  <c r="DM26" i="46"/>
  <c r="DK26" i="46"/>
  <c r="DI26" i="46"/>
  <c r="DC26" i="46"/>
  <c r="DA26" i="46"/>
  <c r="CY26" i="46"/>
  <c r="CS26" i="46"/>
  <c r="CQ26" i="46"/>
  <c r="CO26" i="46"/>
  <c r="CT26" i="46" s="1"/>
  <c r="CI26" i="46"/>
  <c r="CG26" i="46"/>
  <c r="CE26" i="46"/>
  <c r="BY26" i="46"/>
  <c r="BW26" i="46"/>
  <c r="BU26" i="46"/>
  <c r="BO26" i="46"/>
  <c r="BM26" i="46"/>
  <c r="BK26" i="46"/>
  <c r="BE26" i="46"/>
  <c r="BC26" i="46"/>
  <c r="BA26" i="46"/>
  <c r="IM25" i="46"/>
  <c r="IK25" i="46"/>
  <c r="II25" i="46"/>
  <c r="IC25" i="46"/>
  <c r="IA25" i="46"/>
  <c r="HY25" i="46"/>
  <c r="HS25" i="46"/>
  <c r="HQ25" i="46"/>
  <c r="HO25" i="46"/>
  <c r="HI25" i="46"/>
  <c r="HG25" i="46"/>
  <c r="HE25" i="46"/>
  <c r="GY25" i="46"/>
  <c r="GW25" i="46"/>
  <c r="GU25" i="46"/>
  <c r="GO25" i="46"/>
  <c r="GM25" i="46"/>
  <c r="GK25" i="46"/>
  <c r="GE25" i="46"/>
  <c r="GC25" i="46"/>
  <c r="GA25" i="46"/>
  <c r="FU25" i="46"/>
  <c r="FS25" i="46"/>
  <c r="FQ25" i="46"/>
  <c r="FV25" i="46" s="1"/>
  <c r="FK25" i="46"/>
  <c r="FI25" i="46"/>
  <c r="FG25" i="46"/>
  <c r="FA25" i="46"/>
  <c r="EY25" i="46"/>
  <c r="EW25" i="46"/>
  <c r="EQ25" i="46"/>
  <c r="EO25" i="46"/>
  <c r="EM25" i="46"/>
  <c r="EG25" i="46"/>
  <c r="EE25" i="46"/>
  <c r="EC25" i="46"/>
  <c r="DW25" i="46"/>
  <c r="DU25" i="46"/>
  <c r="DS25" i="46"/>
  <c r="DM25" i="46"/>
  <c r="DK25" i="46"/>
  <c r="DI25" i="46"/>
  <c r="DC25" i="46"/>
  <c r="DA25" i="46"/>
  <c r="CY25" i="46"/>
  <c r="CS25" i="46"/>
  <c r="CQ25" i="46"/>
  <c r="CO25" i="46"/>
  <c r="CI25" i="46"/>
  <c r="CG25" i="46"/>
  <c r="CE25" i="46"/>
  <c r="BY25" i="46"/>
  <c r="BW25" i="46"/>
  <c r="BU25" i="46"/>
  <c r="BO25" i="46"/>
  <c r="BM25" i="46"/>
  <c r="BK25" i="46"/>
  <c r="BE25" i="46"/>
  <c r="BC25" i="46"/>
  <c r="BA25" i="46"/>
  <c r="IM24" i="46"/>
  <c r="IK24" i="46"/>
  <c r="II24" i="46"/>
  <c r="IC24" i="46"/>
  <c r="IA24" i="46"/>
  <c r="HY24" i="46"/>
  <c r="HS24" i="46"/>
  <c r="HQ24" i="46"/>
  <c r="HO24" i="46"/>
  <c r="HI24" i="46"/>
  <c r="HG24" i="46"/>
  <c r="HE24" i="46"/>
  <c r="GY24" i="46"/>
  <c r="GW24" i="46"/>
  <c r="GU24" i="46"/>
  <c r="GO24" i="46"/>
  <c r="GM24" i="46"/>
  <c r="GK24" i="46"/>
  <c r="GE24" i="46"/>
  <c r="GC24" i="46"/>
  <c r="GA24" i="46"/>
  <c r="FU24" i="46"/>
  <c r="FS24" i="46"/>
  <c r="FQ24" i="46"/>
  <c r="FK24" i="46"/>
  <c r="FI24" i="46"/>
  <c r="FG24" i="46"/>
  <c r="FA24" i="46"/>
  <c r="EY24" i="46"/>
  <c r="EW24" i="46"/>
  <c r="EQ24" i="46"/>
  <c r="EO24" i="46"/>
  <c r="EM24" i="46"/>
  <c r="EG24" i="46"/>
  <c r="EE24" i="46"/>
  <c r="EC24" i="46"/>
  <c r="DW24" i="46"/>
  <c r="DU24" i="46"/>
  <c r="DS24" i="46"/>
  <c r="DM24" i="46"/>
  <c r="DK24" i="46"/>
  <c r="DI24" i="46"/>
  <c r="DC24" i="46"/>
  <c r="DA24" i="46"/>
  <c r="CY24" i="46"/>
  <c r="CS24" i="46"/>
  <c r="CQ24" i="46"/>
  <c r="CO24" i="46"/>
  <c r="CI24" i="46"/>
  <c r="CG24" i="46"/>
  <c r="CE24" i="46"/>
  <c r="BY24" i="46"/>
  <c r="BW24" i="46"/>
  <c r="BU24" i="46"/>
  <c r="BO24" i="46"/>
  <c r="BM24" i="46"/>
  <c r="BK24" i="46"/>
  <c r="BE24" i="46"/>
  <c r="BC24" i="46"/>
  <c r="BA24" i="46"/>
  <c r="IM23" i="46"/>
  <c r="IK23" i="46"/>
  <c r="II23" i="46"/>
  <c r="IC23" i="46"/>
  <c r="IA23" i="46"/>
  <c r="HY23" i="46"/>
  <c r="HS23" i="46"/>
  <c r="HQ23" i="46"/>
  <c r="HO23" i="46"/>
  <c r="HI23" i="46"/>
  <c r="HG23" i="46"/>
  <c r="HE23" i="46"/>
  <c r="GY23" i="46"/>
  <c r="GW23" i="46"/>
  <c r="GU23" i="46"/>
  <c r="GO23" i="46"/>
  <c r="GM23" i="46"/>
  <c r="GK23" i="46"/>
  <c r="GE23" i="46"/>
  <c r="GC23" i="46"/>
  <c r="GA23" i="46"/>
  <c r="FU23" i="46"/>
  <c r="FS23" i="46"/>
  <c r="FQ23" i="46"/>
  <c r="FK23" i="46"/>
  <c r="FI23" i="46"/>
  <c r="FG23" i="46"/>
  <c r="FA23" i="46"/>
  <c r="EY23" i="46"/>
  <c r="EW23" i="46"/>
  <c r="EQ23" i="46"/>
  <c r="EO23" i="46"/>
  <c r="EM23" i="46"/>
  <c r="EG23" i="46"/>
  <c r="EE23" i="46"/>
  <c r="EC23" i="46"/>
  <c r="DW23" i="46"/>
  <c r="DU23" i="46"/>
  <c r="DS23" i="46"/>
  <c r="DM23" i="46"/>
  <c r="DK23" i="46"/>
  <c r="DI23" i="46"/>
  <c r="DC23" i="46"/>
  <c r="DA23" i="46"/>
  <c r="CY23" i="46"/>
  <c r="CS23" i="46"/>
  <c r="CQ23" i="46"/>
  <c r="CO23" i="46"/>
  <c r="CI23" i="46"/>
  <c r="CG23" i="46"/>
  <c r="CE23" i="46"/>
  <c r="BY23" i="46"/>
  <c r="BW23" i="46"/>
  <c r="BZ23" i="46" s="1"/>
  <c r="BU23" i="46"/>
  <c r="BO23" i="46"/>
  <c r="BM23" i="46"/>
  <c r="BK23" i="46"/>
  <c r="BE23" i="46"/>
  <c r="BC23" i="46"/>
  <c r="BA23" i="46"/>
  <c r="AV23" i="46"/>
  <c r="AU23" i="46"/>
  <c r="AU24" i="46" s="1"/>
  <c r="AU25" i="46" s="1"/>
  <c r="IM22" i="46"/>
  <c r="IK22" i="46"/>
  <c r="II22" i="46"/>
  <c r="IC22" i="46"/>
  <c r="IA22" i="46"/>
  <c r="HY22" i="46"/>
  <c r="HS22" i="46"/>
  <c r="HQ22" i="46"/>
  <c r="HO22" i="46"/>
  <c r="HI22" i="46"/>
  <c r="HG22" i="46"/>
  <c r="HE22" i="46"/>
  <c r="GY22" i="46"/>
  <c r="GW22" i="46"/>
  <c r="GU22" i="46"/>
  <c r="GO22" i="46"/>
  <c r="GM22" i="46"/>
  <c r="GK22" i="46"/>
  <c r="GE22" i="46"/>
  <c r="GC22" i="46"/>
  <c r="GA22" i="46"/>
  <c r="FU22" i="46"/>
  <c r="FS22" i="46"/>
  <c r="FQ22" i="46"/>
  <c r="FK22" i="46"/>
  <c r="FI22" i="46"/>
  <c r="FG22" i="46"/>
  <c r="FA22" i="46"/>
  <c r="EY22" i="46"/>
  <c r="EW22" i="46"/>
  <c r="EQ22" i="46"/>
  <c r="EO22" i="46"/>
  <c r="EM22" i="46"/>
  <c r="EG22" i="46"/>
  <c r="EE22" i="46"/>
  <c r="EC22" i="46"/>
  <c r="DW22" i="46"/>
  <c r="DU22" i="46"/>
  <c r="DS22" i="46"/>
  <c r="DM22" i="46"/>
  <c r="DK22" i="46"/>
  <c r="DI22" i="46"/>
  <c r="DC22" i="46"/>
  <c r="DA22" i="46"/>
  <c r="CY22" i="46"/>
  <c r="CS22" i="46"/>
  <c r="CQ22" i="46"/>
  <c r="CO22" i="46"/>
  <c r="CI22" i="46"/>
  <c r="CG22" i="46"/>
  <c r="CE22" i="46"/>
  <c r="CJ22" i="46" s="1"/>
  <c r="BY22" i="46"/>
  <c r="BW22" i="46"/>
  <c r="BU22" i="46"/>
  <c r="BO22" i="46"/>
  <c r="BM22" i="46"/>
  <c r="BK22" i="46"/>
  <c r="BE22" i="46"/>
  <c r="BC22" i="46"/>
  <c r="BA22" i="46"/>
  <c r="AV22" i="46"/>
  <c r="IM21" i="46"/>
  <c r="IK21" i="46"/>
  <c r="II21" i="46"/>
  <c r="IC21" i="46"/>
  <c r="IA21" i="46"/>
  <c r="HY21" i="46"/>
  <c r="HS21" i="46"/>
  <c r="HQ21" i="46"/>
  <c r="HO21" i="46"/>
  <c r="HI21" i="46"/>
  <c r="HG21" i="46"/>
  <c r="HE21" i="46"/>
  <c r="GY21" i="46"/>
  <c r="GW21" i="46"/>
  <c r="GU21" i="46"/>
  <c r="GO21" i="46"/>
  <c r="GM21" i="46"/>
  <c r="GK21" i="46"/>
  <c r="GE21" i="46"/>
  <c r="GC21" i="46"/>
  <c r="GA21" i="46"/>
  <c r="FU21" i="46"/>
  <c r="FS21" i="46"/>
  <c r="FQ21" i="46"/>
  <c r="FK21" i="46"/>
  <c r="FI21" i="46"/>
  <c r="FG21" i="46"/>
  <c r="FA21" i="46"/>
  <c r="EY21" i="46"/>
  <c r="EW21" i="46"/>
  <c r="EQ21" i="46"/>
  <c r="EO21" i="46"/>
  <c r="EM21" i="46"/>
  <c r="EG21" i="46"/>
  <c r="EE21" i="46"/>
  <c r="EC21" i="46"/>
  <c r="DW21" i="46"/>
  <c r="DU21" i="46"/>
  <c r="DM21" i="46"/>
  <c r="DK21" i="46"/>
  <c r="DI21" i="46"/>
  <c r="DC21" i="46"/>
  <c r="DA21" i="46"/>
  <c r="CY21" i="46"/>
  <c r="CS21" i="46"/>
  <c r="CQ21" i="46"/>
  <c r="CO21" i="46"/>
  <c r="CI21" i="46"/>
  <c r="CG21" i="46"/>
  <c r="CE21" i="46"/>
  <c r="BY21" i="46"/>
  <c r="BW21" i="46"/>
  <c r="BU21" i="46"/>
  <c r="BO21" i="46"/>
  <c r="BM21" i="46"/>
  <c r="BK21" i="46"/>
  <c r="BE21" i="46"/>
  <c r="BC21" i="46"/>
  <c r="BA21" i="46"/>
  <c r="AV21" i="46"/>
  <c r="B20" i="46"/>
  <c r="B21" i="46" s="1"/>
  <c r="B22" i="46" s="1"/>
  <c r="BR19" i="46"/>
  <c r="BI19" i="46"/>
  <c r="AY19" i="46"/>
  <c r="G16" i="46"/>
  <c r="H16" i="46" s="1"/>
  <c r="I16" i="46" s="1"/>
  <c r="F16" i="46"/>
  <c r="O12" i="46"/>
  <c r="O11" i="46"/>
  <c r="O10" i="46"/>
  <c r="O9" i="46"/>
  <c r="O8" i="46"/>
  <c r="O7" i="46"/>
  <c r="V6" i="46"/>
  <c r="O6" i="46"/>
  <c r="V5" i="46"/>
  <c r="O5" i="46"/>
  <c r="O4" i="46"/>
  <c r="P11" i="2" a="1"/>
  <c r="P12" i="2" a="1"/>
  <c r="P10" i="2" a="1"/>
  <c r="P12" i="2" l="1"/>
  <c r="P10" i="2"/>
  <c r="P11" i="2"/>
  <c r="C26" i="6" s="1"/>
  <c r="F24" i="1"/>
  <c r="AO54" i="55"/>
  <c r="AN54" i="55" s="1"/>
  <c r="AO59" i="55" s="1"/>
  <c r="AN49" i="55"/>
  <c r="AO58" i="55" s="1"/>
  <c r="AN50" i="55"/>
  <c r="G57" i="55"/>
  <c r="F57" i="55" s="1"/>
  <c r="J56" i="55" s="1"/>
  <c r="G76" i="53"/>
  <c r="F76" i="53" s="1"/>
  <c r="J76" i="53" s="1"/>
  <c r="AN55" i="55"/>
  <c r="AO48" i="52"/>
  <c r="AN48" i="52" s="1"/>
  <c r="AB80" i="56"/>
  <c r="P12" i="56" s="1"/>
  <c r="DD25" i="46"/>
  <c r="G57" i="54"/>
  <c r="F57" i="54" s="1"/>
  <c r="J56" i="54" s="1"/>
  <c r="F77" i="55"/>
  <c r="F76" i="55"/>
  <c r="J76" i="55" s="1"/>
  <c r="AN55" i="54"/>
  <c r="AN53" i="52"/>
  <c r="AO55" i="52"/>
  <c r="AM55" i="52"/>
  <c r="AM54" i="52" s="1"/>
  <c r="AO54" i="53"/>
  <c r="AN54" i="53" s="1"/>
  <c r="AO59" i="53" s="1"/>
  <c r="AN55" i="53"/>
  <c r="AN54" i="54"/>
  <c r="AO59" i="54" s="1"/>
  <c r="DN38" i="46"/>
  <c r="FL22" i="46"/>
  <c r="IN22" i="46"/>
  <c r="DD23" i="46"/>
  <c r="ER23" i="46"/>
  <c r="GF23" i="46"/>
  <c r="HT23" i="46"/>
  <c r="GF25" i="46"/>
  <c r="DN27" i="46"/>
  <c r="BF23" i="46"/>
  <c r="BF24" i="46"/>
  <c r="CT24" i="46"/>
  <c r="EH24" i="46"/>
  <c r="FV24" i="46"/>
  <c r="HJ24" i="46"/>
  <c r="BG25" i="46"/>
  <c r="AX25" i="46" s="1"/>
  <c r="AY25" i="46" s="1"/>
  <c r="GZ27" i="46"/>
  <c r="IN27" i="46"/>
  <c r="CJ28" i="46"/>
  <c r="DX28" i="46"/>
  <c r="FL28" i="46"/>
  <c r="GZ28" i="46"/>
  <c r="BQ31" i="46"/>
  <c r="BH31" i="46" s="1"/>
  <c r="HT32" i="46"/>
  <c r="CJ33" i="46"/>
  <c r="DN34" i="46"/>
  <c r="BP35" i="46"/>
  <c r="DD35" i="46"/>
  <c r="ER35" i="46"/>
  <c r="FB40" i="46"/>
  <c r="CA24" i="46"/>
  <c r="BR24" i="46" s="1"/>
  <c r="ER22" i="46"/>
  <c r="HT22" i="46"/>
  <c r="FL25" i="46"/>
  <c r="IN25" i="46"/>
  <c r="FL27" i="46"/>
  <c r="GP27" i="46"/>
  <c r="DN29" i="46"/>
  <c r="BG31" i="46"/>
  <c r="AX31" i="46" s="1"/>
  <c r="AY31" i="46" s="1"/>
  <c r="BZ32" i="46"/>
  <c r="DN32" i="46"/>
  <c r="BF33" i="46"/>
  <c r="CT33" i="46"/>
  <c r="EH37" i="46"/>
  <c r="CT39" i="46"/>
  <c r="EH39" i="46"/>
  <c r="BG40" i="46"/>
  <c r="AX40" i="46" s="1"/>
  <c r="F77" i="53"/>
  <c r="DQ22" i="55"/>
  <c r="K19" i="55"/>
  <c r="DQ26" i="55"/>
  <c r="K23" i="55"/>
  <c r="AV31" i="55"/>
  <c r="AU32" i="55"/>
  <c r="DQ23" i="55"/>
  <c r="K20" i="55"/>
  <c r="K24" i="55"/>
  <c r="DQ27" i="55"/>
  <c r="DQ31" i="55"/>
  <c r="K28" i="55"/>
  <c r="DQ21" i="55"/>
  <c r="K18" i="55"/>
  <c r="DQ24" i="55"/>
  <c r="K21" i="55"/>
  <c r="K25" i="55"/>
  <c r="DQ28" i="55"/>
  <c r="DQ32" i="55"/>
  <c r="K29" i="55"/>
  <c r="EI40" i="55"/>
  <c r="DZ40" i="55" s="1"/>
  <c r="EA40" i="55" s="1"/>
  <c r="EI38" i="55"/>
  <c r="DZ38" i="55" s="1"/>
  <c r="EA38" i="55" s="1"/>
  <c r="EI36" i="55"/>
  <c r="DZ36" i="55" s="1"/>
  <c r="EA36" i="55" s="1"/>
  <c r="EI39" i="55"/>
  <c r="DZ39" i="55" s="1"/>
  <c r="EA39" i="55" s="1"/>
  <c r="EI37" i="55"/>
  <c r="DZ37" i="55" s="1"/>
  <c r="EA37" i="55" s="1"/>
  <c r="EI34" i="55"/>
  <c r="DZ34" i="55" s="1"/>
  <c r="EA34" i="55" s="1"/>
  <c r="EI35" i="55"/>
  <c r="DZ35" i="55" s="1"/>
  <c r="EA35" i="55" s="1"/>
  <c r="EI32" i="55"/>
  <c r="DZ32" i="55" s="1"/>
  <c r="EI30" i="55"/>
  <c r="DZ30" i="55" s="1"/>
  <c r="EI31" i="55"/>
  <c r="DZ31" i="55" s="1"/>
  <c r="EI33" i="55"/>
  <c r="DZ33" i="55" s="1"/>
  <c r="EA33" i="55" s="1"/>
  <c r="EI26" i="55"/>
  <c r="DZ26" i="55" s="1"/>
  <c r="EI23" i="55"/>
  <c r="DZ23" i="55" s="1"/>
  <c r="EI22" i="55"/>
  <c r="DZ22" i="55" s="1"/>
  <c r="EI27" i="55"/>
  <c r="DZ27" i="55" s="1"/>
  <c r="EJ19" i="55"/>
  <c r="EI25" i="55"/>
  <c r="DZ25" i="55" s="1"/>
  <c r="EI28" i="55"/>
  <c r="DZ28" i="55" s="1"/>
  <c r="EI24" i="55"/>
  <c r="DZ24" i="55" s="1"/>
  <c r="EA19" i="55"/>
  <c r="EI29" i="55"/>
  <c r="DZ29" i="55" s="1"/>
  <c r="EI21" i="55"/>
  <c r="DZ21" i="55" s="1"/>
  <c r="K22" i="55"/>
  <c r="DQ25" i="55"/>
  <c r="K26" i="55"/>
  <c r="DQ29" i="55"/>
  <c r="DQ30" i="55"/>
  <c r="K27" i="55"/>
  <c r="AN49" i="54"/>
  <c r="F77" i="54"/>
  <c r="AN50" i="54"/>
  <c r="DQ29" i="54"/>
  <c r="K26" i="54"/>
  <c r="DQ27" i="54"/>
  <c r="K24" i="54"/>
  <c r="K29" i="54"/>
  <c r="DQ32" i="54"/>
  <c r="DQ31" i="54"/>
  <c r="K28" i="54"/>
  <c r="EI40" i="54"/>
  <c r="DZ40" i="54" s="1"/>
  <c r="EA40" i="54" s="1"/>
  <c r="EI36" i="54"/>
  <c r="DZ36" i="54" s="1"/>
  <c r="EA36" i="54" s="1"/>
  <c r="EI39" i="54"/>
  <c r="DZ39" i="54" s="1"/>
  <c r="EA39" i="54" s="1"/>
  <c r="EI34" i="54"/>
  <c r="DZ34" i="54" s="1"/>
  <c r="EA34" i="54" s="1"/>
  <c r="EI35" i="54"/>
  <c r="DZ35" i="54" s="1"/>
  <c r="EA35" i="54" s="1"/>
  <c r="EI37" i="54"/>
  <c r="DZ37" i="54" s="1"/>
  <c r="EA37" i="54" s="1"/>
  <c r="EI33" i="54"/>
  <c r="DZ33" i="54" s="1"/>
  <c r="EA33" i="54" s="1"/>
  <c r="EI29" i="54"/>
  <c r="DZ29" i="54" s="1"/>
  <c r="EI28" i="54"/>
  <c r="DZ28" i="54" s="1"/>
  <c r="EI30" i="54"/>
  <c r="DZ30" i="54" s="1"/>
  <c r="EI27" i="54"/>
  <c r="DZ27" i="54" s="1"/>
  <c r="EI26" i="54"/>
  <c r="DZ26" i="54" s="1"/>
  <c r="EI25" i="54"/>
  <c r="DZ25" i="54" s="1"/>
  <c r="EI24" i="54"/>
  <c r="DZ24" i="54" s="1"/>
  <c r="EI23" i="54"/>
  <c r="DZ23" i="54" s="1"/>
  <c r="EI38" i="54"/>
  <c r="DZ38" i="54" s="1"/>
  <c r="EA38" i="54" s="1"/>
  <c r="EI32" i="54"/>
  <c r="DZ32" i="54" s="1"/>
  <c r="EI31" i="54"/>
  <c r="DZ31" i="54" s="1"/>
  <c r="EJ19" i="54"/>
  <c r="EI21" i="54"/>
  <c r="DZ21" i="54" s="1"/>
  <c r="EA19" i="54"/>
  <c r="EI22" i="54"/>
  <c r="DZ22" i="54" s="1"/>
  <c r="DQ22" i="54"/>
  <c r="K19" i="54"/>
  <c r="F58" i="54"/>
  <c r="DQ26" i="54"/>
  <c r="K23" i="54"/>
  <c r="K18" i="54"/>
  <c r="DQ21" i="54"/>
  <c r="DQ23" i="54"/>
  <c r="K20" i="54"/>
  <c r="DQ28" i="54"/>
  <c r="K25" i="54"/>
  <c r="DQ30" i="54"/>
  <c r="K27" i="54"/>
  <c r="G76" i="54"/>
  <c r="F76" i="54" s="1"/>
  <c r="J76" i="54" s="1"/>
  <c r="AU37" i="54"/>
  <c r="AV36" i="54"/>
  <c r="DQ24" i="54"/>
  <c r="K21" i="54"/>
  <c r="DQ25" i="54"/>
  <c r="K22" i="54"/>
  <c r="F58" i="53"/>
  <c r="F57" i="53"/>
  <c r="J56" i="53" s="1"/>
  <c r="AU31" i="53"/>
  <c r="AV30" i="53"/>
  <c r="DQ24" i="53"/>
  <c r="K21" i="53"/>
  <c r="DQ26" i="53"/>
  <c r="K23" i="53"/>
  <c r="DQ28" i="53"/>
  <c r="K25" i="53"/>
  <c r="AN50" i="53"/>
  <c r="EI40" i="53"/>
  <c r="DZ40" i="53" s="1"/>
  <c r="EA40" i="53" s="1"/>
  <c r="EI38" i="53"/>
  <c r="DZ38" i="53" s="1"/>
  <c r="EA38" i="53" s="1"/>
  <c r="EI36" i="53"/>
  <c r="DZ36" i="53" s="1"/>
  <c r="EA36" i="53" s="1"/>
  <c r="EI39" i="53"/>
  <c r="DZ39" i="53" s="1"/>
  <c r="EA39" i="53" s="1"/>
  <c r="EI37" i="53"/>
  <c r="DZ37" i="53" s="1"/>
  <c r="EA37" i="53" s="1"/>
  <c r="EI33" i="53"/>
  <c r="DZ33" i="53" s="1"/>
  <c r="EA33" i="53" s="1"/>
  <c r="EI34" i="53"/>
  <c r="DZ34" i="53" s="1"/>
  <c r="EA34" i="53" s="1"/>
  <c r="EI35" i="53"/>
  <c r="DZ35" i="53" s="1"/>
  <c r="EA35" i="53" s="1"/>
  <c r="EI31" i="53"/>
  <c r="DZ31" i="53" s="1"/>
  <c r="EI32" i="53"/>
  <c r="DZ32" i="53" s="1"/>
  <c r="EI29" i="53"/>
  <c r="DZ29" i="53" s="1"/>
  <c r="EI30" i="53"/>
  <c r="DZ30" i="53" s="1"/>
  <c r="EI28" i="53"/>
  <c r="DZ28" i="53" s="1"/>
  <c r="EI27" i="53"/>
  <c r="DZ27" i="53" s="1"/>
  <c r="EI25" i="53"/>
  <c r="DZ25" i="53" s="1"/>
  <c r="EI24" i="53"/>
  <c r="DZ24" i="53" s="1"/>
  <c r="EI23" i="53"/>
  <c r="DZ23" i="53" s="1"/>
  <c r="EI22" i="53"/>
  <c r="DZ22" i="53" s="1"/>
  <c r="EJ19" i="53"/>
  <c r="EA19" i="53"/>
  <c r="EI26" i="53"/>
  <c r="DZ26" i="53" s="1"/>
  <c r="EI21" i="53"/>
  <c r="DZ21" i="53" s="1"/>
  <c r="DQ25" i="53"/>
  <c r="K22" i="53"/>
  <c r="DQ31" i="53"/>
  <c r="K28" i="53"/>
  <c r="K27" i="53"/>
  <c r="DQ30" i="53"/>
  <c r="DQ22" i="53"/>
  <c r="K19" i="53"/>
  <c r="K18" i="53"/>
  <c r="DQ21" i="53"/>
  <c r="DQ29" i="53"/>
  <c r="K26" i="53"/>
  <c r="DQ32" i="53"/>
  <c r="K29" i="53"/>
  <c r="DQ23" i="53"/>
  <c r="K20" i="53"/>
  <c r="DQ27" i="53"/>
  <c r="K24" i="53"/>
  <c r="AO49" i="53"/>
  <c r="AN49" i="53" s="1"/>
  <c r="AO58" i="53" s="1"/>
  <c r="DQ23" i="52"/>
  <c r="K20" i="52"/>
  <c r="K24" i="52"/>
  <c r="DQ27" i="52"/>
  <c r="DQ31" i="52"/>
  <c r="K28" i="52"/>
  <c r="AU30" i="52"/>
  <c r="AV29" i="52"/>
  <c r="K19" i="52"/>
  <c r="DQ22" i="52"/>
  <c r="K21" i="52"/>
  <c r="DQ24" i="52"/>
  <c r="K25" i="52"/>
  <c r="DQ28" i="52"/>
  <c r="DQ30" i="52"/>
  <c r="K27" i="52"/>
  <c r="EI36" i="52"/>
  <c r="DZ36" i="52" s="1"/>
  <c r="EA36" i="52" s="1"/>
  <c r="EI39" i="52"/>
  <c r="DZ39" i="52" s="1"/>
  <c r="EA39" i="52" s="1"/>
  <c r="EI37" i="52"/>
  <c r="DZ37" i="52" s="1"/>
  <c r="EA37" i="52" s="1"/>
  <c r="EI40" i="52"/>
  <c r="DZ40" i="52" s="1"/>
  <c r="EA40" i="52" s="1"/>
  <c r="EI34" i="52"/>
  <c r="DZ34" i="52" s="1"/>
  <c r="EA34" i="52" s="1"/>
  <c r="EI38" i="52"/>
  <c r="DZ38" i="52" s="1"/>
  <c r="EA38" i="52" s="1"/>
  <c r="EI32" i="52"/>
  <c r="DZ32" i="52" s="1"/>
  <c r="EI29" i="52"/>
  <c r="DZ29" i="52" s="1"/>
  <c r="EI33" i="52"/>
  <c r="DZ33" i="52" s="1"/>
  <c r="EA33" i="52" s="1"/>
  <c r="EI30" i="52"/>
  <c r="DZ30" i="52" s="1"/>
  <c r="EI35" i="52"/>
  <c r="DZ35" i="52" s="1"/>
  <c r="EA35" i="52" s="1"/>
  <c r="EI31" i="52"/>
  <c r="DZ31" i="52" s="1"/>
  <c r="EI25" i="52"/>
  <c r="DZ25" i="52" s="1"/>
  <c r="EA19" i="52"/>
  <c r="EI23" i="52"/>
  <c r="DZ23" i="52" s="1"/>
  <c r="EJ19" i="52"/>
  <c r="EI26" i="52"/>
  <c r="DZ26" i="52" s="1"/>
  <c r="EI22" i="52"/>
  <c r="DZ22" i="52" s="1"/>
  <c r="EI27" i="52"/>
  <c r="DZ27" i="52" s="1"/>
  <c r="EI21" i="52"/>
  <c r="DZ21" i="52" s="1"/>
  <c r="EI28" i="52"/>
  <c r="DZ28" i="52" s="1"/>
  <c r="EI24" i="52"/>
  <c r="DZ24" i="52" s="1"/>
  <c r="DQ25" i="52"/>
  <c r="K22" i="52"/>
  <c r="DQ32" i="52"/>
  <c r="K29" i="52"/>
  <c r="K18" i="52"/>
  <c r="DQ21" i="52"/>
  <c r="K23" i="52"/>
  <c r="DQ26" i="52"/>
  <c r="DQ29" i="52"/>
  <c r="K26" i="52"/>
  <c r="E77" i="52" s="1"/>
  <c r="AO50" i="52"/>
  <c r="AM50" i="52"/>
  <c r="AM49" i="52" s="1"/>
  <c r="BF22" i="46"/>
  <c r="BP22" i="46"/>
  <c r="BZ22" i="46"/>
  <c r="CJ25" i="46"/>
  <c r="BF26" i="46"/>
  <c r="BF27" i="46"/>
  <c r="CT27" i="46"/>
  <c r="FB27" i="46"/>
  <c r="HJ27" i="46"/>
  <c r="BP28" i="46"/>
  <c r="DD28" i="46"/>
  <c r="ER28" i="46"/>
  <c r="GF28" i="46"/>
  <c r="HT28" i="46"/>
  <c r="IN28" i="46"/>
  <c r="CJ29" i="46"/>
  <c r="BF30" i="46"/>
  <c r="CT30" i="46"/>
  <c r="ER30" i="46"/>
  <c r="GP30" i="46"/>
  <c r="ER31" i="46"/>
  <c r="FB31" i="46"/>
  <c r="FL31" i="46"/>
  <c r="FV32" i="46"/>
  <c r="GP32" i="46"/>
  <c r="HJ32" i="46"/>
  <c r="IN32" i="46"/>
  <c r="BG34" i="46"/>
  <c r="AX34" i="46" s="1"/>
  <c r="AY34" i="46" s="1"/>
  <c r="BP36" i="46"/>
  <c r="DN36" i="46"/>
  <c r="CJ38" i="46"/>
  <c r="CJ39" i="46"/>
  <c r="DX39" i="46"/>
  <c r="DX40" i="46"/>
  <c r="BF21" i="46"/>
  <c r="BZ21" i="46"/>
  <c r="CT21" i="46"/>
  <c r="DN21" i="46"/>
  <c r="EH21" i="46"/>
  <c r="FB21" i="46"/>
  <c r="FV21" i="46"/>
  <c r="GP21" i="46"/>
  <c r="HJ21" i="46"/>
  <c r="ID21" i="46"/>
  <c r="HJ22" i="46"/>
  <c r="ID22" i="46"/>
  <c r="BP23" i="46"/>
  <c r="DN23" i="46"/>
  <c r="FB23" i="46"/>
  <c r="GP23" i="46"/>
  <c r="ID23" i="46"/>
  <c r="AV24" i="46"/>
  <c r="BQ25" i="46"/>
  <c r="BH25" i="46" s="1"/>
  <c r="BI25" i="46" s="1"/>
  <c r="CJ27" i="46"/>
  <c r="ID27" i="46"/>
  <c r="BZ29" i="46"/>
  <c r="DX29" i="46"/>
  <c r="IN29" i="46"/>
  <c r="CT31" i="46"/>
  <c r="EH31" i="46"/>
  <c r="ID31" i="46"/>
  <c r="ER32" i="46"/>
  <c r="GF32" i="46"/>
  <c r="ID32" i="46"/>
  <c r="FL33" i="46"/>
  <c r="FL34" i="46"/>
  <c r="BG36" i="46"/>
  <c r="AX36" i="46" s="1"/>
  <c r="AY36" i="46" s="1"/>
  <c r="DD37" i="46"/>
  <c r="BZ38" i="46"/>
  <c r="BF39" i="46"/>
  <c r="BZ39" i="46"/>
  <c r="BZ40" i="46"/>
  <c r="DN40" i="46"/>
  <c r="FL40" i="46"/>
  <c r="DX22" i="46"/>
  <c r="GZ22" i="46"/>
  <c r="ER25" i="46"/>
  <c r="HT25" i="46"/>
  <c r="ER26" i="46"/>
  <c r="GF26" i="46"/>
  <c r="HT26" i="46"/>
  <c r="BZ27" i="46"/>
  <c r="EH27" i="46"/>
  <c r="FV27" i="46"/>
  <c r="FB29" i="46"/>
  <c r="GP29" i="46"/>
  <c r="ID29" i="46"/>
  <c r="BF31" i="46"/>
  <c r="HJ31" i="46"/>
  <c r="CT32" i="46"/>
  <c r="DD32" i="46"/>
  <c r="BQ33" i="46"/>
  <c r="BH33" i="46" s="1"/>
  <c r="BI33" i="46" s="1"/>
  <c r="DX33" i="46"/>
  <c r="BZ34" i="46"/>
  <c r="FB34" i="46"/>
  <c r="DN35" i="46"/>
  <c r="FL35" i="46"/>
  <c r="BF37" i="46"/>
  <c r="CT37" i="46"/>
  <c r="FB38" i="46"/>
  <c r="BQ40" i="46"/>
  <c r="BH40" i="46" s="1"/>
  <c r="DD40" i="46"/>
  <c r="C45" i="46"/>
  <c r="H50" i="46" s="1"/>
  <c r="EH22" i="46"/>
  <c r="FB22" i="46"/>
  <c r="BP24" i="46"/>
  <c r="DD24" i="46"/>
  <c r="ER24" i="46"/>
  <c r="GF24" i="46"/>
  <c r="HT24" i="46"/>
  <c r="CT25" i="46"/>
  <c r="DD29" i="46"/>
  <c r="FL29" i="46"/>
  <c r="FV29" i="46"/>
  <c r="GF29" i="46"/>
  <c r="ID30" i="46"/>
  <c r="IN30" i="46"/>
  <c r="BZ31" i="46"/>
  <c r="CJ31" i="46"/>
  <c r="HT31" i="46"/>
  <c r="IN31" i="46"/>
  <c r="BQ32" i="46"/>
  <c r="BH32" i="46" s="1"/>
  <c r="BI32" i="46" s="1"/>
  <c r="EH32" i="46"/>
  <c r="FL32" i="46"/>
  <c r="ER33" i="46"/>
  <c r="CJ34" i="46"/>
  <c r="EH34" i="46"/>
  <c r="CJ35" i="46"/>
  <c r="DD36" i="46"/>
  <c r="FB36" i="46"/>
  <c r="CJ37" i="46"/>
  <c r="ER37" i="46"/>
  <c r="BQ38" i="46"/>
  <c r="BH38" i="46" s="1"/>
  <c r="DX38" i="46"/>
  <c r="BG39" i="46"/>
  <c r="AX39" i="46" s="1"/>
  <c r="AY39" i="46" s="1"/>
  <c r="DN39" i="46"/>
  <c r="FL39" i="46"/>
  <c r="CT40" i="46"/>
  <c r="ER40" i="46"/>
  <c r="FV22" i="46"/>
  <c r="GF22" i="46"/>
  <c r="GP22" i="46"/>
  <c r="BZ24" i="46"/>
  <c r="DN24" i="46"/>
  <c r="FB24" i="46"/>
  <c r="GP24" i="46"/>
  <c r="ID24" i="46"/>
  <c r="BF25" i="46"/>
  <c r="BP25" i="46"/>
  <c r="EH25" i="46"/>
  <c r="GZ25" i="46"/>
  <c r="BG26" i="46"/>
  <c r="AX26" i="46" s="1"/>
  <c r="AY26" i="46" s="1"/>
  <c r="BZ26" i="46"/>
  <c r="BG29" i="46"/>
  <c r="AX29" i="46" s="1"/>
  <c r="AY29" i="46" s="1"/>
  <c r="GZ29" i="46"/>
  <c r="HJ29" i="46"/>
  <c r="HT29" i="46"/>
  <c r="DD31" i="46"/>
  <c r="DN31" i="46"/>
  <c r="DX31" i="46"/>
  <c r="BP32" i="46"/>
  <c r="FB32" i="46"/>
  <c r="GZ32" i="46"/>
  <c r="BG33" i="46"/>
  <c r="AX33" i="46" s="1"/>
  <c r="AY33" i="46" s="1"/>
  <c r="BP33" i="46"/>
  <c r="EH33" i="46"/>
  <c r="DX34" i="46"/>
  <c r="BQ35" i="46"/>
  <c r="BH35" i="46" s="1"/>
  <c r="BI35" i="46" s="1"/>
  <c r="BZ35" i="46"/>
  <c r="DX35" i="46"/>
  <c r="BF36" i="46"/>
  <c r="BQ36" i="46"/>
  <c r="BH36" i="46" s="1"/>
  <c r="BI36" i="46" s="1"/>
  <c r="DX37" i="46"/>
  <c r="DD38" i="46"/>
  <c r="FL38" i="46"/>
  <c r="DD39" i="46"/>
  <c r="FB39" i="46"/>
  <c r="CJ40" i="46"/>
  <c r="EH40" i="46"/>
  <c r="BZ36" i="46"/>
  <c r="BG37" i="46"/>
  <c r="AX37" i="46" s="1"/>
  <c r="AY37" i="46" s="1"/>
  <c r="BP37" i="46"/>
  <c r="FL37" i="46"/>
  <c r="ER38" i="46"/>
  <c r="ER39" i="46"/>
  <c r="BQ21" i="46"/>
  <c r="BH21" i="46" s="1"/>
  <c r="DD21" i="46"/>
  <c r="ER21" i="46"/>
  <c r="GF21" i="46"/>
  <c r="HT21" i="46"/>
  <c r="CT22" i="46"/>
  <c r="DD22" i="46"/>
  <c r="DN22" i="46"/>
  <c r="CJ23" i="46"/>
  <c r="DX23" i="46"/>
  <c r="FL23" i="46"/>
  <c r="GZ23" i="46"/>
  <c r="IN23" i="46"/>
  <c r="BG24" i="46"/>
  <c r="AX24" i="46" s="1"/>
  <c r="AY24" i="46" s="1"/>
  <c r="DX25" i="46"/>
  <c r="HJ25" i="46"/>
  <c r="BQ26" i="46"/>
  <c r="BH26" i="46" s="1"/>
  <c r="BI26" i="46" s="1"/>
  <c r="CJ26" i="46"/>
  <c r="BQ27" i="46"/>
  <c r="BH27" i="46" s="1"/>
  <c r="BI27" i="46" s="1"/>
  <c r="BF29" i="46"/>
  <c r="CT29" i="46"/>
  <c r="EH29" i="46"/>
  <c r="ER29" i="46"/>
  <c r="GZ30" i="46"/>
  <c r="HJ30" i="46"/>
  <c r="BP31" i="46"/>
  <c r="GF31" i="46"/>
  <c r="GP31" i="46"/>
  <c r="GZ31" i="46"/>
  <c r="DX32" i="46"/>
  <c r="DD33" i="46"/>
  <c r="CT34" i="46"/>
  <c r="BP40" i="46"/>
  <c r="BS24" i="46"/>
  <c r="F21" i="46"/>
  <c r="B23" i="46"/>
  <c r="BQ22" i="46"/>
  <c r="BH22" i="46" s="1"/>
  <c r="BG23" i="46"/>
  <c r="AX23" i="46" s="1"/>
  <c r="BP29" i="46"/>
  <c r="BQ29" i="46"/>
  <c r="BH29" i="46" s="1"/>
  <c r="CA39" i="46"/>
  <c r="BR39" i="46" s="1"/>
  <c r="CA37" i="46"/>
  <c r="BR37" i="46" s="1"/>
  <c r="CA40" i="46"/>
  <c r="BR40" i="46" s="1"/>
  <c r="CA38" i="46"/>
  <c r="BR38" i="46" s="1"/>
  <c r="CA36" i="46"/>
  <c r="BR36" i="46" s="1"/>
  <c r="CA33" i="46"/>
  <c r="BR33" i="46" s="1"/>
  <c r="CA34" i="46"/>
  <c r="BR34" i="46" s="1"/>
  <c r="CA31" i="46"/>
  <c r="BR31" i="46" s="1"/>
  <c r="CA27" i="46"/>
  <c r="BR27" i="46" s="1"/>
  <c r="CA32" i="46"/>
  <c r="BR32" i="46" s="1"/>
  <c r="CA35" i="46"/>
  <c r="BR35" i="46" s="1"/>
  <c r="CA26" i="46"/>
  <c r="BR26" i="46" s="1"/>
  <c r="CA30" i="46"/>
  <c r="BR30" i="46" s="1"/>
  <c r="CA29" i="46"/>
  <c r="BR29" i="46" s="1"/>
  <c r="CB19" i="46"/>
  <c r="CA28" i="46"/>
  <c r="BR28" i="46" s="1"/>
  <c r="CA25" i="46"/>
  <c r="BR25" i="46" s="1"/>
  <c r="CA22" i="46"/>
  <c r="BR22" i="46" s="1"/>
  <c r="BS19" i="46"/>
  <c r="BG21" i="46"/>
  <c r="AX21" i="46" s="1"/>
  <c r="BP21" i="46"/>
  <c r="CJ21" i="46"/>
  <c r="DX21" i="46"/>
  <c r="FL21" i="46"/>
  <c r="GZ21" i="46"/>
  <c r="IN21" i="46"/>
  <c r="BQ23" i="46"/>
  <c r="BH23" i="46" s="1"/>
  <c r="CA21" i="46"/>
  <c r="BR21" i="46" s="1"/>
  <c r="BG22" i="46"/>
  <c r="AX22" i="46" s="1"/>
  <c r="CA23" i="46"/>
  <c r="BR23" i="46" s="1"/>
  <c r="BQ24" i="46"/>
  <c r="BH24" i="46" s="1"/>
  <c r="BP30" i="46"/>
  <c r="BQ30" i="46"/>
  <c r="BH30" i="46" s="1"/>
  <c r="BI31" i="46"/>
  <c r="CT23" i="46"/>
  <c r="EH23" i="46"/>
  <c r="FV23" i="46"/>
  <c r="HJ23" i="46"/>
  <c r="CJ24" i="46"/>
  <c r="DX24" i="46"/>
  <c r="FL24" i="46"/>
  <c r="GZ24" i="46"/>
  <c r="IN24" i="46"/>
  <c r="AV25" i="46"/>
  <c r="AU26" i="46"/>
  <c r="BP26" i="46"/>
  <c r="DD26" i="46"/>
  <c r="DN26" i="46"/>
  <c r="EH26" i="46"/>
  <c r="FB26" i="46"/>
  <c r="FV26" i="46"/>
  <c r="GP26" i="46"/>
  <c r="HJ26" i="46"/>
  <c r="ID26" i="46"/>
  <c r="BF32" i="46"/>
  <c r="BG32" i="46"/>
  <c r="AX32" i="46" s="1"/>
  <c r="BZ25" i="46"/>
  <c r="DN25" i="46"/>
  <c r="FB25" i="46"/>
  <c r="GP25" i="46"/>
  <c r="ID25" i="46"/>
  <c r="DX26" i="46"/>
  <c r="FL26" i="46"/>
  <c r="GZ26" i="46"/>
  <c r="IN26" i="46"/>
  <c r="BG27" i="46"/>
  <c r="AX27" i="46" s="1"/>
  <c r="BF28" i="46"/>
  <c r="BG28" i="46"/>
  <c r="AX28" i="46" s="1"/>
  <c r="BQ28" i="46"/>
  <c r="BH28" i="46" s="1"/>
  <c r="BZ28" i="46"/>
  <c r="CT28" i="46"/>
  <c r="DN28" i="46"/>
  <c r="EH28" i="46"/>
  <c r="FB28" i="46"/>
  <c r="FV28" i="46"/>
  <c r="GP28" i="46"/>
  <c r="HJ28" i="46"/>
  <c r="ID28" i="46"/>
  <c r="BP27" i="46"/>
  <c r="DD27" i="46"/>
  <c r="ER27" i="46"/>
  <c r="GF27" i="46"/>
  <c r="HT27" i="46"/>
  <c r="BZ30" i="46"/>
  <c r="DN30" i="46"/>
  <c r="FB30" i="46"/>
  <c r="BI40" i="46"/>
  <c r="BG30" i="46"/>
  <c r="AX30" i="46" s="1"/>
  <c r="CJ30" i="46"/>
  <c r="DX30" i="46"/>
  <c r="AY40" i="46"/>
  <c r="DN33" i="46"/>
  <c r="FB33" i="46"/>
  <c r="BQ34" i="46"/>
  <c r="BH34" i="46" s="1"/>
  <c r="DD34" i="46"/>
  <c r="ER34" i="46"/>
  <c r="BG35" i="46"/>
  <c r="AX35" i="46" s="1"/>
  <c r="CT35" i="46"/>
  <c r="EH35" i="46"/>
  <c r="CJ36" i="46"/>
  <c r="BI38" i="46"/>
  <c r="BP39" i="46"/>
  <c r="BQ39" i="46"/>
  <c r="BH39" i="46" s="1"/>
  <c r="BZ33" i="46"/>
  <c r="BP34" i="46"/>
  <c r="BF35" i="46"/>
  <c r="EH36" i="46"/>
  <c r="BF34" i="46"/>
  <c r="DX36" i="46"/>
  <c r="BQ37" i="46"/>
  <c r="BH37" i="46" s="1"/>
  <c r="FL36" i="46"/>
  <c r="BZ37" i="46"/>
  <c r="DN37" i="46"/>
  <c r="FB37" i="46"/>
  <c r="BG38" i="46"/>
  <c r="AX38" i="46" s="1"/>
  <c r="CT38" i="46"/>
  <c r="EH38" i="46"/>
  <c r="BP38" i="46"/>
  <c r="BF38" i="46"/>
  <c r="BF40" i="46"/>
  <c r="E58" i="52" l="1"/>
  <c r="E56" i="52"/>
  <c r="E75" i="52"/>
  <c r="E76" i="52" s="1"/>
  <c r="BI21" i="46"/>
  <c r="F11" i="1"/>
  <c r="H24" i="1"/>
  <c r="AB72" i="55"/>
  <c r="AB80" i="55" s="1"/>
  <c r="D83" i="55"/>
  <c r="D87" i="55" s="1"/>
  <c r="D89" i="55" s="1"/>
  <c r="P9" i="55" s="1"/>
  <c r="I83" i="53"/>
  <c r="I86" i="53" s="1"/>
  <c r="I83" i="54"/>
  <c r="I85" i="54" s="1"/>
  <c r="I83" i="55"/>
  <c r="D83" i="53"/>
  <c r="D85" i="53" s="1"/>
  <c r="P6" i="53" s="1"/>
  <c r="D83" i="54"/>
  <c r="D85" i="54" s="1"/>
  <c r="AB81" i="56"/>
  <c r="P11" i="56" s="1"/>
  <c r="AB72" i="53"/>
  <c r="AO58" i="54"/>
  <c r="AB72" i="54" s="1"/>
  <c r="AO54" i="52"/>
  <c r="AN54" i="52" s="1"/>
  <c r="AO59" i="52" s="1"/>
  <c r="AN55" i="52"/>
  <c r="E22" i="46"/>
  <c r="EA21" i="55"/>
  <c r="L18" i="55"/>
  <c r="EA28" i="55"/>
  <c r="L25" i="55"/>
  <c r="EA22" i="55"/>
  <c r="L19" i="55"/>
  <c r="EA31" i="55"/>
  <c r="L28" i="55"/>
  <c r="EA29" i="55"/>
  <c r="L26" i="55"/>
  <c r="EA25" i="55"/>
  <c r="L22" i="55"/>
  <c r="EA23" i="55"/>
  <c r="L20" i="55"/>
  <c r="EA30" i="55"/>
  <c r="L27" i="55"/>
  <c r="ES40" i="55"/>
  <c r="EJ40" i="55" s="1"/>
  <c r="EK40" i="55" s="1"/>
  <c r="ES38" i="55"/>
  <c r="EJ38" i="55" s="1"/>
  <c r="EK38" i="55" s="1"/>
  <c r="ES36" i="55"/>
  <c r="EJ36" i="55" s="1"/>
  <c r="EK36" i="55" s="1"/>
  <c r="ES33" i="55"/>
  <c r="EJ33" i="55" s="1"/>
  <c r="EK33" i="55" s="1"/>
  <c r="ES39" i="55"/>
  <c r="EJ39" i="55" s="1"/>
  <c r="EK39" i="55" s="1"/>
  <c r="ES37" i="55"/>
  <c r="EJ37" i="55" s="1"/>
  <c r="EK37" i="55" s="1"/>
  <c r="ES35" i="55"/>
  <c r="EJ35" i="55" s="1"/>
  <c r="EK35" i="55" s="1"/>
  <c r="ES34" i="55"/>
  <c r="EJ34" i="55" s="1"/>
  <c r="EK34" i="55" s="1"/>
  <c r="ES30" i="55"/>
  <c r="EJ30" i="55" s="1"/>
  <c r="ES31" i="55"/>
  <c r="EJ31" i="55" s="1"/>
  <c r="ES29" i="55"/>
  <c r="EJ29" i="55" s="1"/>
  <c r="ES28" i="55"/>
  <c r="EJ28" i="55" s="1"/>
  <c r="ES27" i="55"/>
  <c r="EJ27" i="55" s="1"/>
  <c r="ES26" i="55"/>
  <c r="EJ26" i="55" s="1"/>
  <c r="ES25" i="55"/>
  <c r="EJ25" i="55" s="1"/>
  <c r="ES24" i="55"/>
  <c r="EJ24" i="55" s="1"/>
  <c r="ES32" i="55"/>
  <c r="EJ32" i="55" s="1"/>
  <c r="ES23" i="55"/>
  <c r="EJ23" i="55" s="1"/>
  <c r="ES21" i="55"/>
  <c r="EJ21" i="55" s="1"/>
  <c r="EK19" i="55"/>
  <c r="ES22" i="55"/>
  <c r="EJ22" i="55" s="1"/>
  <c r="ET19" i="55"/>
  <c r="EA26" i="55"/>
  <c r="L23" i="55"/>
  <c r="EA32" i="55"/>
  <c r="L29" i="55"/>
  <c r="AU33" i="55"/>
  <c r="AV32" i="55"/>
  <c r="EA24" i="55"/>
  <c r="L21" i="55"/>
  <c r="EA27" i="55"/>
  <c r="L24" i="55"/>
  <c r="EA25" i="54"/>
  <c r="L22" i="54"/>
  <c r="EA28" i="54"/>
  <c r="L25" i="54"/>
  <c r="EA21" i="54"/>
  <c r="L18" i="54"/>
  <c r="EA26" i="54"/>
  <c r="L23" i="54"/>
  <c r="EA29" i="54"/>
  <c r="L26" i="54"/>
  <c r="ES40" i="54"/>
  <c r="EJ40" i="54" s="1"/>
  <c r="EK40" i="54" s="1"/>
  <c r="ES38" i="54"/>
  <c r="EJ38" i="54" s="1"/>
  <c r="EK38" i="54" s="1"/>
  <c r="ES39" i="54"/>
  <c r="EJ39" i="54" s="1"/>
  <c r="EK39" i="54" s="1"/>
  <c r="ES37" i="54"/>
  <c r="EJ37" i="54" s="1"/>
  <c r="EK37" i="54" s="1"/>
  <c r="ES34" i="54"/>
  <c r="EJ34" i="54" s="1"/>
  <c r="EK34" i="54" s="1"/>
  <c r="ES32" i="54"/>
  <c r="EJ32" i="54" s="1"/>
  <c r="ES33" i="54"/>
  <c r="EJ33" i="54" s="1"/>
  <c r="EK33" i="54" s="1"/>
  <c r="ES29" i="54"/>
  <c r="EJ29" i="54" s="1"/>
  <c r="ES28" i="54"/>
  <c r="EJ28" i="54" s="1"/>
  <c r="ES35" i="54"/>
  <c r="EJ35" i="54" s="1"/>
  <c r="EK35" i="54" s="1"/>
  <c r="ES36" i="54"/>
  <c r="EJ36" i="54" s="1"/>
  <c r="EK36" i="54" s="1"/>
  <c r="ES27" i="54"/>
  <c r="EJ27" i="54" s="1"/>
  <c r="ES26" i="54"/>
  <c r="EJ26" i="54" s="1"/>
  <c r="ES25" i="54"/>
  <c r="EJ25" i="54" s="1"/>
  <c r="ES24" i="54"/>
  <c r="EJ24" i="54" s="1"/>
  <c r="ES31" i="54"/>
  <c r="EJ31" i="54" s="1"/>
  <c r="ES22" i="54"/>
  <c r="EJ22" i="54" s="1"/>
  <c r="ET19" i="54"/>
  <c r="ES30" i="54"/>
  <c r="EJ30" i="54" s="1"/>
  <c r="ES23" i="54"/>
  <c r="EJ23" i="54" s="1"/>
  <c r="EK19" i="54"/>
  <c r="ES21" i="54"/>
  <c r="EJ21" i="54" s="1"/>
  <c r="EA23" i="54"/>
  <c r="L20" i="54"/>
  <c r="EA27" i="54"/>
  <c r="L24" i="54"/>
  <c r="AV37" i="54"/>
  <c r="AU38" i="54"/>
  <c r="EA32" i="54"/>
  <c r="L29" i="54"/>
  <c r="EA22" i="54"/>
  <c r="L19" i="54"/>
  <c r="L28" i="54"/>
  <c r="EA31" i="54"/>
  <c r="EA24" i="54"/>
  <c r="L21" i="54"/>
  <c r="EA30" i="54"/>
  <c r="L27" i="54"/>
  <c r="EA21" i="53"/>
  <c r="L18" i="53"/>
  <c r="EA22" i="53"/>
  <c r="L19" i="53"/>
  <c r="EA27" i="53"/>
  <c r="L24" i="53"/>
  <c r="L29" i="53"/>
  <c r="EA32" i="53"/>
  <c r="EA26" i="53"/>
  <c r="L23" i="53"/>
  <c r="EA23" i="53"/>
  <c r="L20" i="53"/>
  <c r="EA28" i="53"/>
  <c r="L25" i="53"/>
  <c r="EA31" i="53"/>
  <c r="L28" i="53"/>
  <c r="EA24" i="53"/>
  <c r="L21" i="53"/>
  <c r="EA30" i="53"/>
  <c r="L27" i="53"/>
  <c r="AU32" i="53"/>
  <c r="AV31" i="53"/>
  <c r="ES40" i="53"/>
  <c r="EJ40" i="53" s="1"/>
  <c r="EK40" i="53" s="1"/>
  <c r="ES38" i="53"/>
  <c r="EJ38" i="53" s="1"/>
  <c r="EK38" i="53" s="1"/>
  <c r="ES36" i="53"/>
  <c r="EJ36" i="53" s="1"/>
  <c r="EK36" i="53" s="1"/>
  <c r="ES39" i="53"/>
  <c r="EJ39" i="53" s="1"/>
  <c r="EK39" i="53" s="1"/>
  <c r="ES33" i="53"/>
  <c r="EJ33" i="53" s="1"/>
  <c r="EK33" i="53" s="1"/>
  <c r="ES37" i="53"/>
  <c r="EJ37" i="53" s="1"/>
  <c r="EK37" i="53" s="1"/>
  <c r="ES34" i="53"/>
  <c r="EJ34" i="53" s="1"/>
  <c r="EK34" i="53" s="1"/>
  <c r="ES30" i="53"/>
  <c r="EJ30" i="53" s="1"/>
  <c r="ES31" i="53"/>
  <c r="EJ31" i="53" s="1"/>
  <c r="ES35" i="53"/>
  <c r="EJ35" i="53" s="1"/>
  <c r="EK35" i="53" s="1"/>
  <c r="ES32" i="53"/>
  <c r="EJ32" i="53" s="1"/>
  <c r="ES28" i="53"/>
  <c r="EJ28" i="53" s="1"/>
  <c r="ES27" i="53"/>
  <c r="EJ27" i="53" s="1"/>
  <c r="ES26" i="53"/>
  <c r="EJ26" i="53" s="1"/>
  <c r="ES29" i="53"/>
  <c r="EJ29" i="53" s="1"/>
  <c r="ES21" i="53"/>
  <c r="EJ21" i="53" s="1"/>
  <c r="EK19" i="53"/>
  <c r="ES25" i="53"/>
  <c r="EJ25" i="53" s="1"/>
  <c r="ES24" i="53"/>
  <c r="EJ24" i="53" s="1"/>
  <c r="ES23" i="53"/>
  <c r="EJ23" i="53" s="1"/>
  <c r="ES22" i="53"/>
  <c r="EJ22" i="53" s="1"/>
  <c r="ET19" i="53"/>
  <c r="EA25" i="53"/>
  <c r="L22" i="53"/>
  <c r="EA29" i="53"/>
  <c r="L26" i="53"/>
  <c r="AN50" i="52"/>
  <c r="EA28" i="52"/>
  <c r="L25" i="52"/>
  <c r="EA26" i="52"/>
  <c r="L23" i="52"/>
  <c r="EA25" i="52"/>
  <c r="L22" i="52"/>
  <c r="AO49" i="52"/>
  <c r="AN49" i="52" s="1"/>
  <c r="AO58" i="52" s="1"/>
  <c r="L18" i="52"/>
  <c r="EA21" i="52"/>
  <c r="ES40" i="52"/>
  <c r="EJ40" i="52" s="1"/>
  <c r="EK40" i="52" s="1"/>
  <c r="ES38" i="52"/>
  <c r="EJ38" i="52" s="1"/>
  <c r="EK38" i="52" s="1"/>
  <c r="ES39" i="52"/>
  <c r="EJ39" i="52" s="1"/>
  <c r="EK39" i="52" s="1"/>
  <c r="ES37" i="52"/>
  <c r="EJ37" i="52" s="1"/>
  <c r="EK37" i="52" s="1"/>
  <c r="ES36" i="52"/>
  <c r="EJ36" i="52" s="1"/>
  <c r="EK36" i="52" s="1"/>
  <c r="ES33" i="52"/>
  <c r="EJ33" i="52" s="1"/>
  <c r="EK33" i="52" s="1"/>
  <c r="ES35" i="52"/>
  <c r="EJ35" i="52" s="1"/>
  <c r="EK35" i="52" s="1"/>
  <c r="ES31" i="52"/>
  <c r="EJ31" i="52" s="1"/>
  <c r="ES32" i="52"/>
  <c r="EJ32" i="52" s="1"/>
  <c r="ES34" i="52"/>
  <c r="EJ34" i="52" s="1"/>
  <c r="EK34" i="52" s="1"/>
  <c r="ES30" i="52"/>
  <c r="EJ30" i="52" s="1"/>
  <c r="ES28" i="52"/>
  <c r="EJ28" i="52" s="1"/>
  <c r="ES27" i="52"/>
  <c r="EJ27" i="52" s="1"/>
  <c r="ES26" i="52"/>
  <c r="EJ26" i="52" s="1"/>
  <c r="ES25" i="52"/>
  <c r="EJ25" i="52" s="1"/>
  <c r="ES24" i="52"/>
  <c r="EJ24" i="52" s="1"/>
  <c r="ES22" i="52"/>
  <c r="EJ22" i="52" s="1"/>
  <c r="ES29" i="52"/>
  <c r="EJ29" i="52" s="1"/>
  <c r="ES23" i="52"/>
  <c r="EJ23" i="52" s="1"/>
  <c r="ET19" i="52"/>
  <c r="ES21" i="52"/>
  <c r="EJ21" i="52" s="1"/>
  <c r="EK19" i="52"/>
  <c r="EA31" i="52"/>
  <c r="L28" i="52"/>
  <c r="L26" i="52"/>
  <c r="EA29" i="52"/>
  <c r="EA27" i="52"/>
  <c r="L24" i="52"/>
  <c r="EA23" i="52"/>
  <c r="L20" i="52"/>
  <c r="EA32" i="52"/>
  <c r="L29" i="52"/>
  <c r="AV30" i="52"/>
  <c r="AU31" i="52"/>
  <c r="EA24" i="52"/>
  <c r="L21" i="52"/>
  <c r="EA22" i="52"/>
  <c r="L19" i="52"/>
  <c r="EA30" i="52"/>
  <c r="L27" i="52"/>
  <c r="G12" i="46"/>
  <c r="D12" i="46"/>
  <c r="C44" i="46"/>
  <c r="BI39" i="46"/>
  <c r="AY32" i="46"/>
  <c r="BI24" i="46"/>
  <c r="E21" i="46"/>
  <c r="AY22" i="46"/>
  <c r="AY21" i="46"/>
  <c r="BS28" i="46"/>
  <c r="BS26" i="46"/>
  <c r="F23" i="46"/>
  <c r="BS31" i="46"/>
  <c r="BS38" i="46"/>
  <c r="AY23" i="46"/>
  <c r="AY35" i="46"/>
  <c r="BS21" i="46"/>
  <c r="F18" i="46"/>
  <c r="E20" i="46"/>
  <c r="BI23" i="46"/>
  <c r="CK39" i="46"/>
  <c r="CB39" i="46" s="1"/>
  <c r="CK37" i="46"/>
  <c r="CB37" i="46" s="1"/>
  <c r="CK40" i="46"/>
  <c r="CB40" i="46" s="1"/>
  <c r="CK35" i="46"/>
  <c r="CB35" i="46" s="1"/>
  <c r="CK38" i="46"/>
  <c r="CB38" i="46" s="1"/>
  <c r="CK36" i="46"/>
  <c r="CB36" i="46" s="1"/>
  <c r="CK33" i="46"/>
  <c r="CB33" i="46" s="1"/>
  <c r="CK30" i="46"/>
  <c r="CB30" i="46" s="1"/>
  <c r="CK31" i="46"/>
  <c r="CB31" i="46" s="1"/>
  <c r="CK34" i="46"/>
  <c r="CB34" i="46" s="1"/>
  <c r="CK32" i="46"/>
  <c r="CB32" i="46" s="1"/>
  <c r="CK29" i="46"/>
  <c r="CB29" i="46" s="1"/>
  <c r="CK25" i="46"/>
  <c r="CB25" i="46" s="1"/>
  <c r="CK27" i="46"/>
  <c r="CB27" i="46" s="1"/>
  <c r="CK26" i="46"/>
  <c r="CB26" i="46" s="1"/>
  <c r="CK21" i="46"/>
  <c r="CB21" i="46" s="1"/>
  <c r="CK28" i="46"/>
  <c r="CB28" i="46" s="1"/>
  <c r="CK24" i="46"/>
  <c r="CB24" i="46" s="1"/>
  <c r="CK23" i="46"/>
  <c r="CB23" i="46" s="1"/>
  <c r="CK22" i="46"/>
  <c r="CB22" i="46" s="1"/>
  <c r="CL19" i="46"/>
  <c r="CC19" i="46"/>
  <c r="BS35" i="46"/>
  <c r="BS34" i="46"/>
  <c r="BS40" i="46"/>
  <c r="BI22" i="46"/>
  <c r="E19" i="46"/>
  <c r="AY30" i="46"/>
  <c r="AY27" i="46"/>
  <c r="BS22" i="46"/>
  <c r="F19" i="46"/>
  <c r="BS29" i="46"/>
  <c r="BS32" i="46"/>
  <c r="BS33" i="46"/>
  <c r="BS37" i="46"/>
  <c r="BI29" i="46"/>
  <c r="BI37" i="46"/>
  <c r="BI34" i="46"/>
  <c r="AY28" i="46"/>
  <c r="BI30" i="46"/>
  <c r="AY38" i="46"/>
  <c r="BI28" i="46"/>
  <c r="AV26" i="46"/>
  <c r="AU27" i="46"/>
  <c r="F20" i="46"/>
  <c r="BS23" i="46"/>
  <c r="BS25" i="46"/>
  <c r="F22" i="46"/>
  <c r="BS30" i="46"/>
  <c r="BS27" i="46"/>
  <c r="BS36" i="46"/>
  <c r="BS39" i="46"/>
  <c r="C64" i="46"/>
  <c r="B24" i="46"/>
  <c r="E23" i="46"/>
  <c r="N11" i="1"/>
  <c r="C10" i="1"/>
  <c r="E16" i="68" l="1"/>
  <c r="E15" i="68"/>
  <c r="C5" i="64"/>
  <c r="B15" i="6"/>
  <c r="C15" i="6"/>
  <c r="V83" i="46"/>
  <c r="AB77" i="46" s="1"/>
  <c r="S83" i="46"/>
  <c r="AB76" i="46" s="1"/>
  <c r="H11" i="1"/>
  <c r="E16" i="6" s="1"/>
  <c r="E57" i="52"/>
  <c r="G77" i="52"/>
  <c r="F77" i="52" s="1"/>
  <c r="G58" i="52"/>
  <c r="F58" i="52" s="1"/>
  <c r="G56" i="52"/>
  <c r="G75" i="52"/>
  <c r="D85" i="55"/>
  <c r="P6" i="55" s="1"/>
  <c r="H13" i="1"/>
  <c r="D15" i="6"/>
  <c r="P5" i="55"/>
  <c r="P11" i="60"/>
  <c r="P12" i="60"/>
  <c r="P11" i="57"/>
  <c r="P12" i="57"/>
  <c r="AN47" i="46"/>
  <c r="D50" i="46"/>
  <c r="D51" i="46" s="1"/>
  <c r="AB81" i="55"/>
  <c r="P11" i="55" s="1"/>
  <c r="P12" i="55"/>
  <c r="D13" i="46"/>
  <c r="P10" i="46" s="1"/>
  <c r="AB80" i="54"/>
  <c r="P12" i="54" s="1"/>
  <c r="AB80" i="53"/>
  <c r="I86" i="54"/>
  <c r="I88" i="54" s="1"/>
  <c r="I85" i="53"/>
  <c r="I86" i="55"/>
  <c r="I85" i="55"/>
  <c r="I88" i="53"/>
  <c r="I87" i="53"/>
  <c r="P7" i="55"/>
  <c r="D88" i="55"/>
  <c r="P8" i="55" s="1"/>
  <c r="AB72" i="52"/>
  <c r="D87" i="53"/>
  <c r="D89" i="53" s="1"/>
  <c r="P9" i="53" s="1"/>
  <c r="P5" i="53"/>
  <c r="H69" i="46"/>
  <c r="AL53" i="46" s="1"/>
  <c r="AL54" i="46"/>
  <c r="AL49" i="46"/>
  <c r="C63" i="46"/>
  <c r="EK22" i="55"/>
  <c r="M19" i="55"/>
  <c r="EK32" i="55"/>
  <c r="M29" i="55"/>
  <c r="M24" i="55"/>
  <c r="EK27" i="55"/>
  <c r="M27" i="55"/>
  <c r="EK30" i="55"/>
  <c r="EK24" i="55"/>
  <c r="M21" i="55"/>
  <c r="M25" i="55"/>
  <c r="EK28" i="55"/>
  <c r="AU34" i="55"/>
  <c r="AV33" i="55"/>
  <c r="EK21" i="55"/>
  <c r="M18" i="55"/>
  <c r="EK25" i="55"/>
  <c r="M22" i="55"/>
  <c r="M26" i="55"/>
  <c r="EK29" i="55"/>
  <c r="FC39" i="55"/>
  <c r="ET39" i="55" s="1"/>
  <c r="EU39" i="55" s="1"/>
  <c r="FC37" i="55"/>
  <c r="ET37" i="55" s="1"/>
  <c r="EU37" i="55" s="1"/>
  <c r="FC40" i="55"/>
  <c r="ET40" i="55" s="1"/>
  <c r="EU40" i="55" s="1"/>
  <c r="FC38" i="55"/>
  <c r="ET38" i="55" s="1"/>
  <c r="EU38" i="55" s="1"/>
  <c r="FC32" i="55"/>
  <c r="ET32" i="55" s="1"/>
  <c r="EU32" i="55" s="1"/>
  <c r="FC34" i="55"/>
  <c r="ET34" i="55" s="1"/>
  <c r="EU34" i="55" s="1"/>
  <c r="FC31" i="55"/>
  <c r="ET31" i="55" s="1"/>
  <c r="EU31" i="55" s="1"/>
  <c r="FC33" i="55"/>
  <c r="ET33" i="55" s="1"/>
  <c r="EU33" i="55" s="1"/>
  <c r="FC36" i="55"/>
  <c r="ET36" i="55" s="1"/>
  <c r="EU36" i="55" s="1"/>
  <c r="FC35" i="55"/>
  <c r="ET35" i="55" s="1"/>
  <c r="EU35" i="55" s="1"/>
  <c r="FC30" i="55"/>
  <c r="ET30" i="55" s="1"/>
  <c r="EU30" i="55" s="1"/>
  <c r="FC29" i="55"/>
  <c r="ET29" i="55" s="1"/>
  <c r="EU29" i="55" s="1"/>
  <c r="FC28" i="55"/>
  <c r="ET28" i="55" s="1"/>
  <c r="EU28" i="55" s="1"/>
  <c r="FC27" i="55"/>
  <c r="ET27" i="55" s="1"/>
  <c r="EU27" i="55" s="1"/>
  <c r="FC26" i="55"/>
  <c r="ET26" i="55" s="1"/>
  <c r="EU26" i="55" s="1"/>
  <c r="FC25" i="55"/>
  <c r="ET25" i="55" s="1"/>
  <c r="EU25" i="55" s="1"/>
  <c r="FC24" i="55"/>
  <c r="ET24" i="55" s="1"/>
  <c r="EU24" i="55" s="1"/>
  <c r="FC23" i="55"/>
  <c r="ET23" i="55" s="1"/>
  <c r="EU23" i="55" s="1"/>
  <c r="FC21" i="55"/>
  <c r="ET21" i="55" s="1"/>
  <c r="EU21" i="55" s="1"/>
  <c r="FD19" i="55"/>
  <c r="FC22" i="55"/>
  <c r="ET22" i="55" s="1"/>
  <c r="EU22" i="55" s="1"/>
  <c r="EU19" i="55"/>
  <c r="EK23" i="55"/>
  <c r="M20" i="55"/>
  <c r="EK26" i="55"/>
  <c r="M23" i="55"/>
  <c r="EK31" i="55"/>
  <c r="M28" i="55"/>
  <c r="M23" i="54"/>
  <c r="EK26" i="54"/>
  <c r="P6" i="54"/>
  <c r="P5" i="54"/>
  <c r="D87" i="54"/>
  <c r="M25" i="54"/>
  <c r="EK28" i="54"/>
  <c r="M24" i="54"/>
  <c r="EK27" i="54"/>
  <c r="M27" i="54"/>
  <c r="EK30" i="54"/>
  <c r="EK24" i="54"/>
  <c r="M21" i="54"/>
  <c r="EK22" i="54"/>
  <c r="M19" i="54"/>
  <c r="AU39" i="54"/>
  <c r="AV38" i="54"/>
  <c r="M20" i="54"/>
  <c r="EK23" i="54"/>
  <c r="EK31" i="54"/>
  <c r="M28" i="54"/>
  <c r="EK29" i="54"/>
  <c r="M26" i="54"/>
  <c r="EK21" i="54"/>
  <c r="M18" i="54"/>
  <c r="FC39" i="54"/>
  <c r="ET39" i="54" s="1"/>
  <c r="EU39" i="54" s="1"/>
  <c r="FC36" i="54"/>
  <c r="ET36" i="54" s="1"/>
  <c r="EU36" i="54" s="1"/>
  <c r="FC40" i="54"/>
  <c r="ET40" i="54" s="1"/>
  <c r="EU40" i="54" s="1"/>
  <c r="FC38" i="54"/>
  <c r="ET38" i="54" s="1"/>
  <c r="EU38" i="54" s="1"/>
  <c r="FC37" i="54"/>
  <c r="ET37" i="54" s="1"/>
  <c r="EU37" i="54" s="1"/>
  <c r="FC31" i="54"/>
  <c r="ET31" i="54" s="1"/>
  <c r="EU31" i="54" s="1"/>
  <c r="FC32" i="54"/>
  <c r="ET32" i="54" s="1"/>
  <c r="EU32" i="54" s="1"/>
  <c r="FC35" i="54"/>
  <c r="ET35" i="54" s="1"/>
  <c r="EU35" i="54" s="1"/>
  <c r="FC33" i="54"/>
  <c r="ET33" i="54" s="1"/>
  <c r="EU33" i="54" s="1"/>
  <c r="FC28" i="54"/>
  <c r="ET28" i="54" s="1"/>
  <c r="EU28" i="54" s="1"/>
  <c r="FC21" i="54"/>
  <c r="ET21" i="54" s="1"/>
  <c r="EU21" i="54" s="1"/>
  <c r="FD19" i="54"/>
  <c r="FC34" i="54"/>
  <c r="ET34" i="54" s="1"/>
  <c r="EU34" i="54" s="1"/>
  <c r="FC30" i="54"/>
  <c r="ET30" i="54" s="1"/>
  <c r="EU30" i="54" s="1"/>
  <c r="FC27" i="54"/>
  <c r="ET27" i="54" s="1"/>
  <c r="EU27" i="54" s="1"/>
  <c r="FC25" i="54"/>
  <c r="ET25" i="54" s="1"/>
  <c r="EU25" i="54" s="1"/>
  <c r="FC22" i="54"/>
  <c r="ET22" i="54" s="1"/>
  <c r="EU22" i="54" s="1"/>
  <c r="EU19" i="54"/>
  <c r="FC26" i="54"/>
  <c r="ET26" i="54" s="1"/>
  <c r="EU26" i="54" s="1"/>
  <c r="FC24" i="54"/>
  <c r="ET24" i="54" s="1"/>
  <c r="EU24" i="54" s="1"/>
  <c r="FC23" i="54"/>
  <c r="ET23" i="54" s="1"/>
  <c r="EU23" i="54" s="1"/>
  <c r="FC29" i="54"/>
  <c r="ET29" i="54" s="1"/>
  <c r="EU29" i="54" s="1"/>
  <c r="M22" i="54"/>
  <c r="EK25" i="54"/>
  <c r="EK32" i="54"/>
  <c r="M29" i="54"/>
  <c r="EK23" i="53"/>
  <c r="M20" i="53"/>
  <c r="EK21" i="53"/>
  <c r="M18" i="53"/>
  <c r="EK28" i="53"/>
  <c r="M25" i="53"/>
  <c r="EK30" i="53"/>
  <c r="M27" i="53"/>
  <c r="M21" i="53"/>
  <c r="EK24" i="53"/>
  <c r="EK29" i="53"/>
  <c r="M26" i="53"/>
  <c r="M29" i="53"/>
  <c r="EK32" i="53"/>
  <c r="AU33" i="53"/>
  <c r="AV32" i="53"/>
  <c r="FC39" i="53"/>
  <c r="ET39" i="53" s="1"/>
  <c r="EU39" i="53" s="1"/>
  <c r="FC37" i="53"/>
  <c r="ET37" i="53" s="1"/>
  <c r="EU37" i="53" s="1"/>
  <c r="FC40" i="53"/>
  <c r="ET40" i="53" s="1"/>
  <c r="EU40" i="53" s="1"/>
  <c r="FC38" i="53"/>
  <c r="ET38" i="53" s="1"/>
  <c r="EU38" i="53" s="1"/>
  <c r="FC35" i="53"/>
  <c r="ET35" i="53" s="1"/>
  <c r="EU35" i="53" s="1"/>
  <c r="FC33" i="53"/>
  <c r="ET33" i="53" s="1"/>
  <c r="EU33" i="53" s="1"/>
  <c r="FC36" i="53"/>
  <c r="ET36" i="53" s="1"/>
  <c r="EU36" i="53" s="1"/>
  <c r="FC29" i="53"/>
  <c r="ET29" i="53" s="1"/>
  <c r="EU29" i="53" s="1"/>
  <c r="FC31" i="53"/>
  <c r="ET31" i="53" s="1"/>
  <c r="EU31" i="53" s="1"/>
  <c r="FC34" i="53"/>
  <c r="ET34" i="53" s="1"/>
  <c r="EU34" i="53" s="1"/>
  <c r="FC32" i="53"/>
  <c r="ET32" i="53" s="1"/>
  <c r="EU32" i="53" s="1"/>
  <c r="FC30" i="53"/>
  <c r="ET30" i="53" s="1"/>
  <c r="EU30" i="53" s="1"/>
  <c r="FC28" i="53"/>
  <c r="ET28" i="53" s="1"/>
  <c r="EU28" i="53" s="1"/>
  <c r="FC27" i="53"/>
  <c r="ET27" i="53" s="1"/>
  <c r="EU27" i="53" s="1"/>
  <c r="FC21" i="53"/>
  <c r="ET21" i="53" s="1"/>
  <c r="EU21" i="53" s="1"/>
  <c r="FD19" i="53"/>
  <c r="FC26" i="53"/>
  <c r="ET26" i="53" s="1"/>
  <c r="EU26" i="53" s="1"/>
  <c r="FC25" i="53"/>
  <c r="ET25" i="53" s="1"/>
  <c r="EU25" i="53" s="1"/>
  <c r="FC24" i="53"/>
  <c r="ET24" i="53" s="1"/>
  <c r="EU24" i="53" s="1"/>
  <c r="FC23" i="53"/>
  <c r="ET23" i="53" s="1"/>
  <c r="EU23" i="53" s="1"/>
  <c r="FC22" i="53"/>
  <c r="ET22" i="53" s="1"/>
  <c r="EU22" i="53" s="1"/>
  <c r="EU19" i="53"/>
  <c r="M22" i="53"/>
  <c r="EK25" i="53"/>
  <c r="EK26" i="53"/>
  <c r="M23" i="53"/>
  <c r="EK22" i="53"/>
  <c r="M19" i="53"/>
  <c r="EK27" i="53"/>
  <c r="M24" i="53"/>
  <c r="EK31" i="53"/>
  <c r="M28" i="53"/>
  <c r="AU32" i="52"/>
  <c r="AV31" i="52"/>
  <c r="EK21" i="52"/>
  <c r="M18" i="52"/>
  <c r="M19" i="52"/>
  <c r="EK22" i="52"/>
  <c r="M24" i="52"/>
  <c r="EK27" i="52"/>
  <c r="EK32" i="52"/>
  <c r="M29" i="52"/>
  <c r="M20" i="52"/>
  <c r="EK23" i="52"/>
  <c r="EK25" i="52"/>
  <c r="M22" i="52"/>
  <c r="M27" i="52"/>
  <c r="EK30" i="52"/>
  <c r="EK29" i="52"/>
  <c r="M26" i="52"/>
  <c r="EK26" i="52"/>
  <c r="M23" i="52"/>
  <c r="FC40" i="52"/>
  <c r="ET40" i="52" s="1"/>
  <c r="EU40" i="52" s="1"/>
  <c r="FC38" i="52"/>
  <c r="ET38" i="52" s="1"/>
  <c r="EU38" i="52" s="1"/>
  <c r="FC36" i="52"/>
  <c r="ET36" i="52" s="1"/>
  <c r="EU36" i="52" s="1"/>
  <c r="FC39" i="52"/>
  <c r="ET39" i="52" s="1"/>
  <c r="EU39" i="52" s="1"/>
  <c r="FC32" i="52"/>
  <c r="ET32" i="52" s="1"/>
  <c r="EU32" i="52" s="1"/>
  <c r="FC37" i="52"/>
  <c r="ET37" i="52" s="1"/>
  <c r="EU37" i="52" s="1"/>
  <c r="FC34" i="52"/>
  <c r="ET34" i="52" s="1"/>
  <c r="EU34" i="52" s="1"/>
  <c r="FC35" i="52"/>
  <c r="ET35" i="52" s="1"/>
  <c r="EU35" i="52" s="1"/>
  <c r="FC31" i="52"/>
  <c r="ET31" i="52" s="1"/>
  <c r="EU31" i="52" s="1"/>
  <c r="FC33" i="52"/>
  <c r="ET33" i="52" s="1"/>
  <c r="EU33" i="52" s="1"/>
  <c r="FC30" i="52"/>
  <c r="ET30" i="52" s="1"/>
  <c r="EU30" i="52" s="1"/>
  <c r="FC29" i="52"/>
  <c r="ET29" i="52" s="1"/>
  <c r="EU29" i="52" s="1"/>
  <c r="FC28" i="52"/>
  <c r="ET28" i="52" s="1"/>
  <c r="EU28" i="52" s="1"/>
  <c r="FC27" i="52"/>
  <c r="ET27" i="52" s="1"/>
  <c r="EU27" i="52" s="1"/>
  <c r="FC26" i="52"/>
  <c r="ET26" i="52" s="1"/>
  <c r="EU26" i="52" s="1"/>
  <c r="FC25" i="52"/>
  <c r="ET25" i="52" s="1"/>
  <c r="EU25" i="52" s="1"/>
  <c r="FC24" i="52"/>
  <c r="ET24" i="52" s="1"/>
  <c r="EU24" i="52" s="1"/>
  <c r="FC23" i="52"/>
  <c r="ET23" i="52" s="1"/>
  <c r="EU23" i="52" s="1"/>
  <c r="FC21" i="52"/>
  <c r="ET21" i="52" s="1"/>
  <c r="EU21" i="52" s="1"/>
  <c r="EU19" i="52"/>
  <c r="FC22" i="52"/>
  <c r="ET22" i="52" s="1"/>
  <c r="EU22" i="52" s="1"/>
  <c r="FD19" i="52"/>
  <c r="EK24" i="52"/>
  <c r="M21" i="52"/>
  <c r="M25" i="52"/>
  <c r="EK28" i="52"/>
  <c r="EK31" i="52"/>
  <c r="M28" i="52"/>
  <c r="F55" i="46"/>
  <c r="CC34" i="46"/>
  <c r="CC37" i="46"/>
  <c r="D76" i="46"/>
  <c r="CU40" i="46"/>
  <c r="CL40" i="46" s="1"/>
  <c r="CU38" i="46"/>
  <c r="CL38" i="46" s="1"/>
  <c r="CU39" i="46"/>
  <c r="CL39" i="46" s="1"/>
  <c r="CU37" i="46"/>
  <c r="CL37" i="46" s="1"/>
  <c r="CU34" i="46"/>
  <c r="CL34" i="46" s="1"/>
  <c r="CU35" i="46"/>
  <c r="CL35" i="46" s="1"/>
  <c r="CU36" i="46"/>
  <c r="CL36" i="46" s="1"/>
  <c r="CU29" i="46"/>
  <c r="CL29" i="46" s="1"/>
  <c r="CU30" i="46"/>
  <c r="CL30" i="46" s="1"/>
  <c r="CU33" i="46"/>
  <c r="CL33" i="46" s="1"/>
  <c r="CU31" i="46"/>
  <c r="CL31" i="46" s="1"/>
  <c r="CU32" i="46"/>
  <c r="CL32" i="46" s="1"/>
  <c r="CU28" i="46"/>
  <c r="CL28" i="46" s="1"/>
  <c r="CU27" i="46"/>
  <c r="CL27" i="46" s="1"/>
  <c r="CU24" i="46"/>
  <c r="CL24" i="46" s="1"/>
  <c r="CU26" i="46"/>
  <c r="CL26" i="46" s="1"/>
  <c r="CV19" i="46"/>
  <c r="CU21" i="46"/>
  <c r="CL21" i="46" s="1"/>
  <c r="CM19" i="46"/>
  <c r="CU22" i="46"/>
  <c r="CL22" i="46" s="1"/>
  <c r="CU25" i="46"/>
  <c r="CL25" i="46" s="1"/>
  <c r="CU23" i="46"/>
  <c r="CL23" i="46" s="1"/>
  <c r="CC28" i="46"/>
  <c r="CC25" i="46"/>
  <c r="G22" i="46"/>
  <c r="CC31" i="46"/>
  <c r="CC38" i="46"/>
  <c r="CC39" i="46"/>
  <c r="CC27" i="46"/>
  <c r="G24" i="46"/>
  <c r="G19" i="46"/>
  <c r="CC22" i="46"/>
  <c r="G18" i="46"/>
  <c r="CC21" i="46"/>
  <c r="CC29" i="46"/>
  <c r="CC30" i="46"/>
  <c r="CC35" i="46"/>
  <c r="D57" i="46"/>
  <c r="AU28" i="46"/>
  <c r="AV27" i="46"/>
  <c r="CC24" i="46"/>
  <c r="G21" i="46"/>
  <c r="CC36" i="46"/>
  <c r="B25" i="46"/>
  <c r="G25" i="46" s="1"/>
  <c r="E24" i="46"/>
  <c r="F24" i="46"/>
  <c r="CC23" i="46"/>
  <c r="G20" i="46"/>
  <c r="CC26" i="46"/>
  <c r="G23" i="46"/>
  <c r="CC32" i="46"/>
  <c r="CC33" i="46"/>
  <c r="CC40" i="46"/>
  <c r="O103" i="40"/>
  <c r="O101" i="40"/>
  <c r="S99" i="40"/>
  <c r="Q99" i="40"/>
  <c r="O76" i="40"/>
  <c r="O75" i="40"/>
  <c r="O73" i="40"/>
  <c r="S71" i="40"/>
  <c r="Q71" i="40"/>
  <c r="E17" i="6" l="1"/>
  <c r="F75" i="52"/>
  <c r="G76" i="52"/>
  <c r="F56" i="52"/>
  <c r="G57" i="52"/>
  <c r="P11" i="59"/>
  <c r="P12" i="59"/>
  <c r="P24" i="56"/>
  <c r="P6" i="56" s="1"/>
  <c r="P11" i="58"/>
  <c r="P12" i="58"/>
  <c r="AB81" i="53"/>
  <c r="P11" i="53" s="1"/>
  <c r="P12" i="53"/>
  <c r="AB80" i="52"/>
  <c r="AB81" i="54"/>
  <c r="P11" i="54" s="1"/>
  <c r="I87" i="54"/>
  <c r="I88" i="55"/>
  <c r="I87" i="55"/>
  <c r="E55" i="46"/>
  <c r="P7" i="53"/>
  <c r="D88" i="53"/>
  <c r="P8" i="53" s="1"/>
  <c r="S74" i="46"/>
  <c r="S76" i="46" s="1"/>
  <c r="AB75" i="46" s="1"/>
  <c r="F74" i="46"/>
  <c r="AN52" i="46"/>
  <c r="E50" i="46"/>
  <c r="AO47" i="46" s="1"/>
  <c r="AM47" i="46"/>
  <c r="I50" i="46"/>
  <c r="AL48" i="46"/>
  <c r="D69" i="46"/>
  <c r="E74" i="46" s="1"/>
  <c r="FM36" i="55"/>
  <c r="FD36" i="55" s="1"/>
  <c r="FE36" i="55" s="1"/>
  <c r="FM39" i="55"/>
  <c r="FD39" i="55" s="1"/>
  <c r="FE39" i="55" s="1"/>
  <c r="FM37" i="55"/>
  <c r="FD37" i="55" s="1"/>
  <c r="FE37" i="55" s="1"/>
  <c r="FM35" i="55"/>
  <c r="FD35" i="55" s="1"/>
  <c r="FE35" i="55" s="1"/>
  <c r="FM40" i="55"/>
  <c r="FD40" i="55" s="1"/>
  <c r="FE40" i="55" s="1"/>
  <c r="FM38" i="55"/>
  <c r="FD38" i="55" s="1"/>
  <c r="FE38" i="55" s="1"/>
  <c r="FM33" i="55"/>
  <c r="FD33" i="55" s="1"/>
  <c r="FE33" i="55" s="1"/>
  <c r="FM30" i="55"/>
  <c r="FD30" i="55" s="1"/>
  <c r="FE30" i="55" s="1"/>
  <c r="FM32" i="55"/>
  <c r="FD32" i="55" s="1"/>
  <c r="FE32" i="55" s="1"/>
  <c r="FM31" i="55"/>
  <c r="FD31" i="55" s="1"/>
  <c r="FE31" i="55" s="1"/>
  <c r="FM34" i="55"/>
  <c r="FD34" i="55" s="1"/>
  <c r="FE34" i="55" s="1"/>
  <c r="FM29" i="55"/>
  <c r="FD29" i="55" s="1"/>
  <c r="FE29" i="55" s="1"/>
  <c r="FM28" i="55"/>
  <c r="FD28" i="55" s="1"/>
  <c r="FE28" i="55" s="1"/>
  <c r="FM27" i="55"/>
  <c r="FD27" i="55" s="1"/>
  <c r="FE27" i="55" s="1"/>
  <c r="FM26" i="55"/>
  <c r="FD26" i="55" s="1"/>
  <c r="FE26" i="55" s="1"/>
  <c r="FM25" i="55"/>
  <c r="FD25" i="55" s="1"/>
  <c r="FE25" i="55" s="1"/>
  <c r="FM24" i="55"/>
  <c r="FD24" i="55" s="1"/>
  <c r="FE24" i="55" s="1"/>
  <c r="FM23" i="55"/>
  <c r="FD23" i="55" s="1"/>
  <c r="FE23" i="55" s="1"/>
  <c r="FE19" i="55"/>
  <c r="FM22" i="55"/>
  <c r="FD22" i="55" s="1"/>
  <c r="FE22" i="55" s="1"/>
  <c r="FN19" i="55"/>
  <c r="FM21" i="55"/>
  <c r="FD21" i="55" s="1"/>
  <c r="FE21" i="55" s="1"/>
  <c r="AU35" i="55"/>
  <c r="AV34" i="55"/>
  <c r="D89" i="54"/>
  <c r="P9" i="54" s="1"/>
  <c r="D88" i="54"/>
  <c r="P8" i="54" s="1"/>
  <c r="AU40" i="54"/>
  <c r="AV40" i="54" s="1"/>
  <c r="AV39" i="54"/>
  <c r="FM39" i="54"/>
  <c r="FD39" i="54" s="1"/>
  <c r="FE39" i="54" s="1"/>
  <c r="FM37" i="54"/>
  <c r="FD37" i="54" s="1"/>
  <c r="FE37" i="54" s="1"/>
  <c r="FM35" i="54"/>
  <c r="FD35" i="54" s="1"/>
  <c r="FE35" i="54" s="1"/>
  <c r="FM40" i="54"/>
  <c r="FD40" i="54" s="1"/>
  <c r="FE40" i="54" s="1"/>
  <c r="FM30" i="54"/>
  <c r="FD30" i="54" s="1"/>
  <c r="FE30" i="54" s="1"/>
  <c r="FM38" i="54"/>
  <c r="FD38" i="54" s="1"/>
  <c r="FE38" i="54" s="1"/>
  <c r="FM31" i="54"/>
  <c r="FD31" i="54" s="1"/>
  <c r="FE31" i="54" s="1"/>
  <c r="FM36" i="54"/>
  <c r="FD36" i="54" s="1"/>
  <c r="FE36" i="54" s="1"/>
  <c r="FM33" i="54"/>
  <c r="FD33" i="54" s="1"/>
  <c r="FE33" i="54" s="1"/>
  <c r="FM28" i="54"/>
  <c r="FD28" i="54" s="1"/>
  <c r="FE28" i="54" s="1"/>
  <c r="FM32" i="54"/>
  <c r="FD32" i="54" s="1"/>
  <c r="FE32" i="54" s="1"/>
  <c r="FM22" i="54"/>
  <c r="FD22" i="54" s="1"/>
  <c r="FE22" i="54" s="1"/>
  <c r="FM34" i="54"/>
  <c r="FD34" i="54" s="1"/>
  <c r="FE34" i="54" s="1"/>
  <c r="FM23" i="54"/>
  <c r="FD23" i="54" s="1"/>
  <c r="FE23" i="54" s="1"/>
  <c r="FN19" i="54"/>
  <c r="FM26" i="54"/>
  <c r="FD26" i="54" s="1"/>
  <c r="FE26" i="54" s="1"/>
  <c r="FM27" i="54"/>
  <c r="FD27" i="54" s="1"/>
  <c r="FE27" i="54" s="1"/>
  <c r="FM25" i="54"/>
  <c r="FD25" i="54" s="1"/>
  <c r="FE25" i="54" s="1"/>
  <c r="FM21" i="54"/>
  <c r="FD21" i="54" s="1"/>
  <c r="FE21" i="54" s="1"/>
  <c r="FM29" i="54"/>
  <c r="FD29" i="54" s="1"/>
  <c r="FE29" i="54" s="1"/>
  <c r="FE19" i="54"/>
  <c r="FM24" i="54"/>
  <c r="FD24" i="54" s="1"/>
  <c r="FE24" i="54" s="1"/>
  <c r="P7" i="54"/>
  <c r="FM36" i="53"/>
  <c r="FD36" i="53" s="1"/>
  <c r="FE36" i="53" s="1"/>
  <c r="FM39" i="53"/>
  <c r="FD39" i="53" s="1"/>
  <c r="FE39" i="53" s="1"/>
  <c r="FM37" i="53"/>
  <c r="FD37" i="53" s="1"/>
  <c r="FE37" i="53" s="1"/>
  <c r="FM34" i="53"/>
  <c r="FD34" i="53" s="1"/>
  <c r="FE34" i="53" s="1"/>
  <c r="FM40" i="53"/>
  <c r="FD40" i="53" s="1"/>
  <c r="FE40" i="53" s="1"/>
  <c r="FM35" i="53"/>
  <c r="FD35" i="53" s="1"/>
  <c r="FE35" i="53" s="1"/>
  <c r="FM38" i="53"/>
  <c r="FD38" i="53" s="1"/>
  <c r="FE38" i="53" s="1"/>
  <c r="FM33" i="53"/>
  <c r="FD33" i="53" s="1"/>
  <c r="FE33" i="53" s="1"/>
  <c r="FM32" i="53"/>
  <c r="FD32" i="53" s="1"/>
  <c r="FE32" i="53" s="1"/>
  <c r="FM30" i="53"/>
  <c r="FD30" i="53" s="1"/>
  <c r="FE30" i="53" s="1"/>
  <c r="FM28" i="53"/>
  <c r="FD28" i="53" s="1"/>
  <c r="FE28" i="53" s="1"/>
  <c r="FM27" i="53"/>
  <c r="FD27" i="53" s="1"/>
  <c r="FE27" i="53" s="1"/>
  <c r="FM31" i="53"/>
  <c r="FD31" i="53" s="1"/>
  <c r="FE31" i="53" s="1"/>
  <c r="FM29" i="53"/>
  <c r="FD29" i="53" s="1"/>
  <c r="FE29" i="53" s="1"/>
  <c r="FM26" i="53"/>
  <c r="FD26" i="53" s="1"/>
  <c r="FE26" i="53" s="1"/>
  <c r="FE19" i="53"/>
  <c r="FM21" i="53"/>
  <c r="FD21" i="53" s="1"/>
  <c r="FE21" i="53" s="1"/>
  <c r="FM25" i="53"/>
  <c r="FD25" i="53" s="1"/>
  <c r="FE25" i="53" s="1"/>
  <c r="FM24" i="53"/>
  <c r="FD24" i="53" s="1"/>
  <c r="FE24" i="53" s="1"/>
  <c r="FM23" i="53"/>
  <c r="FD23" i="53" s="1"/>
  <c r="FE23" i="53" s="1"/>
  <c r="FM22" i="53"/>
  <c r="FD22" i="53" s="1"/>
  <c r="FE22" i="53" s="1"/>
  <c r="FN19" i="53"/>
  <c r="AU34" i="53"/>
  <c r="AV33" i="53"/>
  <c r="FM39" i="52"/>
  <c r="FD39" i="52" s="1"/>
  <c r="FE39" i="52" s="1"/>
  <c r="FM37" i="52"/>
  <c r="FD37" i="52" s="1"/>
  <c r="FE37" i="52" s="1"/>
  <c r="FM40" i="52"/>
  <c r="FD40" i="52" s="1"/>
  <c r="FE40" i="52" s="1"/>
  <c r="FM38" i="52"/>
  <c r="FD38" i="52" s="1"/>
  <c r="FE38" i="52" s="1"/>
  <c r="FM35" i="52"/>
  <c r="FD35" i="52" s="1"/>
  <c r="FE35" i="52" s="1"/>
  <c r="FM36" i="52"/>
  <c r="FD36" i="52" s="1"/>
  <c r="FE36" i="52" s="1"/>
  <c r="FM33" i="52"/>
  <c r="FD33" i="52" s="1"/>
  <c r="FE33" i="52" s="1"/>
  <c r="FM34" i="52"/>
  <c r="FD34" i="52" s="1"/>
  <c r="FE34" i="52" s="1"/>
  <c r="FM30" i="52"/>
  <c r="FD30" i="52" s="1"/>
  <c r="FE30" i="52" s="1"/>
  <c r="FM29" i="52"/>
  <c r="FD29" i="52" s="1"/>
  <c r="FE29" i="52" s="1"/>
  <c r="FM31" i="52"/>
  <c r="FD31" i="52" s="1"/>
  <c r="FE31" i="52" s="1"/>
  <c r="FM28" i="52"/>
  <c r="FD28" i="52" s="1"/>
  <c r="FE28" i="52" s="1"/>
  <c r="FM27" i="52"/>
  <c r="FD27" i="52" s="1"/>
  <c r="FE27" i="52" s="1"/>
  <c r="FM26" i="52"/>
  <c r="FD26" i="52" s="1"/>
  <c r="FE26" i="52" s="1"/>
  <c r="FM25" i="52"/>
  <c r="FD25" i="52" s="1"/>
  <c r="FE25" i="52" s="1"/>
  <c r="FM24" i="52"/>
  <c r="FD24" i="52" s="1"/>
  <c r="FE24" i="52" s="1"/>
  <c r="FM23" i="52"/>
  <c r="FD23" i="52" s="1"/>
  <c r="FE23" i="52" s="1"/>
  <c r="FM21" i="52"/>
  <c r="FD21" i="52" s="1"/>
  <c r="FE21" i="52" s="1"/>
  <c r="FN19" i="52"/>
  <c r="FM32" i="52"/>
  <c r="FD32" i="52" s="1"/>
  <c r="FE32" i="52" s="1"/>
  <c r="FM22" i="52"/>
  <c r="FD22" i="52" s="1"/>
  <c r="FE22" i="52" s="1"/>
  <c r="FE19" i="52"/>
  <c r="AU33" i="52"/>
  <c r="AV32" i="52"/>
  <c r="CM23" i="46"/>
  <c r="H20" i="46"/>
  <c r="H24" i="46"/>
  <c r="CM27" i="46"/>
  <c r="CM35" i="46"/>
  <c r="CM38" i="46"/>
  <c r="CM25" i="46"/>
  <c r="H22" i="46"/>
  <c r="CM28" i="46"/>
  <c r="H25" i="46"/>
  <c r="CM34" i="46"/>
  <c r="CM22" i="46"/>
  <c r="H19" i="46"/>
  <c r="H23" i="46"/>
  <c r="CM26" i="46"/>
  <c r="CM32" i="46"/>
  <c r="CM29" i="46"/>
  <c r="CM37" i="46"/>
  <c r="D75" i="46"/>
  <c r="I69" i="46"/>
  <c r="AL55" i="46" s="1"/>
  <c r="H18" i="46"/>
  <c r="CM21" i="46"/>
  <c r="CM33" i="46"/>
  <c r="AU29" i="46"/>
  <c r="AV28" i="46"/>
  <c r="DE40" i="46"/>
  <c r="CV40" i="46" s="1"/>
  <c r="DE38" i="46"/>
  <c r="CV38" i="46" s="1"/>
  <c r="DE39" i="46"/>
  <c r="CV39" i="46" s="1"/>
  <c r="DE33" i="46"/>
  <c r="CV33" i="46" s="1"/>
  <c r="DE37" i="46"/>
  <c r="CV37" i="46" s="1"/>
  <c r="DE34" i="46"/>
  <c r="CV34" i="46" s="1"/>
  <c r="DE35" i="46"/>
  <c r="CV35" i="46" s="1"/>
  <c r="DE32" i="46"/>
  <c r="CV32" i="46" s="1"/>
  <c r="DE28" i="46"/>
  <c r="CV28" i="46" s="1"/>
  <c r="DE29" i="46"/>
  <c r="CV29" i="46" s="1"/>
  <c r="DE36" i="46"/>
  <c r="CV36" i="46" s="1"/>
  <c r="DE23" i="46"/>
  <c r="CV23" i="46" s="1"/>
  <c r="DE25" i="46"/>
  <c r="CV25" i="46" s="1"/>
  <c r="DE30" i="46"/>
  <c r="CV30" i="46" s="1"/>
  <c r="DE27" i="46"/>
  <c r="CV27" i="46" s="1"/>
  <c r="DE22" i="46"/>
  <c r="CV22" i="46" s="1"/>
  <c r="DE24" i="46"/>
  <c r="CV24" i="46" s="1"/>
  <c r="DE31" i="46"/>
  <c r="CV31" i="46" s="1"/>
  <c r="DE26" i="46"/>
  <c r="CV26" i="46" s="1"/>
  <c r="DE21" i="46"/>
  <c r="CV21" i="46" s="1"/>
  <c r="CW19" i="46"/>
  <c r="DF19" i="46"/>
  <c r="CM30" i="46"/>
  <c r="CM40" i="46"/>
  <c r="D56" i="46"/>
  <c r="B26" i="46"/>
  <c r="E25" i="46"/>
  <c r="F25" i="46"/>
  <c r="CM24" i="46"/>
  <c r="H21" i="46"/>
  <c r="CM31" i="46"/>
  <c r="CM36" i="46"/>
  <c r="CM39" i="46"/>
  <c r="O77" i="40"/>
  <c r="T71" i="40"/>
  <c r="T99" i="40"/>
  <c r="O104" i="40"/>
  <c r="F76" i="52" l="1"/>
  <c r="J76" i="52" s="1"/>
  <c r="F57" i="52"/>
  <c r="J56" i="52" s="1"/>
  <c r="W23" i="56"/>
  <c r="W24" i="56" s="1"/>
  <c r="AB81" i="52"/>
  <c r="P11" i="52" s="1"/>
  <c r="P12" i="52"/>
  <c r="W22" i="56"/>
  <c r="G55" i="46"/>
  <c r="D70" i="46"/>
  <c r="E51" i="46"/>
  <c r="E69" i="46"/>
  <c r="AO52" i="46" s="1"/>
  <c r="AM52" i="46"/>
  <c r="AV35" i="55"/>
  <c r="AU36" i="55"/>
  <c r="FW32" i="55"/>
  <c r="FN32" i="55" s="1"/>
  <c r="FO32" i="55" s="1"/>
  <c r="FW29" i="55"/>
  <c r="FN29" i="55" s="1"/>
  <c r="FO29" i="55" s="1"/>
  <c r="FW30" i="55"/>
  <c r="FN30" i="55" s="1"/>
  <c r="FO30" i="55" s="1"/>
  <c r="FW31" i="55"/>
  <c r="FN31" i="55" s="1"/>
  <c r="FO31" i="55" s="1"/>
  <c r="FW26" i="55"/>
  <c r="FN26" i="55" s="1"/>
  <c r="FO26" i="55" s="1"/>
  <c r="FW22" i="55"/>
  <c r="FN22" i="55" s="1"/>
  <c r="FO22" i="55" s="1"/>
  <c r="FW27" i="55"/>
  <c r="FN27" i="55" s="1"/>
  <c r="FO27" i="55" s="1"/>
  <c r="FW23" i="55"/>
  <c r="FN23" i="55" s="1"/>
  <c r="FO23" i="55" s="1"/>
  <c r="FX19" i="55"/>
  <c r="FW28" i="55"/>
  <c r="FN28" i="55" s="1"/>
  <c r="FO28" i="55" s="1"/>
  <c r="FW24" i="55"/>
  <c r="FN24" i="55" s="1"/>
  <c r="FO24" i="55" s="1"/>
  <c r="FO19" i="55"/>
  <c r="FW25" i="55"/>
  <c r="FN25" i="55" s="1"/>
  <c r="FO25" i="55" s="1"/>
  <c r="FW21" i="55"/>
  <c r="FN21" i="55" s="1"/>
  <c r="FO21" i="55" s="1"/>
  <c r="FW29" i="54"/>
  <c r="FN29" i="54" s="1"/>
  <c r="FO29" i="54" s="1"/>
  <c r="FW28" i="54"/>
  <c r="FN28" i="54" s="1"/>
  <c r="FO28" i="54" s="1"/>
  <c r="FW30" i="54"/>
  <c r="FN30" i="54" s="1"/>
  <c r="FO30" i="54" s="1"/>
  <c r="FW27" i="54"/>
  <c r="FN27" i="54" s="1"/>
  <c r="FO27" i="54" s="1"/>
  <c r="FW26" i="54"/>
  <c r="FN26" i="54" s="1"/>
  <c r="FO26" i="54" s="1"/>
  <c r="FW25" i="54"/>
  <c r="FN25" i="54" s="1"/>
  <c r="FO25" i="54" s="1"/>
  <c r="FW24" i="54"/>
  <c r="FN24" i="54" s="1"/>
  <c r="FO24" i="54" s="1"/>
  <c r="FW23" i="54"/>
  <c r="FN23" i="54" s="1"/>
  <c r="FO23" i="54" s="1"/>
  <c r="FW22" i="54"/>
  <c r="FN22" i="54" s="1"/>
  <c r="FO22" i="54" s="1"/>
  <c r="FW32" i="54"/>
  <c r="FN32" i="54" s="1"/>
  <c r="FO32" i="54" s="1"/>
  <c r="FW31" i="54"/>
  <c r="FN31" i="54" s="1"/>
  <c r="FO31" i="54" s="1"/>
  <c r="FX19" i="54"/>
  <c r="FW21" i="54"/>
  <c r="FN21" i="54" s="1"/>
  <c r="FO21" i="54" s="1"/>
  <c r="FO19" i="54"/>
  <c r="AV34" i="53"/>
  <c r="AU35" i="53"/>
  <c r="FW31" i="53"/>
  <c r="FN31" i="53" s="1"/>
  <c r="FO31" i="53" s="1"/>
  <c r="FW32" i="53"/>
  <c r="FN32" i="53" s="1"/>
  <c r="FO32" i="53" s="1"/>
  <c r="FW29" i="53"/>
  <c r="FN29" i="53" s="1"/>
  <c r="FO29" i="53" s="1"/>
  <c r="FW30" i="53"/>
  <c r="FN30" i="53" s="1"/>
  <c r="FO30" i="53" s="1"/>
  <c r="FW28" i="53"/>
  <c r="FN28" i="53" s="1"/>
  <c r="FO28" i="53" s="1"/>
  <c r="FW27" i="53"/>
  <c r="FN27" i="53" s="1"/>
  <c r="FO27" i="53" s="1"/>
  <c r="FW25" i="53"/>
  <c r="FN25" i="53" s="1"/>
  <c r="FO25" i="53" s="1"/>
  <c r="FW24" i="53"/>
  <c r="FN24" i="53" s="1"/>
  <c r="FO24" i="53" s="1"/>
  <c r="FW23" i="53"/>
  <c r="FN23" i="53" s="1"/>
  <c r="FO23" i="53" s="1"/>
  <c r="FW22" i="53"/>
  <c r="FN22" i="53" s="1"/>
  <c r="FO22" i="53" s="1"/>
  <c r="FX19" i="53"/>
  <c r="FO19" i="53"/>
  <c r="FW26" i="53"/>
  <c r="FN26" i="53" s="1"/>
  <c r="FO26" i="53" s="1"/>
  <c r="FW21" i="53"/>
  <c r="FN21" i="53" s="1"/>
  <c r="FO21" i="53" s="1"/>
  <c r="FW32" i="52"/>
  <c r="FN32" i="52" s="1"/>
  <c r="FO32" i="52" s="1"/>
  <c r="FW29" i="52"/>
  <c r="FN29" i="52" s="1"/>
  <c r="FO29" i="52" s="1"/>
  <c r="FW30" i="52"/>
  <c r="FN30" i="52" s="1"/>
  <c r="FO30" i="52" s="1"/>
  <c r="FW31" i="52"/>
  <c r="FN31" i="52" s="1"/>
  <c r="FO31" i="52" s="1"/>
  <c r="FW25" i="52"/>
  <c r="FN25" i="52" s="1"/>
  <c r="FO25" i="52" s="1"/>
  <c r="FO19" i="52"/>
  <c r="FW24" i="52"/>
  <c r="FN24" i="52" s="1"/>
  <c r="FO24" i="52" s="1"/>
  <c r="FW23" i="52"/>
  <c r="FN23" i="52" s="1"/>
  <c r="FO23" i="52" s="1"/>
  <c r="FW26" i="52"/>
  <c r="FN26" i="52" s="1"/>
  <c r="FO26" i="52" s="1"/>
  <c r="FW28" i="52"/>
  <c r="FN28" i="52" s="1"/>
  <c r="FO28" i="52" s="1"/>
  <c r="FW27" i="52"/>
  <c r="FN27" i="52" s="1"/>
  <c r="FO27" i="52" s="1"/>
  <c r="FW21" i="52"/>
  <c r="FN21" i="52" s="1"/>
  <c r="FO21" i="52" s="1"/>
  <c r="FW22" i="52"/>
  <c r="FN22" i="52" s="1"/>
  <c r="FO22" i="52" s="1"/>
  <c r="FX19" i="52"/>
  <c r="AU34" i="52"/>
  <c r="AV33" i="52"/>
  <c r="AL50" i="46"/>
  <c r="D58" i="46"/>
  <c r="CW24" i="46"/>
  <c r="I21" i="46"/>
  <c r="CW21" i="46"/>
  <c r="I18" i="46"/>
  <c r="CW22" i="46"/>
  <c r="I19" i="46"/>
  <c r="CW23" i="46"/>
  <c r="I20" i="46"/>
  <c r="CW32" i="46"/>
  <c r="CW33" i="46"/>
  <c r="I25" i="46"/>
  <c r="CW28" i="46"/>
  <c r="CW40" i="46"/>
  <c r="B27" i="46"/>
  <c r="F26" i="46"/>
  <c r="E26" i="46"/>
  <c r="G26" i="46"/>
  <c r="CW26" i="46"/>
  <c r="I23" i="46"/>
  <c r="CW36" i="46"/>
  <c r="CW39" i="46"/>
  <c r="I22" i="46"/>
  <c r="CW25" i="46"/>
  <c r="CW37" i="46"/>
  <c r="CW27" i="46"/>
  <c r="I24" i="46"/>
  <c r="CW35" i="46"/>
  <c r="DO39" i="46"/>
  <c r="DF39" i="46" s="1"/>
  <c r="DO37" i="46"/>
  <c r="DF37" i="46" s="1"/>
  <c r="DO40" i="46"/>
  <c r="DF40" i="46" s="1"/>
  <c r="DO38" i="46"/>
  <c r="DF38" i="46" s="1"/>
  <c r="DO36" i="46"/>
  <c r="DF36" i="46" s="1"/>
  <c r="DO33" i="46"/>
  <c r="DF33" i="46" s="1"/>
  <c r="DO34" i="46"/>
  <c r="DF34" i="46" s="1"/>
  <c r="DO31" i="46"/>
  <c r="DF31" i="46" s="1"/>
  <c r="DO27" i="46"/>
  <c r="DF27" i="46" s="1"/>
  <c r="DO32" i="46"/>
  <c r="DF32" i="46" s="1"/>
  <c r="DO35" i="46"/>
  <c r="DF35" i="46" s="1"/>
  <c r="DO29" i="46"/>
  <c r="DF29" i="46" s="1"/>
  <c r="DO26" i="46"/>
  <c r="DF26" i="46" s="1"/>
  <c r="DO30" i="46"/>
  <c r="DF30" i="46" s="1"/>
  <c r="DP19" i="46"/>
  <c r="DG19" i="46"/>
  <c r="DO28" i="46"/>
  <c r="DF28" i="46" s="1"/>
  <c r="DO25" i="46"/>
  <c r="DF25" i="46" s="1"/>
  <c r="DO23" i="46"/>
  <c r="DF23" i="46" s="1"/>
  <c r="DO22" i="46"/>
  <c r="DF22" i="46" s="1"/>
  <c r="DO24" i="46"/>
  <c r="DF24" i="46" s="1"/>
  <c r="DO21" i="46"/>
  <c r="DF21" i="46" s="1"/>
  <c r="CW31" i="46"/>
  <c r="CW30" i="46"/>
  <c r="I27" i="46"/>
  <c r="CW29" i="46"/>
  <c r="I26" i="46"/>
  <c r="CW34" i="46"/>
  <c r="CW38" i="46"/>
  <c r="AU30" i="46"/>
  <c r="AV29" i="46"/>
  <c r="D77" i="46"/>
  <c r="H26" i="46"/>
  <c r="U71" i="40"/>
  <c r="U99" i="40"/>
  <c r="O78" i="40"/>
  <c r="O105" i="40"/>
  <c r="I83" i="52" l="1"/>
  <c r="D83" i="52"/>
  <c r="W25" i="56"/>
  <c r="G74" i="46"/>
  <c r="E70" i="46"/>
  <c r="GG30" i="55"/>
  <c r="FX30" i="55" s="1"/>
  <c r="FY30" i="55" s="1"/>
  <c r="GG31" i="55"/>
  <c r="FX31" i="55" s="1"/>
  <c r="FY31" i="55" s="1"/>
  <c r="GG28" i="55"/>
  <c r="FX28" i="55" s="1"/>
  <c r="FY28" i="55" s="1"/>
  <c r="GG27" i="55"/>
  <c r="FX27" i="55" s="1"/>
  <c r="FY27" i="55" s="1"/>
  <c r="GG26" i="55"/>
  <c r="FX26" i="55" s="1"/>
  <c r="FY26" i="55" s="1"/>
  <c r="GG25" i="55"/>
  <c r="FX25" i="55" s="1"/>
  <c r="FY25" i="55" s="1"/>
  <c r="GG24" i="55"/>
  <c r="FX24" i="55" s="1"/>
  <c r="FY24" i="55" s="1"/>
  <c r="GG23" i="55"/>
  <c r="FX23" i="55" s="1"/>
  <c r="FY23" i="55" s="1"/>
  <c r="GG32" i="55"/>
  <c r="FX32" i="55" s="1"/>
  <c r="FY32" i="55" s="1"/>
  <c r="GG21" i="55"/>
  <c r="FX21" i="55" s="1"/>
  <c r="FY21" i="55" s="1"/>
  <c r="FY19" i="55"/>
  <c r="GG29" i="55"/>
  <c r="FX29" i="55" s="1"/>
  <c r="FY29" i="55" s="1"/>
  <c r="GG22" i="55"/>
  <c r="FX22" i="55" s="1"/>
  <c r="FY22" i="55" s="1"/>
  <c r="GH19" i="55"/>
  <c r="AU37" i="55"/>
  <c r="AV36" i="55"/>
  <c r="GG32" i="54"/>
  <c r="FX32" i="54" s="1"/>
  <c r="FY32" i="54" s="1"/>
  <c r="GG29" i="54"/>
  <c r="FX29" i="54" s="1"/>
  <c r="FY29" i="54" s="1"/>
  <c r="GG28" i="54"/>
  <c r="FX28" i="54" s="1"/>
  <c r="FY28" i="54" s="1"/>
  <c r="GG27" i="54"/>
  <c r="FX27" i="54" s="1"/>
  <c r="FY27" i="54" s="1"/>
  <c r="GG26" i="54"/>
  <c r="FX26" i="54" s="1"/>
  <c r="FY26" i="54" s="1"/>
  <c r="GG25" i="54"/>
  <c r="FX25" i="54" s="1"/>
  <c r="FY25" i="54" s="1"/>
  <c r="GG24" i="54"/>
  <c r="FX24" i="54" s="1"/>
  <c r="FY24" i="54" s="1"/>
  <c r="GG31" i="54"/>
  <c r="FX31" i="54" s="1"/>
  <c r="FY31" i="54" s="1"/>
  <c r="GG21" i="54"/>
  <c r="FX21" i="54" s="1"/>
  <c r="FY21" i="54" s="1"/>
  <c r="FY19" i="54"/>
  <c r="GG30" i="54"/>
  <c r="FX30" i="54" s="1"/>
  <c r="FY30" i="54" s="1"/>
  <c r="GG23" i="54"/>
  <c r="FX23" i="54" s="1"/>
  <c r="FY23" i="54" s="1"/>
  <c r="GH19" i="54"/>
  <c r="GG22" i="54"/>
  <c r="FX22" i="54" s="1"/>
  <c r="FY22" i="54" s="1"/>
  <c r="AV35" i="53"/>
  <c r="AU36" i="53"/>
  <c r="GG30" i="53"/>
  <c r="FX30" i="53" s="1"/>
  <c r="FY30" i="53" s="1"/>
  <c r="GG31" i="53"/>
  <c r="FX31" i="53" s="1"/>
  <c r="FY31" i="53" s="1"/>
  <c r="GG32" i="53"/>
  <c r="FX32" i="53" s="1"/>
  <c r="FY32" i="53" s="1"/>
  <c r="GG29" i="53"/>
  <c r="FX29" i="53" s="1"/>
  <c r="FY29" i="53" s="1"/>
  <c r="GG28" i="53"/>
  <c r="FX28" i="53" s="1"/>
  <c r="FY28" i="53" s="1"/>
  <c r="GG27" i="53"/>
  <c r="FX27" i="53" s="1"/>
  <c r="FY27" i="53" s="1"/>
  <c r="GG26" i="53"/>
  <c r="FX26" i="53" s="1"/>
  <c r="FY26" i="53" s="1"/>
  <c r="GG21" i="53"/>
  <c r="FX21" i="53" s="1"/>
  <c r="FY21" i="53" s="1"/>
  <c r="FY19" i="53"/>
  <c r="GG25" i="53"/>
  <c r="FX25" i="53" s="1"/>
  <c r="FY25" i="53" s="1"/>
  <c r="GG24" i="53"/>
  <c r="FX24" i="53" s="1"/>
  <c r="FY24" i="53" s="1"/>
  <c r="GG23" i="53"/>
  <c r="FX23" i="53" s="1"/>
  <c r="FY23" i="53" s="1"/>
  <c r="GG22" i="53"/>
  <c r="FX22" i="53" s="1"/>
  <c r="FY22" i="53" s="1"/>
  <c r="GH19" i="53"/>
  <c r="AV34" i="52"/>
  <c r="AU35" i="52"/>
  <c r="GG31" i="52"/>
  <c r="FX31" i="52" s="1"/>
  <c r="FY31" i="52" s="1"/>
  <c r="GG32" i="52"/>
  <c r="FX32" i="52" s="1"/>
  <c r="FY32" i="52" s="1"/>
  <c r="GG29" i="52"/>
  <c r="FX29" i="52" s="1"/>
  <c r="FY29" i="52" s="1"/>
  <c r="GG30" i="52"/>
  <c r="FX30" i="52" s="1"/>
  <c r="FY30" i="52" s="1"/>
  <c r="GG28" i="52"/>
  <c r="FX28" i="52" s="1"/>
  <c r="FY28" i="52" s="1"/>
  <c r="GG27" i="52"/>
  <c r="FX27" i="52" s="1"/>
  <c r="FY27" i="52" s="1"/>
  <c r="GG26" i="52"/>
  <c r="FX26" i="52" s="1"/>
  <c r="FY26" i="52" s="1"/>
  <c r="GG25" i="52"/>
  <c r="FX25" i="52" s="1"/>
  <c r="FY25" i="52" s="1"/>
  <c r="GG24" i="52"/>
  <c r="FX24" i="52" s="1"/>
  <c r="FY24" i="52" s="1"/>
  <c r="GG22" i="52"/>
  <c r="FX22" i="52" s="1"/>
  <c r="FY22" i="52" s="1"/>
  <c r="GG21" i="52"/>
  <c r="FX21" i="52" s="1"/>
  <c r="FY21" i="52" s="1"/>
  <c r="GG23" i="52"/>
  <c r="FX23" i="52" s="1"/>
  <c r="FY23" i="52" s="1"/>
  <c r="GH19" i="52"/>
  <c r="FY19" i="52"/>
  <c r="DG25" i="46"/>
  <c r="J22" i="46"/>
  <c r="DG33" i="46"/>
  <c r="DG23" i="46"/>
  <c r="J20" i="46"/>
  <c r="DY39" i="46"/>
  <c r="DP39" i="46" s="1"/>
  <c r="DY37" i="46"/>
  <c r="DP37" i="46" s="1"/>
  <c r="DY40" i="46"/>
  <c r="DP40" i="46" s="1"/>
  <c r="DY35" i="46"/>
  <c r="DP35" i="46" s="1"/>
  <c r="DY38" i="46"/>
  <c r="DP38" i="46" s="1"/>
  <c r="DY32" i="46"/>
  <c r="DP32" i="46" s="1"/>
  <c r="DY36" i="46"/>
  <c r="DP36" i="46" s="1"/>
  <c r="DY33" i="46"/>
  <c r="DP33" i="46" s="1"/>
  <c r="DY30" i="46"/>
  <c r="DP30" i="46" s="1"/>
  <c r="DY26" i="46"/>
  <c r="DP26" i="46" s="1"/>
  <c r="DY31" i="46"/>
  <c r="DP31" i="46" s="1"/>
  <c r="DY34" i="46"/>
  <c r="DP34" i="46" s="1"/>
  <c r="DY25" i="46"/>
  <c r="DP25" i="46" s="1"/>
  <c r="DY29" i="46"/>
  <c r="DP29" i="46" s="1"/>
  <c r="DY27" i="46"/>
  <c r="DP27" i="46" s="1"/>
  <c r="DY21" i="46"/>
  <c r="DP21" i="46" s="1"/>
  <c r="DY28" i="46"/>
  <c r="DY24" i="46"/>
  <c r="DP24" i="46" s="1"/>
  <c r="DY22" i="46"/>
  <c r="DP22" i="46" s="1"/>
  <c r="DZ19" i="46"/>
  <c r="DY23" i="46"/>
  <c r="DP23" i="46" s="1"/>
  <c r="DQ19" i="46"/>
  <c r="DG35" i="46"/>
  <c r="DG34" i="46"/>
  <c r="DG40" i="46"/>
  <c r="DG21" i="46"/>
  <c r="J18" i="46"/>
  <c r="DG32" i="46"/>
  <c r="AV30" i="46"/>
  <c r="AU31" i="46"/>
  <c r="DG24" i="46"/>
  <c r="J21" i="46"/>
  <c r="DG28" i="46"/>
  <c r="J25" i="46"/>
  <c r="DG26" i="46"/>
  <c r="J23" i="46"/>
  <c r="J24" i="46"/>
  <c r="DG27" i="46"/>
  <c r="DG36" i="46"/>
  <c r="DG39" i="46"/>
  <c r="B28" i="46"/>
  <c r="J28" i="46" s="1"/>
  <c r="E27" i="46"/>
  <c r="F27" i="46"/>
  <c r="G27" i="46"/>
  <c r="H27" i="46"/>
  <c r="DG30" i="46"/>
  <c r="J27" i="46"/>
  <c r="DG37" i="46"/>
  <c r="J19" i="46"/>
  <c r="DG22" i="46"/>
  <c r="J26" i="46"/>
  <c r="DG29" i="46"/>
  <c r="DG31" i="46"/>
  <c r="DG38" i="46"/>
  <c r="O79" i="40"/>
  <c r="O106" i="40"/>
  <c r="V71" i="40"/>
  <c r="V99" i="40"/>
  <c r="P25" i="2" a="1"/>
  <c r="F20" i="64" a="1"/>
  <c r="P24" i="2" a="1"/>
  <c r="F17" i="64" a="1"/>
  <c r="P27" i="2" a="1"/>
  <c r="F14" i="64" a="1"/>
  <c r="P23" i="2" a="1"/>
  <c r="F16" i="64" a="1"/>
  <c r="F13" i="64" a="1"/>
  <c r="P21" i="2" a="1"/>
  <c r="P20" i="2" a="1"/>
  <c r="P22" i="2" a="1"/>
  <c r="F20" i="64" l="1"/>
  <c r="F17" i="64"/>
  <c r="F16" i="64"/>
  <c r="F14" i="64"/>
  <c r="F13" i="64"/>
  <c r="D85" i="52"/>
  <c r="P6" i="52" s="1"/>
  <c r="D87" i="52"/>
  <c r="P5" i="52"/>
  <c r="I85" i="52"/>
  <c r="I86" i="52"/>
  <c r="P27" i="2"/>
  <c r="P31" i="2" s="1"/>
  <c r="F28" i="1" s="1"/>
  <c r="P25" i="2"/>
  <c r="P21" i="2"/>
  <c r="P24" i="2"/>
  <c r="P20" i="2"/>
  <c r="P23" i="2"/>
  <c r="P22" i="2"/>
  <c r="AU38" i="55"/>
  <c r="AV37" i="55"/>
  <c r="GQ32" i="55"/>
  <c r="GH32" i="55" s="1"/>
  <c r="GI32" i="55" s="1"/>
  <c r="GQ31" i="55"/>
  <c r="GH31" i="55" s="1"/>
  <c r="GI31" i="55" s="1"/>
  <c r="GQ30" i="55"/>
  <c r="GH30" i="55" s="1"/>
  <c r="GI30" i="55" s="1"/>
  <c r="GQ29" i="55"/>
  <c r="GH29" i="55" s="1"/>
  <c r="GI29" i="55" s="1"/>
  <c r="GQ28" i="55"/>
  <c r="GH28" i="55" s="1"/>
  <c r="GI28" i="55" s="1"/>
  <c r="GQ27" i="55"/>
  <c r="GH27" i="55" s="1"/>
  <c r="GI27" i="55" s="1"/>
  <c r="GQ26" i="55"/>
  <c r="GH26" i="55" s="1"/>
  <c r="GI26" i="55" s="1"/>
  <c r="GQ25" i="55"/>
  <c r="GH25" i="55" s="1"/>
  <c r="GI25" i="55" s="1"/>
  <c r="GQ24" i="55"/>
  <c r="GH24" i="55" s="1"/>
  <c r="GI24" i="55" s="1"/>
  <c r="GQ23" i="55"/>
  <c r="GH23" i="55" s="1"/>
  <c r="GI23" i="55" s="1"/>
  <c r="GQ21" i="55"/>
  <c r="GH21" i="55" s="1"/>
  <c r="GI21" i="55" s="1"/>
  <c r="GR19" i="55"/>
  <c r="GQ22" i="55"/>
  <c r="GH22" i="55" s="1"/>
  <c r="GI22" i="55" s="1"/>
  <c r="GI19" i="55"/>
  <c r="GQ31" i="54"/>
  <c r="GH31" i="54" s="1"/>
  <c r="GI31" i="54" s="1"/>
  <c r="GQ32" i="54"/>
  <c r="GH32" i="54" s="1"/>
  <c r="GI32" i="54" s="1"/>
  <c r="GQ28" i="54"/>
  <c r="GH28" i="54" s="1"/>
  <c r="GI28" i="54" s="1"/>
  <c r="GQ21" i="54"/>
  <c r="GH21" i="54" s="1"/>
  <c r="GI21" i="54" s="1"/>
  <c r="GR19" i="54"/>
  <c r="GQ26" i="54"/>
  <c r="GH26" i="54" s="1"/>
  <c r="GI26" i="54" s="1"/>
  <c r="GQ24" i="54"/>
  <c r="GH24" i="54" s="1"/>
  <c r="GI24" i="54" s="1"/>
  <c r="GQ30" i="54"/>
  <c r="GH30" i="54" s="1"/>
  <c r="GI30" i="54" s="1"/>
  <c r="GQ27" i="54"/>
  <c r="GH27" i="54" s="1"/>
  <c r="GI27" i="54" s="1"/>
  <c r="GQ25" i="54"/>
  <c r="GH25" i="54" s="1"/>
  <c r="GI25" i="54" s="1"/>
  <c r="GQ22" i="54"/>
  <c r="GH22" i="54" s="1"/>
  <c r="GI22" i="54" s="1"/>
  <c r="GI19" i="54"/>
  <c r="GQ29" i="54"/>
  <c r="GH29" i="54" s="1"/>
  <c r="GI29" i="54" s="1"/>
  <c r="GQ23" i="54"/>
  <c r="GH23" i="54" s="1"/>
  <c r="GI23" i="54" s="1"/>
  <c r="GQ29" i="53"/>
  <c r="GH29" i="53" s="1"/>
  <c r="GI29" i="53" s="1"/>
  <c r="GQ30" i="53"/>
  <c r="GH30" i="53" s="1"/>
  <c r="GI30" i="53" s="1"/>
  <c r="GQ31" i="53"/>
  <c r="GH31" i="53" s="1"/>
  <c r="GI31" i="53" s="1"/>
  <c r="GQ32" i="53"/>
  <c r="GH32" i="53" s="1"/>
  <c r="GI32" i="53" s="1"/>
  <c r="GQ28" i="53"/>
  <c r="GH28" i="53" s="1"/>
  <c r="GI28" i="53" s="1"/>
  <c r="GQ27" i="53"/>
  <c r="GH27" i="53" s="1"/>
  <c r="GI27" i="53" s="1"/>
  <c r="GQ21" i="53"/>
  <c r="GH21" i="53" s="1"/>
  <c r="GI21" i="53" s="1"/>
  <c r="GR19" i="53"/>
  <c r="GQ26" i="53"/>
  <c r="GH26" i="53" s="1"/>
  <c r="GI26" i="53" s="1"/>
  <c r="GQ25" i="53"/>
  <c r="GH25" i="53" s="1"/>
  <c r="GI25" i="53" s="1"/>
  <c r="GQ24" i="53"/>
  <c r="GH24" i="53" s="1"/>
  <c r="GI24" i="53" s="1"/>
  <c r="GQ23" i="53"/>
  <c r="GH23" i="53" s="1"/>
  <c r="GI23" i="53" s="1"/>
  <c r="GQ22" i="53"/>
  <c r="GH22" i="53" s="1"/>
  <c r="GI22" i="53" s="1"/>
  <c r="GI19" i="53"/>
  <c r="AU37" i="53"/>
  <c r="AV36" i="53"/>
  <c r="GQ32" i="52"/>
  <c r="GH32" i="52" s="1"/>
  <c r="GI32" i="52" s="1"/>
  <c r="GQ31" i="52"/>
  <c r="GH31" i="52" s="1"/>
  <c r="GI31" i="52" s="1"/>
  <c r="GQ30" i="52"/>
  <c r="GH30" i="52" s="1"/>
  <c r="GI30" i="52" s="1"/>
  <c r="GQ28" i="52"/>
  <c r="GH28" i="52" s="1"/>
  <c r="GI28" i="52" s="1"/>
  <c r="GQ27" i="52"/>
  <c r="GH27" i="52" s="1"/>
  <c r="GI27" i="52" s="1"/>
  <c r="GQ26" i="52"/>
  <c r="GH26" i="52" s="1"/>
  <c r="GI26" i="52" s="1"/>
  <c r="GQ25" i="52"/>
  <c r="GH25" i="52" s="1"/>
  <c r="GI25" i="52" s="1"/>
  <c r="GQ24" i="52"/>
  <c r="GH24" i="52" s="1"/>
  <c r="GI24" i="52" s="1"/>
  <c r="GQ29" i="52"/>
  <c r="GH29" i="52" s="1"/>
  <c r="GI29" i="52" s="1"/>
  <c r="GQ23" i="52"/>
  <c r="GH23" i="52" s="1"/>
  <c r="GI23" i="52" s="1"/>
  <c r="GQ21" i="52"/>
  <c r="GH21" i="52" s="1"/>
  <c r="GI21" i="52" s="1"/>
  <c r="GI19" i="52"/>
  <c r="GR19" i="52"/>
  <c r="GQ22" i="52"/>
  <c r="GH22" i="52" s="1"/>
  <c r="GI22" i="52" s="1"/>
  <c r="AV35" i="52"/>
  <c r="AU36" i="52"/>
  <c r="B29" i="46"/>
  <c r="E28" i="46"/>
  <c r="F28" i="46"/>
  <c r="G28" i="46"/>
  <c r="H28" i="46"/>
  <c r="I28" i="46"/>
  <c r="DQ23" i="46"/>
  <c r="K20" i="46"/>
  <c r="DQ28" i="46"/>
  <c r="K25" i="46"/>
  <c r="DQ25" i="46"/>
  <c r="K22" i="46"/>
  <c r="DQ30" i="46"/>
  <c r="K27" i="46"/>
  <c r="DQ38" i="46"/>
  <c r="DQ39" i="46"/>
  <c r="AV31" i="46"/>
  <c r="AU32" i="46"/>
  <c r="EI40" i="46"/>
  <c r="DZ40" i="46" s="1"/>
  <c r="EI38" i="46"/>
  <c r="DZ38" i="46" s="1"/>
  <c r="EI36" i="46"/>
  <c r="DZ36" i="46" s="1"/>
  <c r="EI39" i="46"/>
  <c r="DZ39" i="46" s="1"/>
  <c r="EI37" i="46"/>
  <c r="DZ37" i="46" s="1"/>
  <c r="EI34" i="46"/>
  <c r="DZ34" i="46" s="1"/>
  <c r="EI35" i="46"/>
  <c r="DZ35" i="46" s="1"/>
  <c r="EI32" i="46"/>
  <c r="DZ32" i="46" s="1"/>
  <c r="EI29" i="46"/>
  <c r="DZ29" i="46" s="1"/>
  <c r="EI30" i="46"/>
  <c r="DZ30" i="46" s="1"/>
  <c r="EI33" i="46"/>
  <c r="DZ33" i="46" s="1"/>
  <c r="EI31" i="46"/>
  <c r="DZ31" i="46" s="1"/>
  <c r="EI28" i="46"/>
  <c r="DZ28" i="46" s="1"/>
  <c r="EI27" i="46"/>
  <c r="DZ27" i="46" s="1"/>
  <c r="EI24" i="46"/>
  <c r="DZ24" i="46" s="1"/>
  <c r="EJ19" i="46"/>
  <c r="EI21" i="46"/>
  <c r="DZ21" i="46" s="1"/>
  <c r="EA19" i="46"/>
  <c r="EI26" i="46"/>
  <c r="DZ26" i="46" s="1"/>
  <c r="EI22" i="46"/>
  <c r="DZ22" i="46" s="1"/>
  <c r="EI23" i="46"/>
  <c r="DZ23" i="46" s="1"/>
  <c r="EI25" i="46"/>
  <c r="DZ25" i="46" s="1"/>
  <c r="DQ21" i="46"/>
  <c r="K18" i="46"/>
  <c r="DQ34" i="46"/>
  <c r="DQ33" i="46"/>
  <c r="DQ35" i="46"/>
  <c r="K19" i="46"/>
  <c r="DQ22" i="46"/>
  <c r="DQ27" i="46"/>
  <c r="K28" i="46"/>
  <c r="DQ31" i="46"/>
  <c r="DQ36" i="46"/>
  <c r="DQ40" i="46"/>
  <c r="DQ24" i="46"/>
  <c r="K21" i="46"/>
  <c r="DQ29" i="46"/>
  <c r="K26" i="46"/>
  <c r="DQ26" i="46"/>
  <c r="K23" i="46"/>
  <c r="DQ32" i="46"/>
  <c r="K29" i="46"/>
  <c r="DQ37" i="46"/>
  <c r="W71" i="40"/>
  <c r="O107" i="40"/>
  <c r="W99" i="40"/>
  <c r="O80" i="40"/>
  <c r="P7" i="52" l="1"/>
  <c r="D89" i="52"/>
  <c r="P9" i="52" s="1"/>
  <c r="D88" i="52"/>
  <c r="P8" i="52" s="1"/>
  <c r="I88" i="52"/>
  <c r="I87" i="52"/>
  <c r="HA30" i="55"/>
  <c r="GR30" i="55" s="1"/>
  <c r="GS30" i="55" s="1"/>
  <c r="HA32" i="55"/>
  <c r="GR32" i="55" s="1"/>
  <c r="GS32" i="55" s="1"/>
  <c r="HA31" i="55"/>
  <c r="GR31" i="55" s="1"/>
  <c r="GS31" i="55" s="1"/>
  <c r="HA29" i="55"/>
  <c r="GR29" i="55" s="1"/>
  <c r="GS29" i="55" s="1"/>
  <c r="HA28" i="55"/>
  <c r="GR28" i="55" s="1"/>
  <c r="GS28" i="55" s="1"/>
  <c r="HA27" i="55"/>
  <c r="GR27" i="55" s="1"/>
  <c r="GS27" i="55" s="1"/>
  <c r="HA26" i="55"/>
  <c r="GR26" i="55" s="1"/>
  <c r="GS26" i="55" s="1"/>
  <c r="HA25" i="55"/>
  <c r="GR25" i="55" s="1"/>
  <c r="GS25" i="55" s="1"/>
  <c r="HA24" i="55"/>
  <c r="GR24" i="55" s="1"/>
  <c r="GS24" i="55" s="1"/>
  <c r="HA23" i="55"/>
  <c r="GR23" i="55" s="1"/>
  <c r="GS23" i="55" s="1"/>
  <c r="GS19" i="55"/>
  <c r="HB19" i="55"/>
  <c r="HA22" i="55"/>
  <c r="GR22" i="55" s="1"/>
  <c r="GS22" i="55" s="1"/>
  <c r="HA21" i="55"/>
  <c r="GR21" i="55" s="1"/>
  <c r="GS21" i="55" s="1"/>
  <c r="AU39" i="55"/>
  <c r="AV38" i="55"/>
  <c r="HA30" i="54"/>
  <c r="GR30" i="54" s="1"/>
  <c r="GS30" i="54" s="1"/>
  <c r="HA31" i="54"/>
  <c r="GR31" i="54" s="1"/>
  <c r="GS31" i="54" s="1"/>
  <c r="HA28" i="54"/>
  <c r="GR28" i="54" s="1"/>
  <c r="GS28" i="54" s="1"/>
  <c r="HA32" i="54"/>
  <c r="GR32" i="54" s="1"/>
  <c r="GS32" i="54" s="1"/>
  <c r="HA22" i="54"/>
  <c r="GR22" i="54" s="1"/>
  <c r="GS22" i="54" s="1"/>
  <c r="HB19" i="54"/>
  <c r="HA29" i="54"/>
  <c r="GR29" i="54" s="1"/>
  <c r="GS29" i="54" s="1"/>
  <c r="HA24" i="54"/>
  <c r="GR24" i="54" s="1"/>
  <c r="GS24" i="54" s="1"/>
  <c r="HA27" i="54"/>
  <c r="GR27" i="54" s="1"/>
  <c r="GS27" i="54" s="1"/>
  <c r="HA25" i="54"/>
  <c r="GR25" i="54" s="1"/>
  <c r="GS25" i="54" s="1"/>
  <c r="HA21" i="54"/>
  <c r="GR21" i="54" s="1"/>
  <c r="GS21" i="54" s="1"/>
  <c r="HA23" i="54"/>
  <c r="GR23" i="54" s="1"/>
  <c r="GS23" i="54" s="1"/>
  <c r="HA26" i="54"/>
  <c r="GR26" i="54" s="1"/>
  <c r="GS26" i="54" s="1"/>
  <c r="GS19" i="54"/>
  <c r="HA32" i="53"/>
  <c r="GR32" i="53" s="1"/>
  <c r="GS32" i="53" s="1"/>
  <c r="HA30" i="53"/>
  <c r="GR30" i="53" s="1"/>
  <c r="GS30" i="53" s="1"/>
  <c r="HA28" i="53"/>
  <c r="GR28" i="53" s="1"/>
  <c r="GS28" i="53" s="1"/>
  <c r="HA27" i="53"/>
  <c r="GR27" i="53" s="1"/>
  <c r="GS27" i="53" s="1"/>
  <c r="HA26" i="53"/>
  <c r="GR26" i="53" s="1"/>
  <c r="GS26" i="53" s="1"/>
  <c r="HA31" i="53"/>
  <c r="GR31" i="53" s="1"/>
  <c r="GS31" i="53" s="1"/>
  <c r="HA29" i="53"/>
  <c r="GR29" i="53" s="1"/>
  <c r="GS29" i="53" s="1"/>
  <c r="GS19" i="53"/>
  <c r="HA21" i="53"/>
  <c r="GR21" i="53" s="1"/>
  <c r="GS21" i="53" s="1"/>
  <c r="HA25" i="53"/>
  <c r="GR25" i="53" s="1"/>
  <c r="GS25" i="53" s="1"/>
  <c r="HA24" i="53"/>
  <c r="GR24" i="53" s="1"/>
  <c r="GS24" i="53" s="1"/>
  <c r="HA23" i="53"/>
  <c r="GR23" i="53" s="1"/>
  <c r="GS23" i="53" s="1"/>
  <c r="HA22" i="53"/>
  <c r="GR22" i="53" s="1"/>
  <c r="GS22" i="53" s="1"/>
  <c r="HB19" i="53"/>
  <c r="AU38" i="53"/>
  <c r="AV37" i="53"/>
  <c r="AU37" i="52"/>
  <c r="AV36" i="52"/>
  <c r="HA31" i="52"/>
  <c r="GR31" i="52" s="1"/>
  <c r="GS31" i="52" s="1"/>
  <c r="HA30" i="52"/>
  <c r="GR30" i="52" s="1"/>
  <c r="GS30" i="52" s="1"/>
  <c r="HA32" i="52"/>
  <c r="GR32" i="52" s="1"/>
  <c r="GS32" i="52" s="1"/>
  <c r="HA29" i="52"/>
  <c r="GR29" i="52" s="1"/>
  <c r="GS29" i="52" s="1"/>
  <c r="HA28" i="52"/>
  <c r="GR28" i="52" s="1"/>
  <c r="GS28" i="52" s="1"/>
  <c r="HA27" i="52"/>
  <c r="GR27" i="52" s="1"/>
  <c r="GS27" i="52" s="1"/>
  <c r="HA26" i="52"/>
  <c r="GR26" i="52" s="1"/>
  <c r="GS26" i="52" s="1"/>
  <c r="HA25" i="52"/>
  <c r="GR25" i="52" s="1"/>
  <c r="GS25" i="52" s="1"/>
  <c r="HA24" i="52"/>
  <c r="GR24" i="52" s="1"/>
  <c r="GS24" i="52" s="1"/>
  <c r="HA23" i="52"/>
  <c r="GR23" i="52" s="1"/>
  <c r="GS23" i="52" s="1"/>
  <c r="HA22" i="52"/>
  <c r="GR22" i="52" s="1"/>
  <c r="GS22" i="52" s="1"/>
  <c r="HA21" i="52"/>
  <c r="GR21" i="52" s="1"/>
  <c r="GS21" i="52" s="1"/>
  <c r="HB19" i="52"/>
  <c r="GS19" i="52"/>
  <c r="EA22" i="46"/>
  <c r="L19" i="46"/>
  <c r="EA26" i="46"/>
  <c r="L23" i="46"/>
  <c r="EA24" i="46"/>
  <c r="L21" i="46"/>
  <c r="EA33" i="46"/>
  <c r="EA35" i="46"/>
  <c r="EA36" i="46"/>
  <c r="EA25" i="46"/>
  <c r="L22" i="46"/>
  <c r="L24" i="46"/>
  <c r="EA27" i="46"/>
  <c r="L27" i="46"/>
  <c r="EA30" i="46"/>
  <c r="EA34" i="46"/>
  <c r="EA38" i="46"/>
  <c r="EA23" i="46"/>
  <c r="L20" i="46"/>
  <c r="L18" i="46"/>
  <c r="EA21" i="46"/>
  <c r="EA28" i="46"/>
  <c r="L25" i="46"/>
  <c r="EA29" i="46"/>
  <c r="L26" i="46"/>
  <c r="EA37" i="46"/>
  <c r="EA40" i="46"/>
  <c r="ES40" i="46"/>
  <c r="EJ40" i="46" s="1"/>
  <c r="ES38" i="46"/>
  <c r="EJ38" i="46" s="1"/>
  <c r="ES36" i="46"/>
  <c r="EJ36" i="46" s="1"/>
  <c r="ES39" i="46"/>
  <c r="EJ39" i="46" s="1"/>
  <c r="ES33" i="46"/>
  <c r="EJ33" i="46" s="1"/>
  <c r="ES37" i="46"/>
  <c r="EJ37" i="46" s="1"/>
  <c r="ES34" i="46"/>
  <c r="EJ34" i="46" s="1"/>
  <c r="ES35" i="46"/>
  <c r="EJ35" i="46" s="1"/>
  <c r="ES32" i="46"/>
  <c r="EJ32" i="46" s="1"/>
  <c r="ES28" i="46"/>
  <c r="EJ28" i="46" s="1"/>
  <c r="ES29" i="46"/>
  <c r="EJ29" i="46" s="1"/>
  <c r="ES23" i="46"/>
  <c r="EJ23" i="46" s="1"/>
  <c r="ES25" i="46"/>
  <c r="EJ25" i="46" s="1"/>
  <c r="ES30" i="46"/>
  <c r="EJ30" i="46" s="1"/>
  <c r="ES27" i="46"/>
  <c r="EJ27" i="46" s="1"/>
  <c r="ES22" i="46"/>
  <c r="EJ22" i="46" s="1"/>
  <c r="ES24" i="46"/>
  <c r="EJ24" i="46" s="1"/>
  <c r="ES31" i="46"/>
  <c r="EJ31" i="46" s="1"/>
  <c r="ES26" i="46"/>
  <c r="EJ26" i="46" s="1"/>
  <c r="ES21" i="46"/>
  <c r="EJ21" i="46" s="1"/>
  <c r="EK19" i="46"/>
  <c r="ET19" i="46"/>
  <c r="EA31" i="46"/>
  <c r="L28" i="46"/>
  <c r="L29" i="46"/>
  <c r="EA32" i="46"/>
  <c r="EA39" i="46"/>
  <c r="AU33" i="46"/>
  <c r="AV32" i="46"/>
  <c r="B30" i="46"/>
  <c r="E29" i="46"/>
  <c r="F29" i="46"/>
  <c r="G29" i="46"/>
  <c r="H29" i="46"/>
  <c r="I29" i="46"/>
  <c r="J29" i="46"/>
  <c r="O108" i="40"/>
  <c r="X71" i="40"/>
  <c r="O81" i="40"/>
  <c r="X99" i="40"/>
  <c r="HK32" i="55" l="1"/>
  <c r="HB32" i="55" s="1"/>
  <c r="HC32" i="55" s="1"/>
  <c r="HK29" i="55"/>
  <c r="HB29" i="55" s="1"/>
  <c r="HC29" i="55" s="1"/>
  <c r="HK30" i="55"/>
  <c r="HB30" i="55" s="1"/>
  <c r="HC30" i="55" s="1"/>
  <c r="HK31" i="55"/>
  <c r="HB31" i="55" s="1"/>
  <c r="HC31" i="55" s="1"/>
  <c r="HK26" i="55"/>
  <c r="HB26" i="55" s="1"/>
  <c r="HC26" i="55" s="1"/>
  <c r="HK22" i="55"/>
  <c r="HB22" i="55" s="1"/>
  <c r="HC22" i="55" s="1"/>
  <c r="HK27" i="55"/>
  <c r="HB27" i="55" s="1"/>
  <c r="HC27" i="55" s="1"/>
  <c r="HK23" i="55"/>
  <c r="HB23" i="55" s="1"/>
  <c r="HC23" i="55" s="1"/>
  <c r="HL19" i="55"/>
  <c r="HK21" i="55"/>
  <c r="HB21" i="55" s="1"/>
  <c r="HC21" i="55" s="1"/>
  <c r="HK28" i="55"/>
  <c r="HB28" i="55" s="1"/>
  <c r="HC28" i="55" s="1"/>
  <c r="HK24" i="55"/>
  <c r="HB24" i="55" s="1"/>
  <c r="HC24" i="55" s="1"/>
  <c r="HC19" i="55"/>
  <c r="HK25" i="55"/>
  <c r="HB25" i="55" s="1"/>
  <c r="HC25" i="55" s="1"/>
  <c r="AU40" i="55"/>
  <c r="AV40" i="55" s="1"/>
  <c r="AV39" i="55"/>
  <c r="HK29" i="54"/>
  <c r="HB29" i="54" s="1"/>
  <c r="HC29" i="54" s="1"/>
  <c r="HK28" i="54"/>
  <c r="HB28" i="54" s="1"/>
  <c r="HC28" i="54" s="1"/>
  <c r="HK30" i="54"/>
  <c r="HB30" i="54" s="1"/>
  <c r="HC30" i="54" s="1"/>
  <c r="HK27" i="54"/>
  <c r="HB27" i="54" s="1"/>
  <c r="HC27" i="54" s="1"/>
  <c r="HK26" i="54"/>
  <c r="HB26" i="54" s="1"/>
  <c r="HC26" i="54" s="1"/>
  <c r="HK25" i="54"/>
  <c r="HB25" i="54" s="1"/>
  <c r="HC25" i="54" s="1"/>
  <c r="HK24" i="54"/>
  <c r="HB24" i="54" s="1"/>
  <c r="HC24" i="54" s="1"/>
  <c r="HK23" i="54"/>
  <c r="HB23" i="54" s="1"/>
  <c r="HC23" i="54" s="1"/>
  <c r="HK22" i="54"/>
  <c r="HB22" i="54" s="1"/>
  <c r="HC22" i="54" s="1"/>
  <c r="HK32" i="54"/>
  <c r="HB32" i="54" s="1"/>
  <c r="HC32" i="54" s="1"/>
  <c r="HK31" i="54"/>
  <c r="HB31" i="54" s="1"/>
  <c r="HC31" i="54" s="1"/>
  <c r="HL19" i="54"/>
  <c r="HC19" i="54"/>
  <c r="HK21" i="54"/>
  <c r="HB21" i="54" s="1"/>
  <c r="HC21" i="54" s="1"/>
  <c r="AU39" i="53"/>
  <c r="AV38" i="53"/>
  <c r="HK31" i="53"/>
  <c r="HB31" i="53" s="1"/>
  <c r="HC31" i="53" s="1"/>
  <c r="HK32" i="53"/>
  <c r="HB32" i="53" s="1"/>
  <c r="HC32" i="53" s="1"/>
  <c r="HK29" i="53"/>
  <c r="HB29" i="53" s="1"/>
  <c r="HC29" i="53" s="1"/>
  <c r="HK30" i="53"/>
  <c r="HB30" i="53" s="1"/>
  <c r="HC30" i="53" s="1"/>
  <c r="HK28" i="53"/>
  <c r="HB28" i="53" s="1"/>
  <c r="HC28" i="53" s="1"/>
  <c r="HK27" i="53"/>
  <c r="HB27" i="53" s="1"/>
  <c r="HC27" i="53" s="1"/>
  <c r="HK26" i="53"/>
  <c r="HB26" i="53" s="1"/>
  <c r="HC26" i="53" s="1"/>
  <c r="HK25" i="53"/>
  <c r="HB25" i="53" s="1"/>
  <c r="HC25" i="53" s="1"/>
  <c r="HK24" i="53"/>
  <c r="HB24" i="53" s="1"/>
  <c r="HC24" i="53" s="1"/>
  <c r="HK23" i="53"/>
  <c r="HB23" i="53" s="1"/>
  <c r="HC23" i="53" s="1"/>
  <c r="HK22" i="53"/>
  <c r="HB22" i="53" s="1"/>
  <c r="HC22" i="53" s="1"/>
  <c r="HL19" i="53"/>
  <c r="HC19" i="53"/>
  <c r="HK21" i="53"/>
  <c r="HB21" i="53" s="1"/>
  <c r="HC21" i="53" s="1"/>
  <c r="AV37" i="52"/>
  <c r="AU38" i="52"/>
  <c r="HK32" i="52"/>
  <c r="HB32" i="52" s="1"/>
  <c r="HC32" i="52" s="1"/>
  <c r="HK31" i="52"/>
  <c r="HB31" i="52" s="1"/>
  <c r="HC31" i="52" s="1"/>
  <c r="HK29" i="52"/>
  <c r="HB29" i="52" s="1"/>
  <c r="HC29" i="52" s="1"/>
  <c r="HK30" i="52"/>
  <c r="HB30" i="52" s="1"/>
  <c r="HC30" i="52" s="1"/>
  <c r="HK25" i="52"/>
  <c r="HB25" i="52" s="1"/>
  <c r="HC25" i="52" s="1"/>
  <c r="HK22" i="52"/>
  <c r="HB22" i="52" s="1"/>
  <c r="HC22" i="52" s="1"/>
  <c r="HC19" i="52"/>
  <c r="HK26" i="52"/>
  <c r="HB26" i="52" s="1"/>
  <c r="HC26" i="52" s="1"/>
  <c r="HK28" i="52"/>
  <c r="HB28" i="52" s="1"/>
  <c r="HC28" i="52" s="1"/>
  <c r="HL19" i="52"/>
  <c r="HK27" i="52"/>
  <c r="HB27" i="52" s="1"/>
  <c r="HC27" i="52" s="1"/>
  <c r="HK23" i="52"/>
  <c r="HB23" i="52" s="1"/>
  <c r="HC23" i="52" s="1"/>
  <c r="HK21" i="52"/>
  <c r="HB21" i="52" s="1"/>
  <c r="HC21" i="52" s="1"/>
  <c r="HK24" i="52"/>
  <c r="HB24" i="52" s="1"/>
  <c r="HC24" i="52" s="1"/>
  <c r="EK31" i="46"/>
  <c r="M28" i="46"/>
  <c r="EK37" i="46"/>
  <c r="EK24" i="46"/>
  <c r="M21" i="46"/>
  <c r="EK32" i="46"/>
  <c r="M29" i="46"/>
  <c r="EK33" i="46"/>
  <c r="EK40" i="46"/>
  <c r="FC39" i="46"/>
  <c r="ET39" i="46" s="1"/>
  <c r="FC37" i="46"/>
  <c r="ET37" i="46" s="1"/>
  <c r="FC40" i="46"/>
  <c r="ET40" i="46" s="1"/>
  <c r="FC38" i="46"/>
  <c r="ET38" i="46" s="1"/>
  <c r="FC36" i="46"/>
  <c r="ET36" i="46" s="1"/>
  <c r="FC33" i="46"/>
  <c r="ET33" i="46" s="1"/>
  <c r="FC34" i="46"/>
  <c r="ET34" i="46" s="1"/>
  <c r="FC32" i="46"/>
  <c r="ET32" i="46" s="1"/>
  <c r="FC31" i="46"/>
  <c r="ET31" i="46" s="1"/>
  <c r="FC27" i="46"/>
  <c r="ET27" i="46" s="1"/>
  <c r="FC35" i="46"/>
  <c r="ET35" i="46" s="1"/>
  <c r="FC29" i="46"/>
  <c r="ET29" i="46" s="1"/>
  <c r="FC26" i="46"/>
  <c r="ET26" i="46" s="1"/>
  <c r="FC30" i="46"/>
  <c r="ET30" i="46" s="1"/>
  <c r="FD19" i="46"/>
  <c r="EU19" i="46"/>
  <c r="FC28" i="46"/>
  <c r="ET28" i="46" s="1"/>
  <c r="FC25" i="46"/>
  <c r="ET25" i="46" s="1"/>
  <c r="FC23" i="46"/>
  <c r="ET23" i="46" s="1"/>
  <c r="FC22" i="46"/>
  <c r="ET22" i="46" s="1"/>
  <c r="FC21" i="46"/>
  <c r="ET21" i="46" s="1"/>
  <c r="FC24" i="46"/>
  <c r="ET24" i="46" s="1"/>
  <c r="M25" i="46"/>
  <c r="EK28" i="46"/>
  <c r="EK38" i="46"/>
  <c r="M22" i="46"/>
  <c r="EK25" i="46"/>
  <c r="EK21" i="46"/>
  <c r="M18" i="46"/>
  <c r="EK22" i="46"/>
  <c r="M19" i="46"/>
  <c r="EK23" i="46"/>
  <c r="M20" i="46"/>
  <c r="EK35" i="46"/>
  <c r="EK39" i="46"/>
  <c r="EK30" i="46"/>
  <c r="M27" i="46"/>
  <c r="AU34" i="46"/>
  <c r="AV33" i="46"/>
  <c r="B31" i="46"/>
  <c r="EK26" i="46"/>
  <c r="M23" i="46"/>
  <c r="EK27" i="46"/>
  <c r="M24" i="46"/>
  <c r="EK29" i="46"/>
  <c r="M26" i="46"/>
  <c r="EK34" i="46"/>
  <c r="EK36" i="46"/>
  <c r="Y99" i="40"/>
  <c r="O82" i="40"/>
  <c r="O109" i="40"/>
  <c r="Y71" i="40"/>
  <c r="HU29" i="55" l="1"/>
  <c r="HL29" i="55" s="1"/>
  <c r="HM29" i="55" s="1"/>
  <c r="HU30" i="55"/>
  <c r="HL30" i="55" s="1"/>
  <c r="HM30" i="55" s="1"/>
  <c r="HU31" i="55"/>
  <c r="HL31" i="55" s="1"/>
  <c r="HM31" i="55" s="1"/>
  <c r="HU28" i="55"/>
  <c r="HL28" i="55" s="1"/>
  <c r="HM28" i="55" s="1"/>
  <c r="HU27" i="55"/>
  <c r="HL27" i="55" s="1"/>
  <c r="HM27" i="55" s="1"/>
  <c r="HU26" i="55"/>
  <c r="HL26" i="55" s="1"/>
  <c r="HM26" i="55" s="1"/>
  <c r="HU25" i="55"/>
  <c r="HL25" i="55" s="1"/>
  <c r="HM25" i="55" s="1"/>
  <c r="HU24" i="55"/>
  <c r="HL24" i="55" s="1"/>
  <c r="HM24" i="55" s="1"/>
  <c r="HU23" i="55"/>
  <c r="HL23" i="55" s="1"/>
  <c r="HM23" i="55" s="1"/>
  <c r="HU21" i="55"/>
  <c r="HL21" i="55" s="1"/>
  <c r="HM21" i="55" s="1"/>
  <c r="HM19" i="55"/>
  <c r="HU22" i="55"/>
  <c r="HL22" i="55" s="1"/>
  <c r="HM22" i="55" s="1"/>
  <c r="HU32" i="55"/>
  <c r="HL32" i="55" s="1"/>
  <c r="HM32" i="55" s="1"/>
  <c r="HV19" i="55"/>
  <c r="HU32" i="54"/>
  <c r="HL32" i="54" s="1"/>
  <c r="HM32" i="54" s="1"/>
  <c r="HU29" i="54"/>
  <c r="HL29" i="54" s="1"/>
  <c r="HM29" i="54" s="1"/>
  <c r="HU28" i="54"/>
  <c r="HL28" i="54" s="1"/>
  <c r="HM28" i="54" s="1"/>
  <c r="HU27" i="54"/>
  <c r="HL27" i="54" s="1"/>
  <c r="HM27" i="54" s="1"/>
  <c r="HU26" i="54"/>
  <c r="HL26" i="54" s="1"/>
  <c r="HM26" i="54" s="1"/>
  <c r="HU25" i="54"/>
  <c r="HL25" i="54" s="1"/>
  <c r="HM25" i="54" s="1"/>
  <c r="HU24" i="54"/>
  <c r="HL24" i="54" s="1"/>
  <c r="HM24" i="54" s="1"/>
  <c r="HU31" i="54"/>
  <c r="HL31" i="54" s="1"/>
  <c r="HM31" i="54" s="1"/>
  <c r="HV19" i="54"/>
  <c r="HU22" i="54"/>
  <c r="HL22" i="54" s="1"/>
  <c r="HM22" i="54" s="1"/>
  <c r="HU21" i="54"/>
  <c r="HL21" i="54" s="1"/>
  <c r="HM21" i="54" s="1"/>
  <c r="HU30" i="54"/>
  <c r="HL30" i="54" s="1"/>
  <c r="HM30" i="54" s="1"/>
  <c r="HU23" i="54"/>
  <c r="HL23" i="54" s="1"/>
  <c r="HM23" i="54" s="1"/>
  <c r="HM19" i="54"/>
  <c r="HU32" i="53"/>
  <c r="HL32" i="53" s="1"/>
  <c r="HM32" i="53" s="1"/>
  <c r="HU30" i="53"/>
  <c r="HL30" i="53" s="1"/>
  <c r="HM30" i="53" s="1"/>
  <c r="HU31" i="53"/>
  <c r="HL31" i="53" s="1"/>
  <c r="HM31" i="53" s="1"/>
  <c r="HU28" i="53"/>
  <c r="HL28" i="53" s="1"/>
  <c r="HM28" i="53" s="1"/>
  <c r="HU29" i="53"/>
  <c r="HL29" i="53" s="1"/>
  <c r="HM29" i="53" s="1"/>
  <c r="HU27" i="53"/>
  <c r="HL27" i="53" s="1"/>
  <c r="HM27" i="53" s="1"/>
  <c r="HU26" i="53"/>
  <c r="HL26" i="53" s="1"/>
  <c r="HM26" i="53" s="1"/>
  <c r="HU21" i="53"/>
  <c r="HL21" i="53" s="1"/>
  <c r="HM21" i="53" s="1"/>
  <c r="HM19" i="53"/>
  <c r="HU25" i="53"/>
  <c r="HL25" i="53" s="1"/>
  <c r="HM25" i="53" s="1"/>
  <c r="HU24" i="53"/>
  <c r="HL24" i="53" s="1"/>
  <c r="HM24" i="53" s="1"/>
  <c r="HU23" i="53"/>
  <c r="HL23" i="53" s="1"/>
  <c r="HM23" i="53" s="1"/>
  <c r="HU22" i="53"/>
  <c r="HL22" i="53" s="1"/>
  <c r="HM22" i="53" s="1"/>
  <c r="HV19" i="53"/>
  <c r="AU40" i="53"/>
  <c r="AV40" i="53" s="1"/>
  <c r="AV39" i="53"/>
  <c r="HU31" i="52"/>
  <c r="HL31" i="52" s="1"/>
  <c r="HM31" i="52" s="1"/>
  <c r="HU32" i="52"/>
  <c r="HL32" i="52" s="1"/>
  <c r="HM32" i="52" s="1"/>
  <c r="HU29" i="52"/>
  <c r="HL29" i="52" s="1"/>
  <c r="HM29" i="52" s="1"/>
  <c r="HU30" i="52"/>
  <c r="HL30" i="52" s="1"/>
  <c r="HM30" i="52" s="1"/>
  <c r="HU28" i="52"/>
  <c r="HL28" i="52" s="1"/>
  <c r="HM28" i="52" s="1"/>
  <c r="HU27" i="52"/>
  <c r="HL27" i="52" s="1"/>
  <c r="HM27" i="52" s="1"/>
  <c r="HU26" i="52"/>
  <c r="HL26" i="52" s="1"/>
  <c r="HM26" i="52" s="1"/>
  <c r="HU25" i="52"/>
  <c r="HL25" i="52" s="1"/>
  <c r="HM25" i="52" s="1"/>
  <c r="HU24" i="52"/>
  <c r="HL24" i="52" s="1"/>
  <c r="HM24" i="52" s="1"/>
  <c r="HU23" i="52"/>
  <c r="HL23" i="52" s="1"/>
  <c r="HM23" i="52" s="1"/>
  <c r="HV19" i="52"/>
  <c r="HU21" i="52"/>
  <c r="HL21" i="52" s="1"/>
  <c r="HM21" i="52" s="1"/>
  <c r="HU22" i="52"/>
  <c r="HL22" i="52" s="1"/>
  <c r="HM22" i="52" s="1"/>
  <c r="HM19" i="52"/>
  <c r="AU39" i="52"/>
  <c r="AV38" i="52"/>
  <c r="EU29" i="46"/>
  <c r="EU32" i="46"/>
  <c r="EU38" i="46"/>
  <c r="B32" i="46"/>
  <c r="EU23" i="46"/>
  <c r="FM36" i="46"/>
  <c r="FD36" i="46" s="1"/>
  <c r="FM39" i="46"/>
  <c r="FD39" i="46" s="1"/>
  <c r="FM37" i="46"/>
  <c r="FD37" i="46" s="1"/>
  <c r="FM40" i="46"/>
  <c r="FD40" i="46" s="1"/>
  <c r="FM35" i="46"/>
  <c r="FD35" i="46" s="1"/>
  <c r="FM38" i="46"/>
  <c r="FD38" i="46" s="1"/>
  <c r="FM32" i="46"/>
  <c r="FD32" i="46" s="1"/>
  <c r="FM33" i="46"/>
  <c r="FD33" i="46" s="1"/>
  <c r="FM30" i="46"/>
  <c r="FD30" i="46" s="1"/>
  <c r="FM26" i="46"/>
  <c r="FD26" i="46" s="1"/>
  <c r="FM31" i="46"/>
  <c r="FD31" i="46" s="1"/>
  <c r="FM34" i="46"/>
  <c r="FD34" i="46" s="1"/>
  <c r="FM25" i="46"/>
  <c r="FD25" i="46" s="1"/>
  <c r="FM29" i="46"/>
  <c r="FD29" i="46" s="1"/>
  <c r="FM27" i="46"/>
  <c r="FD27" i="46" s="1"/>
  <c r="FM21" i="46"/>
  <c r="FD21" i="46" s="1"/>
  <c r="FM24" i="46"/>
  <c r="FD24" i="46" s="1"/>
  <c r="FM28" i="46"/>
  <c r="FD28" i="46" s="1"/>
  <c r="FM23" i="46"/>
  <c r="FD23" i="46" s="1"/>
  <c r="FM22" i="46"/>
  <c r="FD22" i="46" s="1"/>
  <c r="FN19" i="46"/>
  <c r="FE19" i="46"/>
  <c r="EU35" i="46"/>
  <c r="EU34" i="46"/>
  <c r="EU40" i="46"/>
  <c r="AU35" i="46"/>
  <c r="AV34" i="46"/>
  <c r="EU22" i="46"/>
  <c r="EU24" i="46"/>
  <c r="EU25" i="46"/>
  <c r="EU30" i="46"/>
  <c r="EU27" i="46"/>
  <c r="EU33" i="46"/>
  <c r="EU37" i="46"/>
  <c r="EU21" i="46"/>
  <c r="EU28" i="46"/>
  <c r="EU26" i="46"/>
  <c r="EU31" i="46"/>
  <c r="EU36" i="46"/>
  <c r="EU39" i="46"/>
  <c r="O110" i="40"/>
  <c r="Z71" i="40"/>
  <c r="O83" i="40"/>
  <c r="Z99" i="40"/>
  <c r="IE32" i="55" l="1"/>
  <c r="HV32" i="55" s="1"/>
  <c r="HW32" i="55" s="1"/>
  <c r="IE31" i="55"/>
  <c r="HV31" i="55" s="1"/>
  <c r="HW31" i="55" s="1"/>
  <c r="IE29" i="55"/>
  <c r="HV29" i="55" s="1"/>
  <c r="HW29" i="55" s="1"/>
  <c r="IE30" i="55"/>
  <c r="HV30" i="55" s="1"/>
  <c r="HW30" i="55" s="1"/>
  <c r="IE28" i="55"/>
  <c r="HV28" i="55" s="1"/>
  <c r="HW28" i="55" s="1"/>
  <c r="IE27" i="55"/>
  <c r="HV27" i="55" s="1"/>
  <c r="HW27" i="55" s="1"/>
  <c r="IE26" i="55"/>
  <c r="HV26" i="55" s="1"/>
  <c r="HW26" i="55" s="1"/>
  <c r="IE25" i="55"/>
  <c r="HV25" i="55" s="1"/>
  <c r="HW25" i="55" s="1"/>
  <c r="IE24" i="55"/>
  <c r="HV24" i="55" s="1"/>
  <c r="HW24" i="55" s="1"/>
  <c r="IE23" i="55"/>
  <c r="HV23" i="55" s="1"/>
  <c r="HW23" i="55" s="1"/>
  <c r="IE21" i="55"/>
  <c r="HV21" i="55" s="1"/>
  <c r="HW21" i="55" s="1"/>
  <c r="IF19" i="55"/>
  <c r="IE22" i="55"/>
  <c r="HV22" i="55" s="1"/>
  <c r="HW22" i="55" s="1"/>
  <c r="HW19" i="55"/>
  <c r="IE31" i="54"/>
  <c r="HV31" i="54" s="1"/>
  <c r="HW31" i="54" s="1"/>
  <c r="IE32" i="54"/>
  <c r="HV32" i="54" s="1"/>
  <c r="HW32" i="54" s="1"/>
  <c r="IE28" i="54"/>
  <c r="HV28" i="54" s="1"/>
  <c r="HW28" i="54" s="1"/>
  <c r="IE21" i="54"/>
  <c r="HV21" i="54" s="1"/>
  <c r="HW21" i="54" s="1"/>
  <c r="IF19" i="54"/>
  <c r="IE29" i="54"/>
  <c r="HV29" i="54" s="1"/>
  <c r="HW29" i="54" s="1"/>
  <c r="IE24" i="54"/>
  <c r="HV24" i="54" s="1"/>
  <c r="HW24" i="54" s="1"/>
  <c r="IE23" i="54"/>
  <c r="HV23" i="54" s="1"/>
  <c r="HW23" i="54" s="1"/>
  <c r="IE30" i="54"/>
  <c r="HV30" i="54" s="1"/>
  <c r="HW30" i="54" s="1"/>
  <c r="IE27" i="54"/>
  <c r="HV27" i="54" s="1"/>
  <c r="HW27" i="54" s="1"/>
  <c r="IE25" i="54"/>
  <c r="HV25" i="54" s="1"/>
  <c r="HW25" i="54" s="1"/>
  <c r="IE22" i="54"/>
  <c r="HV22" i="54" s="1"/>
  <c r="HW22" i="54" s="1"/>
  <c r="HW19" i="54"/>
  <c r="IE26" i="54"/>
  <c r="HV26" i="54" s="1"/>
  <c r="HW26" i="54" s="1"/>
  <c r="IE32" i="53"/>
  <c r="HV32" i="53" s="1"/>
  <c r="HW32" i="53" s="1"/>
  <c r="IE29" i="53"/>
  <c r="HV29" i="53" s="1"/>
  <c r="HW29" i="53" s="1"/>
  <c r="IE28" i="53"/>
  <c r="HV28" i="53" s="1"/>
  <c r="HW28" i="53" s="1"/>
  <c r="IE30" i="53"/>
  <c r="HV30" i="53" s="1"/>
  <c r="HW30" i="53" s="1"/>
  <c r="IE31" i="53"/>
  <c r="HV31" i="53" s="1"/>
  <c r="HW31" i="53" s="1"/>
  <c r="IE27" i="53"/>
  <c r="HV27" i="53" s="1"/>
  <c r="HW27" i="53" s="1"/>
  <c r="IE21" i="53"/>
  <c r="HV21" i="53" s="1"/>
  <c r="HW21" i="53" s="1"/>
  <c r="IF19" i="53"/>
  <c r="IE26" i="53"/>
  <c r="HV26" i="53" s="1"/>
  <c r="HW26" i="53" s="1"/>
  <c r="IE25" i="53"/>
  <c r="HV25" i="53" s="1"/>
  <c r="HW25" i="53" s="1"/>
  <c r="IE24" i="53"/>
  <c r="HV24" i="53" s="1"/>
  <c r="HW24" i="53" s="1"/>
  <c r="IE23" i="53"/>
  <c r="HV23" i="53" s="1"/>
  <c r="HW23" i="53" s="1"/>
  <c r="IE22" i="53"/>
  <c r="HV22" i="53" s="1"/>
  <c r="HW22" i="53" s="1"/>
  <c r="HW19" i="53"/>
  <c r="AV39" i="52"/>
  <c r="AU40" i="52"/>
  <c r="AV40" i="52" s="1"/>
  <c r="IE32" i="52"/>
  <c r="HV32" i="52" s="1"/>
  <c r="HW32" i="52" s="1"/>
  <c r="IE31" i="52"/>
  <c r="HV31" i="52" s="1"/>
  <c r="HW31" i="52" s="1"/>
  <c r="IE30" i="52"/>
  <c r="HV30" i="52" s="1"/>
  <c r="HW30" i="52" s="1"/>
  <c r="IE28" i="52"/>
  <c r="HV28" i="52" s="1"/>
  <c r="HW28" i="52" s="1"/>
  <c r="IE27" i="52"/>
  <c r="HV27" i="52" s="1"/>
  <c r="HW27" i="52" s="1"/>
  <c r="IE26" i="52"/>
  <c r="HV26" i="52" s="1"/>
  <c r="HW26" i="52" s="1"/>
  <c r="IE25" i="52"/>
  <c r="HV25" i="52" s="1"/>
  <c r="HW25" i="52" s="1"/>
  <c r="IE24" i="52"/>
  <c r="HV24" i="52" s="1"/>
  <c r="HW24" i="52" s="1"/>
  <c r="IE29" i="52"/>
  <c r="HV29" i="52" s="1"/>
  <c r="HW29" i="52" s="1"/>
  <c r="IE23" i="52"/>
  <c r="HV23" i="52" s="1"/>
  <c r="HW23" i="52" s="1"/>
  <c r="IE21" i="52"/>
  <c r="HV21" i="52" s="1"/>
  <c r="HW21" i="52" s="1"/>
  <c r="HW19" i="52"/>
  <c r="IF19" i="52"/>
  <c r="IE22" i="52"/>
  <c r="HV22" i="52" s="1"/>
  <c r="HW22" i="52" s="1"/>
  <c r="FE29" i="46"/>
  <c r="FE38" i="46"/>
  <c r="AV35" i="46"/>
  <c r="AU36" i="46"/>
  <c r="FW32" i="46"/>
  <c r="FN32" i="46" s="1"/>
  <c r="FW29" i="46"/>
  <c r="FN29" i="46" s="1"/>
  <c r="FW30" i="46"/>
  <c r="FN30" i="46" s="1"/>
  <c r="FW31" i="46"/>
  <c r="FN31" i="46" s="1"/>
  <c r="FW28" i="46"/>
  <c r="FN28" i="46" s="1"/>
  <c r="FW27" i="46"/>
  <c r="FN27" i="46" s="1"/>
  <c r="FW24" i="46"/>
  <c r="FN24" i="46" s="1"/>
  <c r="FX19" i="46"/>
  <c r="FW21" i="46"/>
  <c r="FN21" i="46" s="1"/>
  <c r="FO19" i="46"/>
  <c r="FW26" i="46"/>
  <c r="FN26" i="46" s="1"/>
  <c r="FW22" i="46"/>
  <c r="FN22" i="46" s="1"/>
  <c r="FW25" i="46"/>
  <c r="FN25" i="46" s="1"/>
  <c r="FW23" i="46"/>
  <c r="FN23" i="46" s="1"/>
  <c r="FE24" i="46"/>
  <c r="FE25" i="46"/>
  <c r="FE30" i="46"/>
  <c r="FE35" i="46"/>
  <c r="FE36" i="46"/>
  <c r="B33" i="46"/>
  <c r="I70" i="46"/>
  <c r="H70" i="46"/>
  <c r="H51" i="46"/>
  <c r="I51" i="46"/>
  <c r="FE28" i="46"/>
  <c r="FE26" i="46"/>
  <c r="FE39" i="46"/>
  <c r="FE22" i="46"/>
  <c r="FE21" i="46"/>
  <c r="FE34" i="46"/>
  <c r="FE33" i="46"/>
  <c r="FE40" i="46"/>
  <c r="FE23" i="46"/>
  <c r="FE27" i="46"/>
  <c r="FE31" i="46"/>
  <c r="FE32" i="46"/>
  <c r="FE37" i="46"/>
  <c r="AA99" i="40"/>
  <c r="O84" i="40"/>
  <c r="AA71" i="40"/>
  <c r="O111" i="40"/>
  <c r="G77" i="46" l="1"/>
  <c r="AO55" i="46"/>
  <c r="AM55" i="46"/>
  <c r="AO50" i="46"/>
  <c r="AM50" i="46"/>
  <c r="G75" i="46"/>
  <c r="AM53" i="46"/>
  <c r="AO53" i="46"/>
  <c r="AM48" i="46"/>
  <c r="AO48" i="46"/>
  <c r="IO30" i="55"/>
  <c r="IF30" i="55" s="1"/>
  <c r="IG30" i="55" s="1"/>
  <c r="IO32" i="55"/>
  <c r="IF32" i="55" s="1"/>
  <c r="IG32" i="55" s="1"/>
  <c r="IO31" i="55"/>
  <c r="IF31" i="55" s="1"/>
  <c r="IG31" i="55" s="1"/>
  <c r="IO29" i="55"/>
  <c r="IF29" i="55" s="1"/>
  <c r="IG29" i="55" s="1"/>
  <c r="IO28" i="55"/>
  <c r="IF28" i="55" s="1"/>
  <c r="IG28" i="55" s="1"/>
  <c r="IO27" i="55"/>
  <c r="IF27" i="55" s="1"/>
  <c r="IG27" i="55" s="1"/>
  <c r="IO26" i="55"/>
  <c r="IF26" i="55" s="1"/>
  <c r="IG26" i="55" s="1"/>
  <c r="IO25" i="55"/>
  <c r="IF25" i="55" s="1"/>
  <c r="IG25" i="55" s="1"/>
  <c r="IO24" i="55"/>
  <c r="IF24" i="55" s="1"/>
  <c r="IG24" i="55" s="1"/>
  <c r="IO23" i="55"/>
  <c r="IF23" i="55" s="1"/>
  <c r="IG23" i="55" s="1"/>
  <c r="IG19" i="55"/>
  <c r="IO21" i="55"/>
  <c r="IF21" i="55" s="1"/>
  <c r="IG21" i="55" s="1"/>
  <c r="IO22" i="55"/>
  <c r="IF22" i="55" s="1"/>
  <c r="IG22" i="55" s="1"/>
  <c r="IO30" i="54"/>
  <c r="IF30" i="54" s="1"/>
  <c r="IG30" i="54" s="1"/>
  <c r="IO31" i="54"/>
  <c r="IF31" i="54" s="1"/>
  <c r="IG31" i="54" s="1"/>
  <c r="IO27" i="54"/>
  <c r="IF27" i="54" s="1"/>
  <c r="IG27" i="54" s="1"/>
  <c r="IO28" i="54"/>
  <c r="IF28" i="54" s="1"/>
  <c r="IG28" i="54" s="1"/>
  <c r="IO32" i="54"/>
  <c r="IF32" i="54" s="1"/>
  <c r="IG32" i="54" s="1"/>
  <c r="IO22" i="54"/>
  <c r="IF22" i="54" s="1"/>
  <c r="IG22" i="54" s="1"/>
  <c r="IO23" i="54"/>
  <c r="IF23" i="54" s="1"/>
  <c r="IG23" i="54" s="1"/>
  <c r="IG19" i="54"/>
  <c r="IO25" i="54"/>
  <c r="IF25" i="54" s="1"/>
  <c r="IG25" i="54" s="1"/>
  <c r="IO21" i="54"/>
  <c r="IF21" i="54" s="1"/>
  <c r="IG21" i="54" s="1"/>
  <c r="IO29" i="54"/>
  <c r="IF29" i="54" s="1"/>
  <c r="IG29" i="54" s="1"/>
  <c r="IO26" i="54"/>
  <c r="IF26" i="54" s="1"/>
  <c r="IG26" i="54" s="1"/>
  <c r="IO24" i="54"/>
  <c r="IF24" i="54" s="1"/>
  <c r="IG24" i="54" s="1"/>
  <c r="IO32" i="53"/>
  <c r="IF32" i="53" s="1"/>
  <c r="IG32" i="53" s="1"/>
  <c r="IO30" i="53"/>
  <c r="IF30" i="53" s="1"/>
  <c r="IG30" i="53" s="1"/>
  <c r="IO27" i="53"/>
  <c r="IF27" i="53" s="1"/>
  <c r="IG27" i="53" s="1"/>
  <c r="IO26" i="53"/>
  <c r="IF26" i="53" s="1"/>
  <c r="IG26" i="53" s="1"/>
  <c r="IO31" i="53"/>
  <c r="IF31" i="53" s="1"/>
  <c r="IG31" i="53" s="1"/>
  <c r="IO29" i="53"/>
  <c r="IF29" i="53" s="1"/>
  <c r="IG29" i="53" s="1"/>
  <c r="IO28" i="53"/>
  <c r="IF28" i="53" s="1"/>
  <c r="IG28" i="53" s="1"/>
  <c r="IG19" i="53"/>
  <c r="IO21" i="53"/>
  <c r="IF21" i="53" s="1"/>
  <c r="IG21" i="53" s="1"/>
  <c r="IO25" i="53"/>
  <c r="IF25" i="53" s="1"/>
  <c r="IG25" i="53" s="1"/>
  <c r="IO24" i="53"/>
  <c r="IF24" i="53" s="1"/>
  <c r="IG24" i="53" s="1"/>
  <c r="IO23" i="53"/>
  <c r="IF23" i="53" s="1"/>
  <c r="IG23" i="53" s="1"/>
  <c r="IO22" i="53"/>
  <c r="IF22" i="53" s="1"/>
  <c r="IG22" i="53" s="1"/>
  <c r="IO31" i="52"/>
  <c r="IF31" i="52" s="1"/>
  <c r="IG31" i="52" s="1"/>
  <c r="IO30" i="52"/>
  <c r="IF30" i="52" s="1"/>
  <c r="IG30" i="52" s="1"/>
  <c r="IO32" i="52"/>
  <c r="IF32" i="52" s="1"/>
  <c r="IG32" i="52" s="1"/>
  <c r="IO29" i="52"/>
  <c r="IF29" i="52" s="1"/>
  <c r="IG29" i="52" s="1"/>
  <c r="IO28" i="52"/>
  <c r="IF28" i="52" s="1"/>
  <c r="IG28" i="52" s="1"/>
  <c r="IO27" i="52"/>
  <c r="IF27" i="52" s="1"/>
  <c r="IG27" i="52" s="1"/>
  <c r="IO26" i="52"/>
  <c r="IF26" i="52" s="1"/>
  <c r="IG26" i="52" s="1"/>
  <c r="IO25" i="52"/>
  <c r="IF25" i="52" s="1"/>
  <c r="IG25" i="52" s="1"/>
  <c r="IO24" i="52"/>
  <c r="IF24" i="52" s="1"/>
  <c r="IG24" i="52" s="1"/>
  <c r="IO23" i="52"/>
  <c r="IF23" i="52" s="1"/>
  <c r="IG23" i="52" s="1"/>
  <c r="IO22" i="52"/>
  <c r="IF22" i="52" s="1"/>
  <c r="IG22" i="52" s="1"/>
  <c r="IO21" i="52"/>
  <c r="IF21" i="52" s="1"/>
  <c r="IG21" i="52" s="1"/>
  <c r="IG19" i="52"/>
  <c r="B34" i="46"/>
  <c r="FO23" i="46"/>
  <c r="FO27" i="46"/>
  <c r="FO29" i="46"/>
  <c r="FO21" i="46"/>
  <c r="FO28" i="46"/>
  <c r="G58" i="46"/>
  <c r="E58" i="46"/>
  <c r="E77" i="46"/>
  <c r="FO22" i="46"/>
  <c r="GG32" i="46"/>
  <c r="FX32" i="46" s="1"/>
  <c r="GG28" i="46"/>
  <c r="FX28" i="46" s="1"/>
  <c r="GG29" i="46"/>
  <c r="FX29" i="46" s="1"/>
  <c r="GG30" i="46"/>
  <c r="FX30" i="46" s="1"/>
  <c r="GG23" i="46"/>
  <c r="FX23" i="46" s="1"/>
  <c r="GG25" i="46"/>
  <c r="FX25" i="46" s="1"/>
  <c r="GG27" i="46"/>
  <c r="FX27" i="46" s="1"/>
  <c r="GG22" i="46"/>
  <c r="FX22" i="46" s="1"/>
  <c r="GG24" i="46"/>
  <c r="FX24" i="46" s="1"/>
  <c r="GG31" i="46"/>
  <c r="FX31" i="46" s="1"/>
  <c r="GG26" i="46"/>
  <c r="FX26" i="46" s="1"/>
  <c r="GG21" i="46"/>
  <c r="FX21" i="46" s="1"/>
  <c r="FY19" i="46"/>
  <c r="GH19" i="46"/>
  <c r="FO31" i="46"/>
  <c r="AU37" i="46"/>
  <c r="AV36" i="46"/>
  <c r="E75" i="46"/>
  <c r="FO25" i="46"/>
  <c r="FO32" i="46"/>
  <c r="G56" i="46"/>
  <c r="E56" i="46"/>
  <c r="FO26" i="46"/>
  <c r="FO24" i="46"/>
  <c r="FO30" i="46"/>
  <c r="AB99" i="40"/>
  <c r="O112" i="40"/>
  <c r="AB71" i="40"/>
  <c r="O85" i="40"/>
  <c r="AN53" i="46" l="1"/>
  <c r="AM54" i="46"/>
  <c r="AO54" i="46"/>
  <c r="AN55" i="46"/>
  <c r="E76" i="46"/>
  <c r="AN48" i="46"/>
  <c r="F56" i="46"/>
  <c r="AU38" i="46"/>
  <c r="AV37" i="46"/>
  <c r="FY24" i="46"/>
  <c r="FY23" i="46"/>
  <c r="FY32" i="46"/>
  <c r="F77" i="46"/>
  <c r="G76" i="46"/>
  <c r="AN50" i="46"/>
  <c r="AO49" i="46"/>
  <c r="F75" i="46"/>
  <c r="FY21" i="46"/>
  <c r="FY22" i="46"/>
  <c r="FY30" i="46"/>
  <c r="F58" i="46"/>
  <c r="G57" i="46"/>
  <c r="FY26" i="46"/>
  <c r="FY27" i="46"/>
  <c r="FY29" i="46"/>
  <c r="AM49" i="46"/>
  <c r="GQ32" i="46"/>
  <c r="GH32" i="46" s="1"/>
  <c r="GQ31" i="46"/>
  <c r="GH31" i="46" s="1"/>
  <c r="GQ27" i="46"/>
  <c r="GH27" i="46" s="1"/>
  <c r="GQ29" i="46"/>
  <c r="GH29" i="46" s="1"/>
  <c r="GQ26" i="46"/>
  <c r="GH26" i="46" s="1"/>
  <c r="GQ30" i="46"/>
  <c r="GH30" i="46" s="1"/>
  <c r="GR19" i="46"/>
  <c r="GI19" i="46"/>
  <c r="GQ28" i="46"/>
  <c r="GH28" i="46" s="1"/>
  <c r="GQ25" i="46"/>
  <c r="GH25" i="46" s="1"/>
  <c r="GQ23" i="46"/>
  <c r="GH23" i="46" s="1"/>
  <c r="GQ22" i="46"/>
  <c r="GH22" i="46" s="1"/>
  <c r="GQ24" i="46"/>
  <c r="GH24" i="46" s="1"/>
  <c r="GQ21" i="46"/>
  <c r="GH21" i="46" s="1"/>
  <c r="FY31" i="46"/>
  <c r="FY25" i="46"/>
  <c r="FY28" i="46"/>
  <c r="E57" i="46"/>
  <c r="B35" i="46"/>
  <c r="O86" i="40"/>
  <c r="AC99" i="40"/>
  <c r="O113" i="40"/>
  <c r="AC71" i="40"/>
  <c r="AN54" i="46" l="1"/>
  <c r="AO59" i="46" s="1"/>
  <c r="AN49" i="46"/>
  <c r="F76" i="46"/>
  <c r="J76" i="46" s="1"/>
  <c r="GI22" i="46"/>
  <c r="B36" i="46"/>
  <c r="GI24" i="46"/>
  <c r="GI28" i="46"/>
  <c r="GI26" i="46"/>
  <c r="GI32" i="46"/>
  <c r="GI29" i="46"/>
  <c r="HA32" i="46"/>
  <c r="GR32" i="46" s="1"/>
  <c r="HA30" i="46"/>
  <c r="GR30" i="46" s="1"/>
  <c r="HA26" i="46"/>
  <c r="GR26" i="46" s="1"/>
  <c r="HA31" i="46"/>
  <c r="GR31" i="46" s="1"/>
  <c r="HA25" i="46"/>
  <c r="GR25" i="46" s="1"/>
  <c r="HA29" i="46"/>
  <c r="GR29" i="46" s="1"/>
  <c r="HA27" i="46"/>
  <c r="GR27" i="46" s="1"/>
  <c r="HA21" i="46"/>
  <c r="GR21" i="46" s="1"/>
  <c r="HA28" i="46"/>
  <c r="GR28" i="46" s="1"/>
  <c r="HA24" i="46"/>
  <c r="GR24" i="46" s="1"/>
  <c r="HA23" i="46"/>
  <c r="GR23" i="46" s="1"/>
  <c r="HA22" i="46"/>
  <c r="GR22" i="46" s="1"/>
  <c r="HB19" i="46"/>
  <c r="GS19" i="46"/>
  <c r="GI27" i="46"/>
  <c r="AU39" i="46"/>
  <c r="AV38" i="46"/>
  <c r="GI23" i="46"/>
  <c r="GI21" i="46"/>
  <c r="GI25" i="46"/>
  <c r="GI30" i="46"/>
  <c r="GI31" i="46"/>
  <c r="F57" i="46"/>
  <c r="J56" i="46" s="1"/>
  <c r="AD71" i="40"/>
  <c r="AD99" i="40"/>
  <c r="O114" i="40"/>
  <c r="O87" i="40"/>
  <c r="I83" i="46" l="1"/>
  <c r="D83" i="46"/>
  <c r="D87" i="46" s="1"/>
  <c r="AO58" i="46"/>
  <c r="AU40" i="46"/>
  <c r="AV40" i="46" s="1"/>
  <c r="AV39" i="46"/>
  <c r="HK32" i="46"/>
  <c r="HB32" i="46" s="1"/>
  <c r="HK29" i="46"/>
  <c r="HB29" i="46" s="1"/>
  <c r="HK30" i="46"/>
  <c r="HB30" i="46" s="1"/>
  <c r="HK31" i="46"/>
  <c r="HB31" i="46" s="1"/>
  <c r="HK28" i="46"/>
  <c r="HB28" i="46" s="1"/>
  <c r="HK27" i="46"/>
  <c r="HB27" i="46" s="1"/>
  <c r="HK24" i="46"/>
  <c r="HB24" i="46" s="1"/>
  <c r="HL19" i="46"/>
  <c r="HK23" i="46"/>
  <c r="HB23" i="46" s="1"/>
  <c r="HK21" i="46"/>
  <c r="HB21" i="46" s="1"/>
  <c r="HC19" i="46"/>
  <c r="HK26" i="46"/>
  <c r="HB26" i="46" s="1"/>
  <c r="HK25" i="46"/>
  <c r="HB25" i="46" s="1"/>
  <c r="HK22" i="46"/>
  <c r="HB22" i="46" s="1"/>
  <c r="GS28" i="46"/>
  <c r="GS25" i="46"/>
  <c r="GS32" i="46"/>
  <c r="GS22" i="46"/>
  <c r="GS21" i="46"/>
  <c r="GS31" i="46"/>
  <c r="GS27" i="46"/>
  <c r="GS26" i="46"/>
  <c r="GS23" i="46"/>
  <c r="GS24" i="46"/>
  <c r="GS29" i="46"/>
  <c r="GS30" i="46"/>
  <c r="B37" i="46"/>
  <c r="AE99" i="40"/>
  <c r="AE71" i="40"/>
  <c r="O88" i="40"/>
  <c r="O115" i="40"/>
  <c r="I85" i="46" l="1"/>
  <c r="D85" i="46"/>
  <c r="P6" i="46" s="1"/>
  <c r="I86" i="46"/>
  <c r="I87" i="46" s="1"/>
  <c r="D89" i="46"/>
  <c r="D88" i="46"/>
  <c r="AB72" i="46"/>
  <c r="AB80" i="46" s="1"/>
  <c r="P12" i="46" s="1"/>
  <c r="P5" i="46"/>
  <c r="HC24" i="46"/>
  <c r="HC30" i="46"/>
  <c r="HC22" i="46"/>
  <c r="HC21" i="46"/>
  <c r="HC27" i="46"/>
  <c r="HC29" i="46"/>
  <c r="HC25" i="46"/>
  <c r="HC23" i="46"/>
  <c r="HC28" i="46"/>
  <c r="HC32" i="46"/>
  <c r="HC26" i="46"/>
  <c r="HU32" i="46"/>
  <c r="HL32" i="46" s="1"/>
  <c r="HU28" i="46"/>
  <c r="HL28" i="46" s="1"/>
  <c r="HU29" i="46"/>
  <c r="HL29" i="46" s="1"/>
  <c r="HU30" i="46"/>
  <c r="HL30" i="46" s="1"/>
  <c r="HU23" i="46"/>
  <c r="HL23" i="46" s="1"/>
  <c r="HU25" i="46"/>
  <c r="HL25" i="46" s="1"/>
  <c r="HU27" i="46"/>
  <c r="HL27" i="46" s="1"/>
  <c r="HU22" i="46"/>
  <c r="HL22" i="46" s="1"/>
  <c r="HU24" i="46"/>
  <c r="HL24" i="46" s="1"/>
  <c r="HU31" i="46"/>
  <c r="HL31" i="46" s="1"/>
  <c r="HU26" i="46"/>
  <c r="HL26" i="46" s="1"/>
  <c r="HU21" i="46"/>
  <c r="HL21" i="46" s="1"/>
  <c r="HM19" i="46"/>
  <c r="HV19" i="46"/>
  <c r="HC31" i="46"/>
  <c r="O89" i="40"/>
  <c r="O116" i="40"/>
  <c r="AF71" i="40"/>
  <c r="AF99" i="40"/>
  <c r="I88" i="46" l="1"/>
  <c r="AB81" i="46"/>
  <c r="P11" i="46" s="1"/>
  <c r="P7" i="46"/>
  <c r="P9" i="46"/>
  <c r="P8" i="46"/>
  <c r="HM26" i="46"/>
  <c r="HM27" i="46"/>
  <c r="HM29" i="46"/>
  <c r="HM25" i="46"/>
  <c r="HM28" i="46"/>
  <c r="IE32" i="46"/>
  <c r="HV32" i="46" s="1"/>
  <c r="IE31" i="46"/>
  <c r="HV31" i="46" s="1"/>
  <c r="IE27" i="46"/>
  <c r="HV27" i="46" s="1"/>
  <c r="IE29" i="46"/>
  <c r="HV29" i="46" s="1"/>
  <c r="IE26" i="46"/>
  <c r="HV26" i="46" s="1"/>
  <c r="IE30" i="46"/>
  <c r="HV30" i="46" s="1"/>
  <c r="IF19" i="46"/>
  <c r="HW19" i="46"/>
  <c r="IE28" i="46"/>
  <c r="HV28" i="46" s="1"/>
  <c r="IE25" i="46"/>
  <c r="HV25" i="46" s="1"/>
  <c r="IE23" i="46"/>
  <c r="HV23" i="46" s="1"/>
  <c r="IE22" i="46"/>
  <c r="HV22" i="46" s="1"/>
  <c r="IE21" i="46"/>
  <c r="HV21" i="46" s="1"/>
  <c r="IE24" i="46"/>
  <c r="HV24" i="46" s="1"/>
  <c r="HM23" i="46"/>
  <c r="HM31" i="46"/>
  <c r="HM24" i="46"/>
  <c r="HM32" i="46"/>
  <c r="HM21" i="46"/>
  <c r="HM22" i="46"/>
  <c r="HM30" i="46"/>
  <c r="AG99" i="40"/>
  <c r="O117" i="40"/>
  <c r="AG71" i="40"/>
  <c r="O90" i="40"/>
  <c r="F4" i="64" a="1"/>
  <c r="F9" i="64" a="1"/>
  <c r="F7" i="64" a="1"/>
  <c r="F6" i="64" a="1"/>
  <c r="F10" i="64" a="1"/>
  <c r="F3" i="64" a="1"/>
  <c r="F10" i="64" l="1"/>
  <c r="F9" i="64"/>
  <c r="F7" i="64"/>
  <c r="F4" i="64"/>
  <c r="F3" i="64"/>
  <c r="F6" i="64"/>
  <c r="F23" i="1"/>
  <c r="G15" i="68" s="1"/>
  <c r="F25" i="1"/>
  <c r="F22" i="1"/>
  <c r="O27" i="1" s="1"/>
  <c r="F27" i="1"/>
  <c r="F21" i="1"/>
  <c r="C5" i="68" s="1"/>
  <c r="HW23" i="46"/>
  <c r="HW27" i="46"/>
  <c r="HW24" i="46"/>
  <c r="HW25" i="46"/>
  <c r="HW30" i="46"/>
  <c r="HW31" i="46"/>
  <c r="HW21" i="46"/>
  <c r="HW26" i="46"/>
  <c r="HW28" i="46"/>
  <c r="HW32" i="46"/>
  <c r="HW22" i="46"/>
  <c r="HW29" i="46"/>
  <c r="IO32" i="46"/>
  <c r="IF32" i="46" s="1"/>
  <c r="IO30" i="46"/>
  <c r="IF30" i="46" s="1"/>
  <c r="IO26" i="46"/>
  <c r="IF26" i="46" s="1"/>
  <c r="IO31" i="46"/>
  <c r="IF31" i="46" s="1"/>
  <c r="IO25" i="46"/>
  <c r="IF25" i="46" s="1"/>
  <c r="IO29" i="46"/>
  <c r="IF29" i="46" s="1"/>
  <c r="IO27" i="46"/>
  <c r="IF27" i="46" s="1"/>
  <c r="IO21" i="46"/>
  <c r="IF21" i="46" s="1"/>
  <c r="IO28" i="46"/>
  <c r="IF28" i="46" s="1"/>
  <c r="IO24" i="46"/>
  <c r="IF24" i="46" s="1"/>
  <c r="IO22" i="46"/>
  <c r="IF22" i="46" s="1"/>
  <c r="IO23" i="46"/>
  <c r="IF23" i="46" s="1"/>
  <c r="IG19" i="46"/>
  <c r="O91" i="40"/>
  <c r="AH99" i="40"/>
  <c r="O118" i="40"/>
  <c r="AH71" i="40"/>
  <c r="A12" i="68" l="1"/>
  <c r="O25" i="1" a="1"/>
  <c r="O25" i="1" s="1"/>
  <c r="A8" i="68" s="1"/>
  <c r="O26" i="1"/>
  <c r="IG25" i="46"/>
  <c r="IG23" i="46"/>
  <c r="IG21" i="46"/>
  <c r="IG31" i="46"/>
  <c r="IG27" i="46"/>
  <c r="IG26" i="46"/>
  <c r="IG24" i="46"/>
  <c r="IG29" i="46"/>
  <c r="IG30" i="46"/>
  <c r="IG22" i="46"/>
  <c r="IG28" i="46"/>
  <c r="IG32" i="46"/>
  <c r="AI71" i="40"/>
  <c r="O119" i="40"/>
  <c r="AI99" i="40"/>
  <c r="O92" i="40"/>
  <c r="A7" i="68" l="1"/>
  <c r="N21" i="1"/>
  <c r="N26" i="1"/>
  <c r="A9" i="68"/>
  <c r="O120" i="40"/>
  <c r="AJ71" i="40"/>
  <c r="AJ99" i="40"/>
  <c r="AU20" i="40" l="1"/>
  <c r="AX18" i="40"/>
  <c r="O45" i="40"/>
  <c r="Q43" i="40"/>
  <c r="B17" i="40"/>
  <c r="D15" i="40"/>
  <c r="O47" i="40" l="1"/>
  <c r="O48" i="40" s="1"/>
  <c r="O49" i="40" s="1"/>
  <c r="O50" i="40" s="1"/>
  <c r="O51" i="40" s="1"/>
  <c r="O52" i="40" s="1"/>
  <c r="O53" i="40" s="1"/>
  <c r="O54" i="40" s="1"/>
  <c r="O55" i="40" s="1"/>
  <c r="O56" i="40" s="1"/>
  <c r="O57" i="40" s="1"/>
  <c r="O58" i="40" s="1"/>
  <c r="O59" i="40" s="1"/>
  <c r="O60" i="40" s="1"/>
  <c r="O61" i="40" s="1"/>
  <c r="O62" i="40" s="1"/>
  <c r="O63" i="40" s="1"/>
  <c r="O64" i="40" s="1"/>
  <c r="S43" i="40"/>
  <c r="T43" i="40" s="1"/>
  <c r="U43" i="40" s="1"/>
  <c r="V43" i="40" s="1"/>
  <c r="W43" i="40" s="1"/>
  <c r="X43" i="40" s="1"/>
  <c r="Y43" i="40" s="1"/>
  <c r="Z43" i="40" s="1"/>
  <c r="AA43" i="40" s="1"/>
  <c r="AB43" i="40" s="1"/>
  <c r="AC43" i="40" s="1"/>
  <c r="AD43" i="40" s="1"/>
  <c r="AE43" i="40" s="1"/>
  <c r="AF43" i="40" s="1"/>
  <c r="AG43" i="40" s="1"/>
  <c r="AH43" i="40" s="1"/>
  <c r="AI43" i="40" s="1"/>
  <c r="AJ43" i="40" s="1"/>
  <c r="FK39" i="40"/>
  <c r="FI39" i="40"/>
  <c r="FG39" i="40"/>
  <c r="FL39" i="40" s="1"/>
  <c r="FA39" i="40"/>
  <c r="EY39" i="40"/>
  <c r="EW39" i="40"/>
  <c r="EQ39" i="40"/>
  <c r="EO39" i="40"/>
  <c r="EM39" i="40"/>
  <c r="EG39" i="40"/>
  <c r="EE39" i="40"/>
  <c r="EC39" i="40"/>
  <c r="DW39" i="40"/>
  <c r="DU39" i="40"/>
  <c r="DS39" i="40"/>
  <c r="DM39" i="40"/>
  <c r="DK39" i="40"/>
  <c r="DI39" i="40"/>
  <c r="DC39" i="40"/>
  <c r="DA39" i="40"/>
  <c r="CY39" i="40"/>
  <c r="CS39" i="40"/>
  <c r="CQ39" i="40"/>
  <c r="CO39" i="40"/>
  <c r="CI39" i="40"/>
  <c r="CG39" i="40"/>
  <c r="CE39" i="40"/>
  <c r="BY39" i="40"/>
  <c r="BW39" i="40"/>
  <c r="BU39" i="40"/>
  <c r="BO39" i="40"/>
  <c r="BM39" i="40"/>
  <c r="BK39" i="40"/>
  <c r="BE39" i="40"/>
  <c r="BC39" i="40"/>
  <c r="BA39" i="40"/>
  <c r="BF39" i="40" s="1"/>
  <c r="FK38" i="40"/>
  <c r="FI38" i="40"/>
  <c r="FG38" i="40"/>
  <c r="FA38" i="40"/>
  <c r="EY38" i="40"/>
  <c r="EW38" i="40"/>
  <c r="EQ38" i="40"/>
  <c r="EO38" i="40"/>
  <c r="EM38" i="40"/>
  <c r="EG38" i="40"/>
  <c r="EE38" i="40"/>
  <c r="EC38" i="40"/>
  <c r="DW38" i="40"/>
  <c r="DU38" i="40"/>
  <c r="DS38" i="40"/>
  <c r="DM38" i="40"/>
  <c r="DK38" i="40"/>
  <c r="DI38" i="40"/>
  <c r="DC38" i="40"/>
  <c r="DA38" i="40"/>
  <c r="CY38" i="40"/>
  <c r="CS38" i="40"/>
  <c r="CQ38" i="40"/>
  <c r="CO38" i="40"/>
  <c r="CI38" i="40"/>
  <c r="CG38" i="40"/>
  <c r="CE38" i="40"/>
  <c r="BY38" i="40"/>
  <c r="BW38" i="40"/>
  <c r="BU38" i="40"/>
  <c r="BO38" i="40"/>
  <c r="BM38" i="40"/>
  <c r="BK38" i="40"/>
  <c r="BE38" i="40"/>
  <c r="BC38" i="40"/>
  <c r="BA38" i="40"/>
  <c r="BG38" i="40" s="1"/>
  <c r="AX38" i="40" s="1"/>
  <c r="FK37" i="40"/>
  <c r="FI37" i="40"/>
  <c r="FG37" i="40"/>
  <c r="FA37" i="40"/>
  <c r="EY37" i="40"/>
  <c r="EW37" i="40"/>
  <c r="EQ37" i="40"/>
  <c r="EO37" i="40"/>
  <c r="EM37" i="40"/>
  <c r="EG37" i="40"/>
  <c r="EE37" i="40"/>
  <c r="EC37" i="40"/>
  <c r="DW37" i="40"/>
  <c r="DU37" i="40"/>
  <c r="DS37" i="40"/>
  <c r="DM37" i="40"/>
  <c r="DK37" i="40"/>
  <c r="DI37" i="40"/>
  <c r="DC37" i="40"/>
  <c r="DD37" i="40" s="1"/>
  <c r="DA37" i="40"/>
  <c r="CY37" i="40"/>
  <c r="CS37" i="40"/>
  <c r="CQ37" i="40"/>
  <c r="CO37" i="40"/>
  <c r="CI37" i="40"/>
  <c r="CG37" i="40"/>
  <c r="CE37" i="40"/>
  <c r="BY37" i="40"/>
  <c r="BW37" i="40"/>
  <c r="BU37" i="40"/>
  <c r="BZ37" i="40" s="1"/>
  <c r="BP37" i="40"/>
  <c r="BO37" i="40"/>
  <c r="BM37" i="40"/>
  <c r="BK37" i="40"/>
  <c r="BQ37" i="40" s="1"/>
  <c r="BH37" i="40" s="1"/>
  <c r="BI37" i="40"/>
  <c r="BE37" i="40"/>
  <c r="BC37" i="40"/>
  <c r="BA37" i="40"/>
  <c r="BG37" i="40" s="1"/>
  <c r="AX37" i="40" s="1"/>
  <c r="AY37" i="40" s="1"/>
  <c r="FK36" i="40"/>
  <c r="FI36" i="40"/>
  <c r="FG36" i="40"/>
  <c r="FL36" i="40" s="1"/>
  <c r="FA36" i="40"/>
  <c r="EY36" i="40"/>
  <c r="EW36" i="40"/>
  <c r="EQ36" i="40"/>
  <c r="EO36" i="40"/>
  <c r="EM36" i="40"/>
  <c r="EG36" i="40"/>
  <c r="EE36" i="40"/>
  <c r="EC36" i="40"/>
  <c r="DW36" i="40"/>
  <c r="DU36" i="40"/>
  <c r="DS36" i="40"/>
  <c r="DM36" i="40"/>
  <c r="DK36" i="40"/>
  <c r="DI36" i="40"/>
  <c r="DC36" i="40"/>
  <c r="DA36" i="40"/>
  <c r="CY36" i="40"/>
  <c r="CS36" i="40"/>
  <c r="CQ36" i="40"/>
  <c r="CO36" i="40"/>
  <c r="CI36" i="40"/>
  <c r="CG36" i="40"/>
  <c r="CE36" i="40"/>
  <c r="BY36" i="40"/>
  <c r="BW36" i="40"/>
  <c r="BU36" i="40"/>
  <c r="BO36" i="40"/>
  <c r="BM36" i="40"/>
  <c r="BK36" i="40"/>
  <c r="BE36" i="40"/>
  <c r="BC36" i="40"/>
  <c r="BA36" i="40"/>
  <c r="FK35" i="40"/>
  <c r="FI35" i="40"/>
  <c r="FG35" i="40"/>
  <c r="FA35" i="40"/>
  <c r="EY35" i="40"/>
  <c r="EW35" i="40"/>
  <c r="EQ35" i="40"/>
  <c r="EO35" i="40"/>
  <c r="EM35" i="40"/>
  <c r="EG35" i="40"/>
  <c r="EE35" i="40"/>
  <c r="EC35" i="40"/>
  <c r="EH35" i="40" s="1"/>
  <c r="DW35" i="40"/>
  <c r="DU35" i="40"/>
  <c r="DS35" i="40"/>
  <c r="DX35" i="40" s="1"/>
  <c r="DM35" i="40"/>
  <c r="DK35" i="40"/>
  <c r="DI35" i="40"/>
  <c r="DC35" i="40"/>
  <c r="DA35" i="40"/>
  <c r="CY35" i="40"/>
  <c r="CS35" i="40"/>
  <c r="CQ35" i="40"/>
  <c r="CO35" i="40"/>
  <c r="CI35" i="40"/>
  <c r="CG35" i="40"/>
  <c r="CE35" i="40"/>
  <c r="CJ35" i="40" s="1"/>
  <c r="BY35" i="40"/>
  <c r="BW35" i="40"/>
  <c r="BU35" i="40"/>
  <c r="BO35" i="40"/>
  <c r="BQ35" i="40" s="1"/>
  <c r="BH35" i="40" s="1"/>
  <c r="BM35" i="40"/>
  <c r="BK35" i="40"/>
  <c r="BE35" i="40"/>
  <c r="BC35" i="40"/>
  <c r="BA35" i="40"/>
  <c r="FK34" i="40"/>
  <c r="FI34" i="40"/>
  <c r="FG34" i="40"/>
  <c r="FA34" i="40"/>
  <c r="EY34" i="40"/>
  <c r="EW34" i="40"/>
  <c r="FB34" i="40" s="1"/>
  <c r="EQ34" i="40"/>
  <c r="EO34" i="40"/>
  <c r="EM34" i="40"/>
  <c r="ER34" i="40" s="1"/>
  <c r="EG34" i="40"/>
  <c r="EE34" i="40"/>
  <c r="EC34" i="40"/>
  <c r="DW34" i="40"/>
  <c r="DX34" i="40" s="1"/>
  <c r="DU34" i="40"/>
  <c r="DS34" i="40"/>
  <c r="DM34" i="40"/>
  <c r="DK34" i="40"/>
  <c r="DI34" i="40"/>
  <c r="DC34" i="40"/>
  <c r="DA34" i="40"/>
  <c r="CY34" i="40"/>
  <c r="CS34" i="40"/>
  <c r="CQ34" i="40"/>
  <c r="CO34" i="40"/>
  <c r="CT34" i="40" s="1"/>
  <c r="CI34" i="40"/>
  <c r="CG34" i="40"/>
  <c r="CE34" i="40"/>
  <c r="BY34" i="40"/>
  <c r="BW34" i="40"/>
  <c r="BU34" i="40"/>
  <c r="BO34" i="40"/>
  <c r="BM34" i="40"/>
  <c r="BK34" i="40"/>
  <c r="BP34" i="40" s="1"/>
  <c r="BE34" i="40"/>
  <c r="BC34" i="40"/>
  <c r="BA34" i="40"/>
  <c r="FK33" i="40"/>
  <c r="FI33" i="40"/>
  <c r="FG33" i="40"/>
  <c r="FA33" i="40"/>
  <c r="EY33" i="40"/>
  <c r="EW33" i="40"/>
  <c r="EQ33" i="40"/>
  <c r="EO33" i="40"/>
  <c r="EM33" i="40"/>
  <c r="EG33" i="40"/>
  <c r="EE33" i="40"/>
  <c r="EC33" i="40"/>
  <c r="DW33" i="40"/>
  <c r="DU33" i="40"/>
  <c r="DS33" i="40"/>
  <c r="DM33" i="40"/>
  <c r="DK33" i="40"/>
  <c r="DI33" i="40"/>
  <c r="DC33" i="40"/>
  <c r="DA33" i="40"/>
  <c r="CY33" i="40"/>
  <c r="CS33" i="40"/>
  <c r="CQ33" i="40"/>
  <c r="CO33" i="40"/>
  <c r="CI33" i="40"/>
  <c r="CG33" i="40"/>
  <c r="CE33" i="40"/>
  <c r="BZ33" i="40"/>
  <c r="BY33" i="40"/>
  <c r="BW33" i="40"/>
  <c r="BU33" i="40"/>
  <c r="BQ33" i="40"/>
  <c r="BO33" i="40"/>
  <c r="BM33" i="40"/>
  <c r="BK33" i="40"/>
  <c r="BH33" i="40"/>
  <c r="BE33" i="40"/>
  <c r="BC33" i="40"/>
  <c r="BA33" i="40"/>
  <c r="FK32" i="40"/>
  <c r="FI32" i="40"/>
  <c r="FG32" i="40"/>
  <c r="FA32" i="40"/>
  <c r="EY32" i="40"/>
  <c r="EW32" i="40"/>
  <c r="EQ32" i="40"/>
  <c r="EO32" i="40"/>
  <c r="EM32" i="40"/>
  <c r="EG32" i="40"/>
  <c r="EE32" i="40"/>
  <c r="EC32" i="40"/>
  <c r="DW32" i="40"/>
  <c r="DU32" i="40"/>
  <c r="DS32" i="40"/>
  <c r="DM32" i="40"/>
  <c r="DK32" i="40"/>
  <c r="DI32" i="40"/>
  <c r="DC32" i="40"/>
  <c r="DA32" i="40"/>
  <c r="CY32" i="40"/>
  <c r="DD32" i="40" s="1"/>
  <c r="CS32" i="40"/>
  <c r="CQ32" i="40"/>
  <c r="CO32" i="40"/>
  <c r="CI32" i="40"/>
  <c r="CG32" i="40"/>
  <c r="CE32" i="40"/>
  <c r="BY32" i="40"/>
  <c r="BW32" i="40"/>
  <c r="BU32" i="40"/>
  <c r="BO32" i="40"/>
  <c r="BM32" i="40"/>
  <c r="BP32" i="40" s="1"/>
  <c r="BK32" i="40"/>
  <c r="BE32" i="40"/>
  <c r="BC32" i="40"/>
  <c r="BA32" i="40"/>
  <c r="IM31" i="40"/>
  <c r="IK31" i="40"/>
  <c r="II31" i="40"/>
  <c r="IC31" i="40"/>
  <c r="IA31" i="40"/>
  <c r="HY31" i="40"/>
  <c r="HS31" i="40"/>
  <c r="HQ31" i="40"/>
  <c r="HO31" i="40"/>
  <c r="HI31" i="40"/>
  <c r="HG31" i="40"/>
  <c r="HJ31" i="40" s="1"/>
  <c r="HE31" i="40"/>
  <c r="GY31" i="40"/>
  <c r="GW31" i="40"/>
  <c r="GU31" i="40"/>
  <c r="GO31" i="40"/>
  <c r="GM31" i="40"/>
  <c r="GP31" i="40" s="1"/>
  <c r="GK31" i="40"/>
  <c r="GE31" i="40"/>
  <c r="GC31" i="40"/>
  <c r="GA31" i="40"/>
  <c r="FU31" i="40"/>
  <c r="FS31" i="40"/>
  <c r="FQ31" i="40"/>
  <c r="FK31" i="40"/>
  <c r="FI31" i="40"/>
  <c r="FG31" i="40"/>
  <c r="FA31" i="40"/>
  <c r="EY31" i="40"/>
  <c r="EW31" i="40"/>
  <c r="EQ31" i="40"/>
  <c r="EO31" i="40"/>
  <c r="EM31" i="40"/>
  <c r="EG31" i="40"/>
  <c r="EE31" i="40"/>
  <c r="EH31" i="40" s="1"/>
  <c r="EC31" i="40"/>
  <c r="DW31" i="40"/>
  <c r="DU31" i="40"/>
  <c r="DS31" i="40"/>
  <c r="DX31" i="40" s="1"/>
  <c r="DM31" i="40"/>
  <c r="DK31" i="40"/>
  <c r="DN31" i="40" s="1"/>
  <c r="DI31" i="40"/>
  <c r="DC31" i="40"/>
  <c r="DA31" i="40"/>
  <c r="CY31" i="40"/>
  <c r="CS31" i="40"/>
  <c r="CQ31" i="40"/>
  <c r="CO31" i="40"/>
  <c r="CI31" i="40"/>
  <c r="CG31" i="40"/>
  <c r="CE31" i="40"/>
  <c r="BY31" i="40"/>
  <c r="BW31" i="40"/>
  <c r="BU31" i="40"/>
  <c r="BO31" i="40"/>
  <c r="BM31" i="40"/>
  <c r="BK31" i="40"/>
  <c r="BE31" i="40"/>
  <c r="BC31" i="40"/>
  <c r="BF31" i="40" s="1"/>
  <c r="BA31" i="40"/>
  <c r="IM30" i="40"/>
  <c r="IK30" i="40"/>
  <c r="II30" i="40"/>
  <c r="IC30" i="40"/>
  <c r="IA30" i="40"/>
  <c r="HY30" i="40"/>
  <c r="HT30" i="40"/>
  <c r="HS30" i="40"/>
  <c r="HQ30" i="40"/>
  <c r="HO30" i="40"/>
  <c r="HI30" i="40"/>
  <c r="HG30" i="40"/>
  <c r="HE30" i="40"/>
  <c r="GY30" i="40"/>
  <c r="GW30" i="40"/>
  <c r="GZ30" i="40" s="1"/>
  <c r="GU30" i="40"/>
  <c r="GO30" i="40"/>
  <c r="GM30" i="40"/>
  <c r="GK30" i="40"/>
  <c r="GE30" i="40"/>
  <c r="GC30" i="40"/>
  <c r="GA30" i="40"/>
  <c r="FU30" i="40"/>
  <c r="FS30" i="40"/>
  <c r="FQ30" i="40"/>
  <c r="FK30" i="40"/>
  <c r="FI30" i="40"/>
  <c r="FG30" i="40"/>
  <c r="FA30" i="40"/>
  <c r="EY30" i="40"/>
  <c r="EW30" i="40"/>
  <c r="EQ30" i="40"/>
  <c r="EO30" i="40"/>
  <c r="EM30" i="40"/>
  <c r="EG30" i="40"/>
  <c r="EE30" i="40"/>
  <c r="EC30" i="40"/>
  <c r="DW30" i="40"/>
  <c r="DU30" i="40"/>
  <c r="DX30" i="40" s="1"/>
  <c r="DS30" i="40"/>
  <c r="DM30" i="40"/>
  <c r="DK30" i="40"/>
  <c r="DI30" i="40"/>
  <c r="DC30" i="40"/>
  <c r="DA30" i="40"/>
  <c r="CY30" i="40"/>
  <c r="CS30" i="40"/>
  <c r="CQ30" i="40"/>
  <c r="CO30" i="40"/>
  <c r="CI30" i="40"/>
  <c r="CG30" i="40"/>
  <c r="CE30" i="40"/>
  <c r="BY30" i="40"/>
  <c r="BW30" i="40"/>
  <c r="BU30" i="40"/>
  <c r="BO30" i="40"/>
  <c r="BM30" i="40"/>
  <c r="BK30" i="40"/>
  <c r="BE30" i="40"/>
  <c r="BC30" i="40"/>
  <c r="BA30" i="40"/>
  <c r="IM29" i="40"/>
  <c r="IK29" i="40"/>
  <c r="II29" i="40"/>
  <c r="IC29" i="40"/>
  <c r="IA29" i="40"/>
  <c r="HY29" i="40"/>
  <c r="HS29" i="40"/>
  <c r="HQ29" i="40"/>
  <c r="HO29" i="40"/>
  <c r="HI29" i="40"/>
  <c r="HG29" i="40"/>
  <c r="HE29" i="40"/>
  <c r="GY29" i="40"/>
  <c r="GW29" i="40"/>
  <c r="GZ29" i="40" s="1"/>
  <c r="GU29" i="40"/>
  <c r="GO29" i="40"/>
  <c r="GM29" i="40"/>
  <c r="GK29" i="40"/>
  <c r="GE29" i="40"/>
  <c r="GC29" i="40"/>
  <c r="GA29" i="40"/>
  <c r="FU29" i="40"/>
  <c r="FS29" i="40"/>
  <c r="FQ29" i="40"/>
  <c r="FK29" i="40"/>
  <c r="FI29" i="40"/>
  <c r="FL29" i="40" s="1"/>
  <c r="FG29" i="40"/>
  <c r="FA29" i="40"/>
  <c r="EY29" i="40"/>
  <c r="EW29" i="40"/>
  <c r="EQ29" i="40"/>
  <c r="EO29" i="40"/>
  <c r="EM29" i="40"/>
  <c r="EG29" i="40"/>
  <c r="EE29" i="40"/>
  <c r="EC29" i="40"/>
  <c r="DW29" i="40"/>
  <c r="DU29" i="40"/>
  <c r="DX29" i="40" s="1"/>
  <c r="DS29" i="40"/>
  <c r="DM29" i="40"/>
  <c r="DK29" i="40"/>
  <c r="DI29" i="40"/>
  <c r="DC29" i="40"/>
  <c r="DA29" i="40"/>
  <c r="CY29" i="40"/>
  <c r="CS29" i="40"/>
  <c r="CQ29" i="40"/>
  <c r="CO29" i="40"/>
  <c r="CI29" i="40"/>
  <c r="CG29" i="40"/>
  <c r="CJ29" i="40" s="1"/>
  <c r="CE29" i="40"/>
  <c r="BY29" i="40"/>
  <c r="BW29" i="40"/>
  <c r="BU29" i="40"/>
  <c r="BO29" i="40"/>
  <c r="BM29" i="40"/>
  <c r="BK29" i="40"/>
  <c r="BE29" i="40"/>
  <c r="BC29" i="40"/>
  <c r="BA29" i="40"/>
  <c r="IM28" i="40"/>
  <c r="IK28" i="40"/>
  <c r="II28" i="40"/>
  <c r="IC28" i="40"/>
  <c r="IA28" i="40"/>
  <c r="HY28" i="40"/>
  <c r="HS28" i="40"/>
  <c r="HQ28" i="40"/>
  <c r="HT28" i="40" s="1"/>
  <c r="HO28" i="40"/>
  <c r="HI28" i="40"/>
  <c r="HG28" i="40"/>
  <c r="HE28" i="40"/>
  <c r="GY28" i="40"/>
  <c r="GW28" i="40"/>
  <c r="GU28" i="40"/>
  <c r="GO28" i="40"/>
  <c r="GM28" i="40"/>
  <c r="GP28" i="40" s="1"/>
  <c r="GK28" i="40"/>
  <c r="GE28" i="40"/>
  <c r="GC28" i="40"/>
  <c r="GF28" i="40" s="1"/>
  <c r="GA28" i="40"/>
  <c r="FU28" i="40"/>
  <c r="FS28" i="40"/>
  <c r="FQ28" i="40"/>
  <c r="FK28" i="40"/>
  <c r="FI28" i="40"/>
  <c r="FG28" i="40"/>
  <c r="FA28" i="40"/>
  <c r="EY28" i="40"/>
  <c r="EW28" i="40"/>
  <c r="EQ28" i="40"/>
  <c r="EO28" i="40"/>
  <c r="ER28" i="40" s="1"/>
  <c r="EM28" i="40"/>
  <c r="EG28" i="40"/>
  <c r="EE28" i="40"/>
  <c r="EC28" i="40"/>
  <c r="DW28" i="40"/>
  <c r="DU28" i="40"/>
  <c r="DS28" i="40"/>
  <c r="DN28" i="40"/>
  <c r="DM28" i="40"/>
  <c r="DK28" i="40"/>
  <c r="DI28" i="40"/>
  <c r="DD28" i="40"/>
  <c r="DC28" i="40"/>
  <c r="DA28" i="40"/>
  <c r="CY28" i="40"/>
  <c r="CS28" i="40"/>
  <c r="CQ28" i="40"/>
  <c r="CO28" i="40"/>
  <c r="CI28" i="40"/>
  <c r="CG28" i="40"/>
  <c r="CE28" i="40"/>
  <c r="BY28" i="40"/>
  <c r="BW28" i="40"/>
  <c r="BU28" i="40"/>
  <c r="BO28" i="40"/>
  <c r="BM28" i="40"/>
  <c r="BP28" i="40" s="1"/>
  <c r="BK28" i="40"/>
  <c r="BE28" i="40"/>
  <c r="BC28" i="40"/>
  <c r="BA28" i="40"/>
  <c r="IM27" i="40"/>
  <c r="IK27" i="40"/>
  <c r="II27" i="40"/>
  <c r="IC27" i="40"/>
  <c r="IA27" i="40"/>
  <c r="HY27" i="40"/>
  <c r="HS27" i="40"/>
  <c r="HQ27" i="40"/>
  <c r="HO27" i="40"/>
  <c r="HI27" i="40"/>
  <c r="HG27" i="40"/>
  <c r="HE27" i="40"/>
  <c r="GY27" i="40"/>
  <c r="GW27" i="40"/>
  <c r="GU27" i="40"/>
  <c r="GO27" i="40"/>
  <c r="GM27" i="40"/>
  <c r="GK27" i="40"/>
  <c r="GE27" i="40"/>
  <c r="GC27" i="40"/>
  <c r="GA27" i="40"/>
  <c r="FU27" i="40"/>
  <c r="FS27" i="40"/>
  <c r="FQ27" i="40"/>
  <c r="FK27" i="40"/>
  <c r="FI27" i="40"/>
  <c r="FG27" i="40"/>
  <c r="FA27" i="40"/>
  <c r="EY27" i="40"/>
  <c r="EW27" i="40"/>
  <c r="EQ27" i="40"/>
  <c r="EO27" i="40"/>
  <c r="EM27" i="40"/>
  <c r="EG27" i="40"/>
  <c r="EE27" i="40"/>
  <c r="EC27" i="40"/>
  <c r="DW27" i="40"/>
  <c r="DU27" i="40"/>
  <c r="DS27" i="40"/>
  <c r="DM27" i="40"/>
  <c r="DK27" i="40"/>
  <c r="DI27" i="40"/>
  <c r="DC27" i="40"/>
  <c r="DA27" i="40"/>
  <c r="CY27" i="40"/>
  <c r="CS27" i="40"/>
  <c r="CQ27" i="40"/>
  <c r="CO27" i="40"/>
  <c r="CI27" i="40"/>
  <c r="CG27" i="40"/>
  <c r="CE27" i="40"/>
  <c r="BY27" i="40"/>
  <c r="BW27" i="40"/>
  <c r="BU27" i="40"/>
  <c r="BO27" i="40"/>
  <c r="BM27" i="40"/>
  <c r="BK27" i="40"/>
  <c r="BE27" i="40"/>
  <c r="BC27" i="40"/>
  <c r="BA27" i="40"/>
  <c r="IM26" i="40"/>
  <c r="IK26" i="40"/>
  <c r="IN26" i="40" s="1"/>
  <c r="II26" i="40"/>
  <c r="IC26" i="40"/>
  <c r="IA26" i="40"/>
  <c r="HY26" i="40"/>
  <c r="HS26" i="40"/>
  <c r="HQ26" i="40"/>
  <c r="HO26" i="40"/>
  <c r="HJ26" i="40"/>
  <c r="HI26" i="40"/>
  <c r="HG26" i="40"/>
  <c r="HE26" i="40"/>
  <c r="GZ26" i="40"/>
  <c r="GY26" i="40"/>
  <c r="GW26" i="40"/>
  <c r="GU26" i="40"/>
  <c r="GO26" i="40"/>
  <c r="GM26" i="40"/>
  <c r="GK26" i="40"/>
  <c r="GE26" i="40"/>
  <c r="GC26" i="40"/>
  <c r="GA26" i="40"/>
  <c r="FU26" i="40"/>
  <c r="FS26" i="40"/>
  <c r="FQ26" i="40"/>
  <c r="FK26" i="40"/>
  <c r="FI26" i="40"/>
  <c r="FL26" i="40" s="1"/>
  <c r="FG26" i="40"/>
  <c r="FA26" i="40"/>
  <c r="EY26" i="40"/>
  <c r="EW26" i="40"/>
  <c r="EQ26" i="40"/>
  <c r="EO26" i="40"/>
  <c r="EM26" i="40"/>
  <c r="EG26" i="40"/>
  <c r="EE26" i="40"/>
  <c r="EH26" i="40" s="1"/>
  <c r="EC26" i="40"/>
  <c r="DW26" i="40"/>
  <c r="DU26" i="40"/>
  <c r="DX26" i="40" s="1"/>
  <c r="DS26" i="40"/>
  <c r="DM26" i="40"/>
  <c r="DK26" i="40"/>
  <c r="DI26" i="40"/>
  <c r="DC26" i="40"/>
  <c r="DA26" i="40"/>
  <c r="CY26" i="40"/>
  <c r="CS26" i="40"/>
  <c r="CQ26" i="40"/>
  <c r="CO26" i="40"/>
  <c r="CI26" i="40"/>
  <c r="CG26" i="40"/>
  <c r="CJ26" i="40" s="1"/>
  <c r="CE26" i="40"/>
  <c r="BY26" i="40"/>
  <c r="BW26" i="40"/>
  <c r="BU26" i="40"/>
  <c r="BO26" i="40"/>
  <c r="BM26" i="40"/>
  <c r="BK26" i="40"/>
  <c r="BE26" i="40"/>
  <c r="BC26" i="40"/>
  <c r="BA26" i="40"/>
  <c r="IM25" i="40"/>
  <c r="IK25" i="40"/>
  <c r="II25" i="40"/>
  <c r="IC25" i="40"/>
  <c r="IA25" i="40"/>
  <c r="HY25" i="40"/>
  <c r="HS25" i="40"/>
  <c r="HQ25" i="40"/>
  <c r="HO25" i="40"/>
  <c r="HI25" i="40"/>
  <c r="HG25" i="40"/>
  <c r="HE25" i="40"/>
  <c r="GY25" i="40"/>
  <c r="GW25" i="40"/>
  <c r="GU25" i="40"/>
  <c r="GZ25" i="40" s="1"/>
  <c r="GO25" i="40"/>
  <c r="GM25" i="40"/>
  <c r="GK25" i="40"/>
  <c r="GE25" i="40"/>
  <c r="GC25" i="40"/>
  <c r="GA25" i="40"/>
  <c r="GF25" i="40" s="1"/>
  <c r="FU25" i="40"/>
  <c r="FS25" i="40"/>
  <c r="FQ25" i="40"/>
  <c r="FK25" i="40"/>
  <c r="FI25" i="40"/>
  <c r="FG25" i="40"/>
  <c r="FA25" i="40"/>
  <c r="EY25" i="40"/>
  <c r="EW25" i="40"/>
  <c r="EQ25" i="40"/>
  <c r="EO25" i="40"/>
  <c r="EM25" i="40"/>
  <c r="ER25" i="40" s="1"/>
  <c r="EG25" i="40"/>
  <c r="EE25" i="40"/>
  <c r="EC25" i="40"/>
  <c r="DX25" i="40"/>
  <c r="DW25" i="40"/>
  <c r="DU25" i="40"/>
  <c r="DS25" i="40"/>
  <c r="DM25" i="40"/>
  <c r="DK25" i="40"/>
  <c r="DI25" i="40"/>
  <c r="DC25" i="40"/>
  <c r="DA25" i="40"/>
  <c r="CY25" i="40"/>
  <c r="CS25" i="40"/>
  <c r="CQ25" i="40"/>
  <c r="CO25" i="40"/>
  <c r="CI25" i="40"/>
  <c r="CG25" i="40"/>
  <c r="CE25" i="40"/>
  <c r="BY25" i="40"/>
  <c r="BW25" i="40"/>
  <c r="BU25" i="40"/>
  <c r="BO25" i="40"/>
  <c r="BM25" i="40"/>
  <c r="BK25" i="40"/>
  <c r="BP25" i="40" s="1"/>
  <c r="BE25" i="40"/>
  <c r="BC25" i="40"/>
  <c r="BA25" i="40"/>
  <c r="IM24" i="40"/>
  <c r="IK24" i="40"/>
  <c r="II24" i="40"/>
  <c r="IC24" i="40"/>
  <c r="IA24" i="40"/>
  <c r="HY24" i="40"/>
  <c r="HS24" i="40"/>
  <c r="HQ24" i="40"/>
  <c r="HO24" i="40"/>
  <c r="HI24" i="40"/>
  <c r="HG24" i="40"/>
  <c r="HE24" i="40"/>
  <c r="GY24" i="40"/>
  <c r="GW24" i="40"/>
  <c r="GU24" i="40"/>
  <c r="GO24" i="40"/>
  <c r="GM24" i="40"/>
  <c r="GK24" i="40"/>
  <c r="GE24" i="40"/>
  <c r="GC24" i="40"/>
  <c r="GA24" i="40"/>
  <c r="FU24" i="40"/>
  <c r="FS24" i="40"/>
  <c r="FQ24" i="40"/>
  <c r="FK24" i="40"/>
  <c r="FI24" i="40"/>
  <c r="FG24" i="40"/>
  <c r="FA24" i="40"/>
  <c r="EY24" i="40"/>
  <c r="EW24" i="40"/>
  <c r="ER24" i="40"/>
  <c r="EQ24" i="40"/>
  <c r="EO24" i="40"/>
  <c r="EM24" i="40"/>
  <c r="EG24" i="40"/>
  <c r="EE24" i="40"/>
  <c r="EC24" i="40"/>
  <c r="DW24" i="40"/>
  <c r="DU24" i="40"/>
  <c r="DS24" i="40"/>
  <c r="DM24" i="40"/>
  <c r="DK24" i="40"/>
  <c r="DI24" i="40"/>
  <c r="DN24" i="40" s="1"/>
  <c r="DC24" i="40"/>
  <c r="DA24" i="40"/>
  <c r="CY24" i="40"/>
  <c r="CS24" i="40"/>
  <c r="CQ24" i="40"/>
  <c r="CO24" i="40"/>
  <c r="CI24" i="40"/>
  <c r="CG24" i="40"/>
  <c r="CE24" i="40"/>
  <c r="BY24" i="40"/>
  <c r="BW24" i="40"/>
  <c r="BU24" i="40"/>
  <c r="BO24" i="40"/>
  <c r="BM24" i="40"/>
  <c r="BK24" i="40"/>
  <c r="BE24" i="40"/>
  <c r="BC24" i="40"/>
  <c r="BA24" i="40"/>
  <c r="IM23" i="40"/>
  <c r="IK23" i="40"/>
  <c r="II23" i="40"/>
  <c r="IC23" i="40"/>
  <c r="IA23" i="40"/>
  <c r="HY23" i="40"/>
  <c r="HS23" i="40"/>
  <c r="HQ23" i="40"/>
  <c r="HO23" i="40"/>
  <c r="HI23" i="40"/>
  <c r="HG23" i="40"/>
  <c r="HE23" i="40"/>
  <c r="GY23" i="40"/>
  <c r="GW23" i="40"/>
  <c r="GU23" i="40"/>
  <c r="GO23" i="40"/>
  <c r="GM23" i="40"/>
  <c r="GK23" i="40"/>
  <c r="GE23" i="40"/>
  <c r="GC23" i="40"/>
  <c r="GA23" i="40"/>
  <c r="FU23" i="40"/>
  <c r="FS23" i="40"/>
  <c r="FQ23" i="40"/>
  <c r="FK23" i="40"/>
  <c r="FI23" i="40"/>
  <c r="FG23" i="40"/>
  <c r="FA23" i="40"/>
  <c r="EY23" i="40"/>
  <c r="EW23" i="40"/>
  <c r="EQ23" i="40"/>
  <c r="EO23" i="40"/>
  <c r="EM23" i="40"/>
  <c r="EG23" i="40"/>
  <c r="EE23" i="40"/>
  <c r="EC23" i="40"/>
  <c r="DW23" i="40"/>
  <c r="DU23" i="40"/>
  <c r="DS23" i="40"/>
  <c r="DX23" i="40" s="1"/>
  <c r="DM23" i="40"/>
  <c r="DK23" i="40"/>
  <c r="DI23" i="40"/>
  <c r="DC23" i="40"/>
  <c r="DA23" i="40"/>
  <c r="CY23" i="40"/>
  <c r="CS23" i="40"/>
  <c r="CQ23" i="40"/>
  <c r="CO23" i="40"/>
  <c r="CI23" i="40"/>
  <c r="CG23" i="40"/>
  <c r="CE23" i="40"/>
  <c r="BY23" i="40"/>
  <c r="BW23" i="40"/>
  <c r="BU23" i="40"/>
  <c r="BO23" i="40"/>
  <c r="BM23" i="40"/>
  <c r="BK23" i="40"/>
  <c r="BE23" i="40"/>
  <c r="BC23" i="40"/>
  <c r="BA23" i="40"/>
  <c r="IM22" i="40"/>
  <c r="IK22" i="40"/>
  <c r="II22" i="40"/>
  <c r="IC22" i="40"/>
  <c r="IA22" i="40"/>
  <c r="HY22" i="40"/>
  <c r="HS22" i="40"/>
  <c r="HQ22" i="40"/>
  <c r="HO22" i="40"/>
  <c r="HI22" i="40"/>
  <c r="HG22" i="40"/>
  <c r="HE22" i="40"/>
  <c r="HJ22" i="40" s="1"/>
  <c r="GY22" i="40"/>
  <c r="GW22" i="40"/>
  <c r="GU22" i="40"/>
  <c r="GO22" i="40"/>
  <c r="GM22" i="40"/>
  <c r="GK22" i="40"/>
  <c r="GE22" i="40"/>
  <c r="GC22" i="40"/>
  <c r="GA22" i="40"/>
  <c r="FU22" i="40"/>
  <c r="FS22" i="40"/>
  <c r="FQ22" i="40"/>
  <c r="FV22" i="40" s="1"/>
  <c r="FK22" i="40"/>
  <c r="FI22" i="40"/>
  <c r="FG22" i="40"/>
  <c r="FA22" i="40"/>
  <c r="EY22" i="40"/>
  <c r="EW22" i="40"/>
  <c r="EQ22" i="40"/>
  <c r="EO22" i="40"/>
  <c r="EM22" i="40"/>
  <c r="EG22" i="40"/>
  <c r="EE22" i="40"/>
  <c r="EC22" i="40"/>
  <c r="EH22" i="40" s="1"/>
  <c r="DW22" i="40"/>
  <c r="DU22" i="40"/>
  <c r="DS22" i="40"/>
  <c r="DM22" i="40"/>
  <c r="DK22" i="40"/>
  <c r="DI22" i="40"/>
  <c r="DC22" i="40"/>
  <c r="DA22" i="40"/>
  <c r="CY22" i="40"/>
  <c r="CS22" i="40"/>
  <c r="CQ22" i="40"/>
  <c r="CO22" i="40"/>
  <c r="CI22" i="40"/>
  <c r="CG22" i="40"/>
  <c r="CE22" i="40"/>
  <c r="BY22" i="40"/>
  <c r="BW22" i="40"/>
  <c r="BU22" i="40"/>
  <c r="BO22" i="40"/>
  <c r="BM22" i="40"/>
  <c r="BK22" i="40"/>
  <c r="BP22" i="40" s="1"/>
  <c r="BE22" i="40"/>
  <c r="BC22" i="40"/>
  <c r="BA22" i="40"/>
  <c r="AU22" i="40"/>
  <c r="AV22" i="40" s="1"/>
  <c r="IM21" i="40"/>
  <c r="IK21" i="40"/>
  <c r="II21" i="40"/>
  <c r="IC21" i="40"/>
  <c r="IA21" i="40"/>
  <c r="HY21" i="40"/>
  <c r="HS21" i="40"/>
  <c r="HQ21" i="40"/>
  <c r="HO21" i="40"/>
  <c r="HI21" i="40"/>
  <c r="HG21" i="40"/>
  <c r="HE21" i="40"/>
  <c r="GY21" i="40"/>
  <c r="GW21" i="40"/>
  <c r="GU21" i="40"/>
  <c r="GO21" i="40"/>
  <c r="GM21" i="40"/>
  <c r="GP21" i="40" s="1"/>
  <c r="GK21" i="40"/>
  <c r="GE21" i="40"/>
  <c r="GC21" i="40"/>
  <c r="GA21" i="40"/>
  <c r="FU21" i="40"/>
  <c r="FS21" i="40"/>
  <c r="FV21" i="40" s="1"/>
  <c r="FQ21" i="40"/>
  <c r="FK21" i="40"/>
  <c r="FI21" i="40"/>
  <c r="FG21" i="40"/>
  <c r="FA21" i="40"/>
  <c r="EY21" i="40"/>
  <c r="EW21" i="40"/>
  <c r="EQ21" i="40"/>
  <c r="EO21" i="40"/>
  <c r="EM21" i="40"/>
  <c r="ER21" i="40" s="1"/>
  <c r="EG21" i="40"/>
  <c r="EE21" i="40"/>
  <c r="EC21" i="40"/>
  <c r="DW21" i="40"/>
  <c r="DU21" i="40"/>
  <c r="DS21" i="40"/>
  <c r="DM21" i="40"/>
  <c r="DK21" i="40"/>
  <c r="DI21" i="40"/>
  <c r="DC21" i="40"/>
  <c r="DA21" i="40"/>
  <c r="CY21" i="40"/>
  <c r="DD21" i="40" s="1"/>
  <c r="CS21" i="40"/>
  <c r="CQ21" i="40"/>
  <c r="CO21" i="40"/>
  <c r="CI21" i="40"/>
  <c r="CG21" i="40"/>
  <c r="CE21" i="40"/>
  <c r="BY21" i="40"/>
  <c r="BW21" i="40"/>
  <c r="BZ21" i="40" s="1"/>
  <c r="BU21" i="40"/>
  <c r="BO21" i="40"/>
  <c r="BM21" i="40"/>
  <c r="BK21" i="40"/>
  <c r="BE21" i="40"/>
  <c r="BC21" i="40"/>
  <c r="BF21" i="40" s="1"/>
  <c r="BA21" i="40"/>
  <c r="AV21" i="40"/>
  <c r="IM20" i="40"/>
  <c r="IK20" i="40"/>
  <c r="II20" i="40"/>
  <c r="IC20" i="40"/>
  <c r="IA20" i="40"/>
  <c r="HY20" i="40"/>
  <c r="HS20" i="40"/>
  <c r="HQ20" i="40"/>
  <c r="HO20" i="40"/>
  <c r="HI20" i="40"/>
  <c r="HG20" i="40"/>
  <c r="HJ20" i="40" s="1"/>
  <c r="HE20" i="40"/>
  <c r="GY20" i="40"/>
  <c r="GW20" i="40"/>
  <c r="GU20" i="40"/>
  <c r="GO20" i="40"/>
  <c r="GM20" i="40"/>
  <c r="GP20" i="40" s="1"/>
  <c r="GK20" i="40"/>
  <c r="GE20" i="40"/>
  <c r="GC20" i="40"/>
  <c r="GA20" i="40"/>
  <c r="FU20" i="40"/>
  <c r="FS20" i="40"/>
  <c r="FQ20" i="40"/>
  <c r="FK20" i="40"/>
  <c r="FI20" i="40"/>
  <c r="FG20" i="40"/>
  <c r="FA20" i="40"/>
  <c r="EY20" i="40"/>
  <c r="EW20" i="40"/>
  <c r="EQ20" i="40"/>
  <c r="EO20" i="40"/>
  <c r="EM20" i="40"/>
  <c r="EG20" i="40"/>
  <c r="EE20" i="40"/>
  <c r="EC20" i="40"/>
  <c r="DW20" i="40"/>
  <c r="DU20" i="40"/>
  <c r="DS20" i="40"/>
  <c r="DX20" i="40" s="1"/>
  <c r="DM20" i="40"/>
  <c r="DK20" i="40"/>
  <c r="DI20" i="40"/>
  <c r="DC20" i="40"/>
  <c r="DA20" i="40"/>
  <c r="CY20" i="40"/>
  <c r="CS20" i="40"/>
  <c r="CQ20" i="40"/>
  <c r="CT20" i="40" s="1"/>
  <c r="CO20" i="40"/>
  <c r="CI20" i="40"/>
  <c r="CG20" i="40"/>
  <c r="CE20" i="40"/>
  <c r="BY20" i="40"/>
  <c r="BW20" i="40"/>
  <c r="BU20" i="40"/>
  <c r="BO20" i="40"/>
  <c r="BM20" i="40"/>
  <c r="BK20" i="40"/>
  <c r="BE20" i="40"/>
  <c r="BC20" i="40"/>
  <c r="BA20" i="40"/>
  <c r="BF20" i="40" s="1"/>
  <c r="AV20" i="40"/>
  <c r="B19" i="40"/>
  <c r="B20" i="40" s="1"/>
  <c r="B21" i="40" s="1"/>
  <c r="B22" i="40" s="1"/>
  <c r="BR18" i="40"/>
  <c r="BI18" i="40"/>
  <c r="AY18" i="40"/>
  <c r="F15" i="40"/>
  <c r="G15" i="40" s="1"/>
  <c r="H15" i="40" s="1"/>
  <c r="I15" i="40" s="1"/>
  <c r="O12" i="40"/>
  <c r="O11" i="40"/>
  <c r="O10" i="40"/>
  <c r="O9" i="40"/>
  <c r="V8" i="40"/>
  <c r="O8" i="40"/>
  <c r="V7" i="40"/>
  <c r="O7" i="40"/>
  <c r="V6" i="40"/>
  <c r="O6" i="40"/>
  <c r="C6" i="40"/>
  <c r="V5" i="40"/>
  <c r="O5" i="40"/>
  <c r="C5" i="40"/>
  <c r="O4" i="40"/>
  <c r="C4" i="40"/>
  <c r="D4" i="40" s="1"/>
  <c r="W6" i="40" s="1"/>
  <c r="C3" i="40"/>
  <c r="D3" i="40" s="1"/>
  <c r="AN109" i="40" l="1"/>
  <c r="AO111" i="40" s="1"/>
  <c r="AN81" i="40"/>
  <c r="AO83" i="40" s="1"/>
  <c r="GF20" i="40"/>
  <c r="FL21" i="40"/>
  <c r="ID21" i="40"/>
  <c r="CJ23" i="40"/>
  <c r="ID23" i="40"/>
  <c r="GF24" i="40"/>
  <c r="HT24" i="40"/>
  <c r="FL25" i="40"/>
  <c r="BG26" i="40"/>
  <c r="AX26" i="40" s="1"/>
  <c r="AY26" i="40" s="1"/>
  <c r="BZ27" i="40"/>
  <c r="CT27" i="40"/>
  <c r="DN27" i="40"/>
  <c r="EH27" i="40"/>
  <c r="FB27" i="40"/>
  <c r="FV27" i="40"/>
  <c r="GP27" i="40"/>
  <c r="HJ27" i="40"/>
  <c r="ID27" i="40"/>
  <c r="BG28" i="40"/>
  <c r="AX28" i="40" s="1"/>
  <c r="AY28" i="40" s="1"/>
  <c r="BF29" i="40"/>
  <c r="CT29" i="40"/>
  <c r="EH29" i="40"/>
  <c r="FV29" i="40"/>
  <c r="HJ29" i="40"/>
  <c r="BG30" i="40"/>
  <c r="AX30" i="40" s="1"/>
  <c r="AY30" i="40" s="1"/>
  <c r="CT30" i="40"/>
  <c r="EH30" i="40"/>
  <c r="BQ31" i="40"/>
  <c r="BH31" i="40" s="1"/>
  <c r="BI31" i="40" s="1"/>
  <c r="DN33" i="40"/>
  <c r="CJ34" i="40"/>
  <c r="BG35" i="40"/>
  <c r="AX35" i="40" s="1"/>
  <c r="AY35" i="40" s="1"/>
  <c r="DX36" i="40"/>
  <c r="BZ38" i="40"/>
  <c r="CJ38" i="40"/>
  <c r="DN38" i="40"/>
  <c r="DX39" i="40"/>
  <c r="EH20" i="40"/>
  <c r="FV20" i="40"/>
  <c r="DN21" i="40"/>
  <c r="FB21" i="40"/>
  <c r="GZ21" i="40"/>
  <c r="DD22" i="40"/>
  <c r="FL22" i="40"/>
  <c r="GF22" i="40"/>
  <c r="GZ22" i="40"/>
  <c r="FL23" i="40"/>
  <c r="GZ23" i="40"/>
  <c r="IN23" i="40"/>
  <c r="DD25" i="40"/>
  <c r="IN25" i="40"/>
  <c r="CT26" i="40"/>
  <c r="FB28" i="40"/>
  <c r="CT31" i="40"/>
  <c r="FV31" i="40"/>
  <c r="DX32" i="40"/>
  <c r="ER33" i="40"/>
  <c r="FB33" i="40"/>
  <c r="BZ34" i="40"/>
  <c r="FL34" i="40"/>
  <c r="ER35" i="40"/>
  <c r="FB35" i="40"/>
  <c r="BQ36" i="40"/>
  <c r="BH36" i="40" s="1"/>
  <c r="BI36" i="40" s="1"/>
  <c r="CJ36" i="40"/>
  <c r="EH37" i="40"/>
  <c r="ER37" i="40"/>
  <c r="BF38" i="40"/>
  <c r="CJ39" i="40"/>
  <c r="BZ23" i="40"/>
  <c r="CT23" i="40"/>
  <c r="DN23" i="40"/>
  <c r="BP24" i="40"/>
  <c r="DD24" i="40"/>
  <c r="BF25" i="40"/>
  <c r="HT25" i="40"/>
  <c r="BP26" i="40"/>
  <c r="FV26" i="40"/>
  <c r="BZ28" i="40"/>
  <c r="ID28" i="40"/>
  <c r="BP29" i="40"/>
  <c r="DD29" i="40"/>
  <c r="ER29" i="40"/>
  <c r="GF29" i="40"/>
  <c r="HT29" i="40"/>
  <c r="CJ30" i="40"/>
  <c r="ER30" i="40"/>
  <c r="GF30" i="40"/>
  <c r="EH32" i="40"/>
  <c r="ER32" i="40"/>
  <c r="BP33" i="40"/>
  <c r="DD34" i="40"/>
  <c r="CT35" i="40"/>
  <c r="ER38" i="40"/>
  <c r="BG20" i="40"/>
  <c r="AX20" i="40" s="1"/>
  <c r="D17" i="40" s="1"/>
  <c r="BP20" i="40"/>
  <c r="BZ20" i="40"/>
  <c r="FL20" i="40"/>
  <c r="HT20" i="40"/>
  <c r="ID20" i="40"/>
  <c r="HJ21" i="40"/>
  <c r="BQ22" i="40"/>
  <c r="BH22" i="40" s="1"/>
  <c r="E19" i="40" s="1"/>
  <c r="BZ22" i="40"/>
  <c r="CJ22" i="40"/>
  <c r="HT22" i="40"/>
  <c r="IN22" i="40"/>
  <c r="EH23" i="40"/>
  <c r="FB23" i="40"/>
  <c r="FB24" i="40"/>
  <c r="BQ25" i="40"/>
  <c r="BH25" i="40" s="1"/>
  <c r="BI25" i="40" s="1"/>
  <c r="BZ25" i="40"/>
  <c r="CT25" i="40"/>
  <c r="EH25" i="40"/>
  <c r="HJ25" i="40"/>
  <c r="BZ26" i="40"/>
  <c r="FB26" i="40"/>
  <c r="ID26" i="40"/>
  <c r="CJ27" i="40"/>
  <c r="DX27" i="40"/>
  <c r="FL27" i="40"/>
  <c r="GZ27" i="40"/>
  <c r="IN27" i="40"/>
  <c r="BF28" i="40"/>
  <c r="EH28" i="40"/>
  <c r="HJ28" i="40"/>
  <c r="FV30" i="40"/>
  <c r="IN30" i="40"/>
  <c r="BZ31" i="40"/>
  <c r="FL31" i="40"/>
  <c r="ID31" i="40"/>
  <c r="BQ32" i="40"/>
  <c r="BH32" i="40" s="1"/>
  <c r="BI32" i="40" s="1"/>
  <c r="CJ32" i="40"/>
  <c r="CT33" i="40"/>
  <c r="BP36" i="40"/>
  <c r="CJ37" i="40"/>
  <c r="DX38" i="40"/>
  <c r="EH38" i="40"/>
  <c r="BP39" i="40"/>
  <c r="BZ39" i="40"/>
  <c r="DD20" i="40"/>
  <c r="DN20" i="40"/>
  <c r="GZ20" i="40"/>
  <c r="CJ21" i="40"/>
  <c r="CT21" i="40"/>
  <c r="GF21" i="40"/>
  <c r="IN21" i="40"/>
  <c r="BG22" i="40"/>
  <c r="AX22" i="40" s="1"/>
  <c r="DN22" i="40"/>
  <c r="DX22" i="40"/>
  <c r="AU23" i="40"/>
  <c r="AU24" i="40" s="1"/>
  <c r="AU25" i="40" s="1"/>
  <c r="FV23" i="40"/>
  <c r="GP23" i="40"/>
  <c r="GP24" i="40"/>
  <c r="BG29" i="40"/>
  <c r="AX29" i="40" s="1"/>
  <c r="AY29" i="40" s="1"/>
  <c r="BQ29" i="40"/>
  <c r="BH29" i="40" s="1"/>
  <c r="IN29" i="40"/>
  <c r="HJ30" i="40"/>
  <c r="GZ31" i="40"/>
  <c r="BF33" i="40"/>
  <c r="EH33" i="40"/>
  <c r="EH34" i="40"/>
  <c r="BZ35" i="40"/>
  <c r="FL35" i="40"/>
  <c r="CT36" i="40"/>
  <c r="DD36" i="40"/>
  <c r="DN37" i="40"/>
  <c r="DX37" i="40"/>
  <c r="BP38" i="40"/>
  <c r="DD38" i="40"/>
  <c r="FB38" i="40"/>
  <c r="FL38" i="40"/>
  <c r="CT39" i="40"/>
  <c r="DN39" i="40"/>
  <c r="CJ20" i="40"/>
  <c r="ER20" i="40"/>
  <c r="FB20" i="40"/>
  <c r="IN20" i="40"/>
  <c r="BG21" i="40"/>
  <c r="AX21" i="40" s="1"/>
  <c r="D18" i="40" s="1"/>
  <c r="BQ21" i="40"/>
  <c r="BH21" i="40" s="1"/>
  <c r="DX21" i="40"/>
  <c r="EH21" i="40"/>
  <c r="HT21" i="40"/>
  <c r="CT22" i="40"/>
  <c r="ER22" i="40"/>
  <c r="BF23" i="40"/>
  <c r="HJ23" i="40"/>
  <c r="BZ24" i="40"/>
  <c r="ID24" i="40"/>
  <c r="FV25" i="40"/>
  <c r="BF26" i="40"/>
  <c r="BQ26" i="40"/>
  <c r="BH26" i="40" s="1"/>
  <c r="BI26" i="40" s="1"/>
  <c r="DN26" i="40"/>
  <c r="GP26" i="40"/>
  <c r="BQ27" i="40"/>
  <c r="BH27" i="40" s="1"/>
  <c r="BI27" i="40" s="1"/>
  <c r="BQ28" i="40"/>
  <c r="BH28" i="40" s="1"/>
  <c r="BI28" i="40" s="1"/>
  <c r="CT28" i="40"/>
  <c r="FV28" i="40"/>
  <c r="DD30" i="40"/>
  <c r="FL30" i="40"/>
  <c r="BG31" i="40"/>
  <c r="AX31" i="40" s="1"/>
  <c r="AY31" i="40" s="1"/>
  <c r="CJ31" i="40"/>
  <c r="FB31" i="40"/>
  <c r="IN31" i="40"/>
  <c r="CT32" i="40"/>
  <c r="FL32" i="40"/>
  <c r="DD33" i="40"/>
  <c r="DN34" i="40"/>
  <c r="BF35" i="40"/>
  <c r="DD35" i="40"/>
  <c r="DN35" i="40"/>
  <c r="BZ36" i="40"/>
  <c r="EH36" i="40"/>
  <c r="ER36" i="40"/>
  <c r="CT37" i="40"/>
  <c r="FB37" i="40"/>
  <c r="FL37" i="40"/>
  <c r="CT38" i="40"/>
  <c r="BG39" i="40"/>
  <c r="AX39" i="40" s="1"/>
  <c r="AY39" i="40" s="1"/>
  <c r="EH39" i="40"/>
  <c r="FB39" i="40"/>
  <c r="D63" i="40"/>
  <c r="C8" i="40"/>
  <c r="C9" i="40" s="1"/>
  <c r="W5" i="40"/>
  <c r="CA39" i="40"/>
  <c r="BR39" i="40" s="1"/>
  <c r="CA35" i="40"/>
  <c r="BR35" i="40" s="1"/>
  <c r="CA38" i="40"/>
  <c r="BR38" i="40" s="1"/>
  <c r="CA36" i="40"/>
  <c r="BR36" i="40" s="1"/>
  <c r="CA34" i="40"/>
  <c r="BR34" i="40" s="1"/>
  <c r="CA31" i="40"/>
  <c r="BR31" i="40" s="1"/>
  <c r="CA33" i="40"/>
  <c r="BR33" i="40" s="1"/>
  <c r="CA30" i="40"/>
  <c r="BR30" i="40" s="1"/>
  <c r="CA26" i="40"/>
  <c r="BR26" i="40" s="1"/>
  <c r="CA37" i="40"/>
  <c r="BR37" i="40" s="1"/>
  <c r="CA27" i="40"/>
  <c r="BR27" i="40" s="1"/>
  <c r="CA32" i="40"/>
  <c r="BR32" i="40" s="1"/>
  <c r="CA28" i="40"/>
  <c r="BR28" i="40" s="1"/>
  <c r="CA23" i="40"/>
  <c r="BR23" i="40" s="1"/>
  <c r="CA29" i="40"/>
  <c r="BR29" i="40" s="1"/>
  <c r="CA20" i="40"/>
  <c r="BR20" i="40" s="1"/>
  <c r="CA25" i="40"/>
  <c r="BR25" i="40" s="1"/>
  <c r="CB18" i="40"/>
  <c r="CA21" i="40"/>
  <c r="BR21" i="40" s="1"/>
  <c r="BS18" i="40"/>
  <c r="CA22" i="40"/>
  <c r="BR22" i="40" s="1"/>
  <c r="CA24" i="40"/>
  <c r="BR24" i="40" s="1"/>
  <c r="AY21" i="40"/>
  <c r="B23" i="40"/>
  <c r="AY20" i="40"/>
  <c r="BQ20" i="40"/>
  <c r="BH20" i="40" s="1"/>
  <c r="E18" i="40"/>
  <c r="BI21" i="40"/>
  <c r="AY22" i="40"/>
  <c r="D19" i="40"/>
  <c r="AU26" i="40"/>
  <c r="AV25" i="40"/>
  <c r="BP21" i="40"/>
  <c r="BF22" i="40"/>
  <c r="FB22" i="40"/>
  <c r="GP22" i="40"/>
  <c r="ID22" i="40"/>
  <c r="BG23" i="40"/>
  <c r="AX23" i="40" s="1"/>
  <c r="CJ24" i="40"/>
  <c r="DX24" i="40"/>
  <c r="FL24" i="40"/>
  <c r="GZ24" i="40"/>
  <c r="IN24" i="40"/>
  <c r="BF27" i="40"/>
  <c r="BG27" i="40"/>
  <c r="AX27" i="40" s="1"/>
  <c r="BG24" i="40"/>
  <c r="AX24" i="40" s="1"/>
  <c r="CT24" i="40"/>
  <c r="EH24" i="40"/>
  <c r="FV24" i="40"/>
  <c r="HJ24" i="40"/>
  <c r="BG25" i="40"/>
  <c r="AX25" i="40" s="1"/>
  <c r="BQ23" i="40"/>
  <c r="BH23" i="40" s="1"/>
  <c r="DD23" i="40"/>
  <c r="ER23" i="40"/>
  <c r="GF23" i="40"/>
  <c r="HT23" i="40"/>
  <c r="BQ24" i="40"/>
  <c r="BH24" i="40" s="1"/>
  <c r="CJ25" i="40"/>
  <c r="BI29" i="40"/>
  <c r="BP30" i="40"/>
  <c r="BQ30" i="40"/>
  <c r="BH30" i="40" s="1"/>
  <c r="BF34" i="40"/>
  <c r="BG34" i="40"/>
  <c r="AX34" i="40" s="1"/>
  <c r="BP23" i="40"/>
  <c r="BF24" i="40"/>
  <c r="DD26" i="40"/>
  <c r="ER26" i="40"/>
  <c r="GF26" i="40"/>
  <c r="HT26" i="40"/>
  <c r="BP27" i="40"/>
  <c r="DD27" i="40"/>
  <c r="ER27" i="40"/>
  <c r="GF27" i="40"/>
  <c r="HT27" i="40"/>
  <c r="BZ29" i="40"/>
  <c r="DN29" i="40"/>
  <c r="FB29" i="40"/>
  <c r="GP29" i="40"/>
  <c r="ID29" i="40"/>
  <c r="BF30" i="40"/>
  <c r="BZ30" i="40"/>
  <c r="BI33" i="40"/>
  <c r="DN25" i="40"/>
  <c r="FB25" i="40"/>
  <c r="GP25" i="40"/>
  <c r="ID25" i="40"/>
  <c r="CJ28" i="40"/>
  <c r="DX28" i="40"/>
  <c r="FL28" i="40"/>
  <c r="GZ28" i="40"/>
  <c r="IN28" i="40"/>
  <c r="BF32" i="40"/>
  <c r="BG32" i="40"/>
  <c r="AX32" i="40" s="1"/>
  <c r="BG33" i="40"/>
  <c r="AX33" i="40" s="1"/>
  <c r="BI35" i="40"/>
  <c r="BP31" i="40"/>
  <c r="DD31" i="40"/>
  <c r="ER31" i="40"/>
  <c r="GF31" i="40"/>
  <c r="HT31" i="40"/>
  <c r="BZ32" i="40"/>
  <c r="DN32" i="40"/>
  <c r="FB32" i="40"/>
  <c r="FL33" i="40"/>
  <c r="DN36" i="40"/>
  <c r="AY38" i="40"/>
  <c r="DN30" i="40"/>
  <c r="FB30" i="40"/>
  <c r="GP30" i="40"/>
  <c r="ID30" i="40"/>
  <c r="CJ33" i="40"/>
  <c r="DX33" i="40"/>
  <c r="BF36" i="40"/>
  <c r="BG36" i="40"/>
  <c r="AX36" i="40" s="1"/>
  <c r="FB36" i="40"/>
  <c r="BQ38" i="40"/>
  <c r="BH38" i="40" s="1"/>
  <c r="BQ34" i="40"/>
  <c r="BH34" i="40" s="1"/>
  <c r="BP35" i="40"/>
  <c r="BF37" i="40"/>
  <c r="BQ39" i="40"/>
  <c r="BH39" i="40" s="1"/>
  <c r="DD39" i="40"/>
  <c r="ER39" i="40"/>
  <c r="O9" i="2"/>
  <c r="A21" i="6"/>
  <c r="P9" i="2" a="1"/>
  <c r="P9" i="2" l="1"/>
  <c r="P13" i="2" s="1"/>
  <c r="AV23" i="40"/>
  <c r="BI22" i="40"/>
  <c r="E22" i="40"/>
  <c r="AV24" i="40"/>
  <c r="C43" i="40"/>
  <c r="F8" i="40"/>
  <c r="C11" i="40" s="1"/>
  <c r="P10" i="40" s="1"/>
  <c r="BI39" i="40"/>
  <c r="BI30" i="40"/>
  <c r="AY34" i="40"/>
  <c r="BI24" i="40"/>
  <c r="E21" i="40"/>
  <c r="D22" i="40"/>
  <c r="AY25" i="40"/>
  <c r="BI20" i="40"/>
  <c r="E17" i="40"/>
  <c r="BS20" i="40"/>
  <c r="F17" i="40"/>
  <c r="BS32" i="40"/>
  <c r="BS30" i="40"/>
  <c r="BS36" i="40"/>
  <c r="BI34" i="40"/>
  <c r="AY32" i="40"/>
  <c r="BI23" i="40"/>
  <c r="E20" i="40"/>
  <c r="AY24" i="40"/>
  <c r="D21" i="40"/>
  <c r="BS21" i="40"/>
  <c r="F18" i="40"/>
  <c r="BS29" i="40"/>
  <c r="BS27" i="40"/>
  <c r="BS33" i="40"/>
  <c r="BS38" i="40"/>
  <c r="BI38" i="40"/>
  <c r="BS24" i="40"/>
  <c r="F21" i="40"/>
  <c r="CK39" i="40"/>
  <c r="CB39" i="40" s="1"/>
  <c r="CK37" i="40"/>
  <c r="CB37" i="40" s="1"/>
  <c r="CK34" i="40"/>
  <c r="CB34" i="40" s="1"/>
  <c r="CK35" i="40"/>
  <c r="CB35" i="40" s="1"/>
  <c r="CK38" i="40"/>
  <c r="CB38" i="40" s="1"/>
  <c r="CK36" i="40"/>
  <c r="CB36" i="40" s="1"/>
  <c r="CK32" i="40"/>
  <c r="CB32" i="40" s="1"/>
  <c r="CK31" i="40"/>
  <c r="CB31" i="40" s="1"/>
  <c r="CK29" i="40"/>
  <c r="CB29" i="40" s="1"/>
  <c r="CK33" i="40"/>
  <c r="CB33" i="40" s="1"/>
  <c r="CK30" i="40"/>
  <c r="CB30" i="40" s="1"/>
  <c r="CK26" i="40"/>
  <c r="CB26" i="40" s="1"/>
  <c r="CK27" i="40"/>
  <c r="CB27" i="40" s="1"/>
  <c r="CK25" i="40"/>
  <c r="CB25" i="40" s="1"/>
  <c r="CK28" i="40"/>
  <c r="CB28" i="40" s="1"/>
  <c r="CK22" i="40"/>
  <c r="CB22" i="40" s="1"/>
  <c r="CC18" i="40"/>
  <c r="CK20" i="40"/>
  <c r="CB20" i="40" s="1"/>
  <c r="CK23" i="40"/>
  <c r="CB23" i="40" s="1"/>
  <c r="CK24" i="40"/>
  <c r="CB24" i="40" s="1"/>
  <c r="CK21" i="40"/>
  <c r="CB21" i="40" s="1"/>
  <c r="CL18" i="40"/>
  <c r="BS23" i="40"/>
  <c r="F20" i="40"/>
  <c r="BS37" i="40"/>
  <c r="BS31" i="40"/>
  <c r="BS35" i="40"/>
  <c r="W7" i="40"/>
  <c r="AY36" i="40"/>
  <c r="AY23" i="40"/>
  <c r="D20" i="40"/>
  <c r="AY33" i="40"/>
  <c r="AY27" i="40"/>
  <c r="AV26" i="40"/>
  <c r="AU27" i="40"/>
  <c r="B24" i="40"/>
  <c r="F24" i="40" s="1"/>
  <c r="E23" i="40"/>
  <c r="D23" i="40"/>
  <c r="BS22" i="40"/>
  <c r="F19" i="40"/>
  <c r="BS25" i="40"/>
  <c r="F22" i="40"/>
  <c r="BS28" i="40"/>
  <c r="BS26" i="40"/>
  <c r="F23" i="40"/>
  <c r="BS34" i="40"/>
  <c r="BS39" i="40"/>
  <c r="D49" i="40" l="1"/>
  <c r="AN74" i="40"/>
  <c r="AN102" i="40"/>
  <c r="D24" i="40"/>
  <c r="CC26" i="40"/>
  <c r="G23" i="40"/>
  <c r="CC35" i="40"/>
  <c r="G20" i="40"/>
  <c r="CC23" i="40"/>
  <c r="CC28" i="40"/>
  <c r="CC30" i="40"/>
  <c r="CC32" i="40"/>
  <c r="CC34" i="40"/>
  <c r="CC24" i="40"/>
  <c r="G21" i="40"/>
  <c r="CC31" i="40"/>
  <c r="B25" i="40"/>
  <c r="G25" i="40" s="1"/>
  <c r="E24" i="40"/>
  <c r="AU28" i="40"/>
  <c r="AV27" i="40"/>
  <c r="CU37" i="40"/>
  <c r="CL37" i="40" s="1"/>
  <c r="CU35" i="40"/>
  <c r="CL35" i="40" s="1"/>
  <c r="CU36" i="40"/>
  <c r="CL36" i="40" s="1"/>
  <c r="CU33" i="40"/>
  <c r="CL33" i="40" s="1"/>
  <c r="CU39" i="40"/>
  <c r="CL39" i="40" s="1"/>
  <c r="CU34" i="40"/>
  <c r="CL34" i="40" s="1"/>
  <c r="CU31" i="40"/>
  <c r="CL31" i="40" s="1"/>
  <c r="CU32" i="40"/>
  <c r="CL32" i="40" s="1"/>
  <c r="CU28" i="40"/>
  <c r="CL28" i="40" s="1"/>
  <c r="CU38" i="40"/>
  <c r="CL38" i="40" s="1"/>
  <c r="CU29" i="40"/>
  <c r="CL29" i="40" s="1"/>
  <c r="CU30" i="40"/>
  <c r="CL30" i="40" s="1"/>
  <c r="CU27" i="40"/>
  <c r="CL27" i="40" s="1"/>
  <c r="CU24" i="40"/>
  <c r="CL24" i="40" s="1"/>
  <c r="CU25" i="40"/>
  <c r="CL25" i="40" s="1"/>
  <c r="CU26" i="40"/>
  <c r="CL26" i="40" s="1"/>
  <c r="CU21" i="40"/>
  <c r="CL21" i="40" s="1"/>
  <c r="CU22" i="40"/>
  <c r="CL22" i="40" s="1"/>
  <c r="CV18" i="40"/>
  <c r="CU23" i="40"/>
  <c r="CL23" i="40" s="1"/>
  <c r="CU20" i="40"/>
  <c r="CL20" i="40" s="1"/>
  <c r="CM18" i="40"/>
  <c r="CC20" i="40"/>
  <c r="G17" i="40"/>
  <c r="CC25" i="40"/>
  <c r="G22" i="40"/>
  <c r="CC33" i="40"/>
  <c r="CC36" i="40"/>
  <c r="CC37" i="40"/>
  <c r="W8" i="40"/>
  <c r="F9" i="40"/>
  <c r="C44" i="40" s="1"/>
  <c r="CC22" i="40"/>
  <c r="G19" i="40"/>
  <c r="CC21" i="40"/>
  <c r="G18" i="40"/>
  <c r="CC27" i="40"/>
  <c r="G24" i="40"/>
  <c r="CC29" i="40"/>
  <c r="CC38" i="40"/>
  <c r="CC39" i="40"/>
  <c r="AN46" i="40"/>
  <c r="F54" i="40"/>
  <c r="H49" i="40" l="1"/>
  <c r="AL104" i="40"/>
  <c r="AL76" i="40"/>
  <c r="E49" i="40"/>
  <c r="AM74" i="40"/>
  <c r="AM102" i="40"/>
  <c r="CM22" i="40"/>
  <c r="H19" i="40"/>
  <c r="CM24" i="40"/>
  <c r="H21" i="40"/>
  <c r="CM38" i="40"/>
  <c r="CM34" i="40"/>
  <c r="CM35" i="40"/>
  <c r="D56" i="40"/>
  <c r="AL48" i="40"/>
  <c r="H17" i="40"/>
  <c r="CM20" i="40"/>
  <c r="CM27" i="40"/>
  <c r="H24" i="40"/>
  <c r="CM39" i="40"/>
  <c r="CM37" i="40"/>
  <c r="B26" i="40"/>
  <c r="H26" i="40" s="1"/>
  <c r="D25" i="40"/>
  <c r="E25" i="40"/>
  <c r="F25" i="40"/>
  <c r="E54" i="40"/>
  <c r="AM46" i="40"/>
  <c r="D50" i="40"/>
  <c r="CM23" i="40"/>
  <c r="H20" i="40"/>
  <c r="CM26" i="40"/>
  <c r="H23" i="40"/>
  <c r="CM30" i="40"/>
  <c r="CM32" i="40"/>
  <c r="CM33" i="40"/>
  <c r="CM21" i="40"/>
  <c r="H18" i="40"/>
  <c r="CM28" i="40"/>
  <c r="H25" i="40"/>
  <c r="DE39" i="40"/>
  <c r="CV39" i="40" s="1"/>
  <c r="DE36" i="40"/>
  <c r="CV36" i="40" s="1"/>
  <c r="DE38" i="40"/>
  <c r="CV38" i="40" s="1"/>
  <c r="DE37" i="40"/>
  <c r="CV37" i="40" s="1"/>
  <c r="DE34" i="40"/>
  <c r="CV34" i="40" s="1"/>
  <c r="DE32" i="40"/>
  <c r="CV32" i="40" s="1"/>
  <c r="DE27" i="40"/>
  <c r="CV27" i="40" s="1"/>
  <c r="DE28" i="40"/>
  <c r="CV28" i="40" s="1"/>
  <c r="DE35" i="40"/>
  <c r="CV35" i="40" s="1"/>
  <c r="DE30" i="40"/>
  <c r="CV30" i="40" s="1"/>
  <c r="DE23" i="40"/>
  <c r="CV23" i="40" s="1"/>
  <c r="DE33" i="40"/>
  <c r="CV33" i="40" s="1"/>
  <c r="DE24" i="40"/>
  <c r="CV24" i="40" s="1"/>
  <c r="DE29" i="40"/>
  <c r="CV29" i="40" s="1"/>
  <c r="DE26" i="40"/>
  <c r="CV26" i="40" s="1"/>
  <c r="DE25" i="40"/>
  <c r="CV25" i="40" s="1"/>
  <c r="CW18" i="40"/>
  <c r="DE21" i="40"/>
  <c r="CV21" i="40" s="1"/>
  <c r="DE31" i="40"/>
  <c r="CV31" i="40" s="1"/>
  <c r="DE22" i="40"/>
  <c r="CV22" i="40" s="1"/>
  <c r="DF18" i="40"/>
  <c r="DE20" i="40"/>
  <c r="CV20" i="40" s="1"/>
  <c r="CM25" i="40"/>
  <c r="H22" i="40"/>
  <c r="CM29" i="40"/>
  <c r="CM31" i="40"/>
  <c r="CM36" i="40"/>
  <c r="AU29" i="40"/>
  <c r="AV28" i="40"/>
  <c r="AO102" i="40" l="1"/>
  <c r="AO74" i="40"/>
  <c r="AL75" i="40"/>
  <c r="AL103" i="40"/>
  <c r="H50" i="40"/>
  <c r="I22" i="40"/>
  <c r="CW25" i="40"/>
  <c r="I25" i="40"/>
  <c r="CW28" i="40"/>
  <c r="CW37" i="40"/>
  <c r="AL47" i="40"/>
  <c r="I49" i="40"/>
  <c r="D55" i="40"/>
  <c r="AV29" i="40"/>
  <c r="AU30" i="40"/>
  <c r="CW31" i="40"/>
  <c r="CW26" i="40"/>
  <c r="I23" i="40"/>
  <c r="CW23" i="40"/>
  <c r="I20" i="40"/>
  <c r="CW27" i="40"/>
  <c r="I24" i="40"/>
  <c r="CW38" i="40"/>
  <c r="I19" i="40"/>
  <c r="CW22" i="40"/>
  <c r="CW33" i="40"/>
  <c r="CW20" i="40"/>
  <c r="I17" i="40"/>
  <c r="I18" i="40"/>
  <c r="CW21" i="40"/>
  <c r="I26" i="40"/>
  <c r="CW29" i="40"/>
  <c r="CW30" i="40"/>
  <c r="CW32" i="40"/>
  <c r="CW36" i="40"/>
  <c r="G54" i="40"/>
  <c r="E50" i="40"/>
  <c r="AO46" i="40"/>
  <c r="DO39" i="40"/>
  <c r="DF39" i="40" s="1"/>
  <c r="DO38" i="40"/>
  <c r="DF38" i="40" s="1"/>
  <c r="DO35" i="40"/>
  <c r="DF35" i="40" s="1"/>
  <c r="DO36" i="40"/>
  <c r="DF36" i="40" s="1"/>
  <c r="DO34" i="40"/>
  <c r="DF34" i="40" s="1"/>
  <c r="DO31" i="40"/>
  <c r="DF31" i="40" s="1"/>
  <c r="DO33" i="40"/>
  <c r="DF33" i="40" s="1"/>
  <c r="DO26" i="40"/>
  <c r="DF26" i="40" s="1"/>
  <c r="DO37" i="40"/>
  <c r="DF37" i="40" s="1"/>
  <c r="DO30" i="40"/>
  <c r="DF30" i="40" s="1"/>
  <c r="DO27" i="40"/>
  <c r="DF27" i="40" s="1"/>
  <c r="DO32" i="40"/>
  <c r="DF32" i="40" s="1"/>
  <c r="DO28" i="40"/>
  <c r="DF28" i="40" s="1"/>
  <c r="DO25" i="40"/>
  <c r="DF25" i="40" s="1"/>
  <c r="DO23" i="40"/>
  <c r="DF23" i="40" s="1"/>
  <c r="DO29" i="40"/>
  <c r="DF29" i="40" s="1"/>
  <c r="DO20" i="40"/>
  <c r="DF20" i="40" s="1"/>
  <c r="DP18" i="40"/>
  <c r="DO21" i="40"/>
  <c r="DF21" i="40" s="1"/>
  <c r="DG18" i="40"/>
  <c r="DO24" i="40"/>
  <c r="DF24" i="40" s="1"/>
  <c r="DO22" i="40"/>
  <c r="DF22" i="40" s="1"/>
  <c r="CW24" i="40"/>
  <c r="I21" i="40"/>
  <c r="CW35" i="40"/>
  <c r="CW34" i="40"/>
  <c r="CW39" i="40"/>
  <c r="B27" i="40"/>
  <c r="D26" i="40"/>
  <c r="E26" i="40"/>
  <c r="F26" i="40"/>
  <c r="G26" i="40"/>
  <c r="AM103" i="40" l="1"/>
  <c r="AM75" i="40"/>
  <c r="AO103" i="40"/>
  <c r="AO75" i="40"/>
  <c r="AL105" i="40"/>
  <c r="AL77" i="40"/>
  <c r="G55" i="40"/>
  <c r="E55" i="40"/>
  <c r="B28" i="40"/>
  <c r="D27" i="40"/>
  <c r="E27" i="40"/>
  <c r="F27" i="40"/>
  <c r="G27" i="40"/>
  <c r="H27" i="40"/>
  <c r="J18" i="40"/>
  <c r="DG21" i="40"/>
  <c r="DG23" i="40"/>
  <c r="J20" i="40"/>
  <c r="DG27" i="40"/>
  <c r="J24" i="40"/>
  <c r="DG33" i="40"/>
  <c r="DG35" i="40"/>
  <c r="I27" i="40"/>
  <c r="AU31" i="40"/>
  <c r="AV30" i="40"/>
  <c r="AO47" i="40"/>
  <c r="AM47" i="40"/>
  <c r="DG22" i="40"/>
  <c r="J19" i="40"/>
  <c r="DY38" i="40"/>
  <c r="DP38" i="40" s="1"/>
  <c r="DY39" i="40"/>
  <c r="DP39" i="40" s="1"/>
  <c r="DY37" i="40"/>
  <c r="DP37" i="40" s="1"/>
  <c r="DY34" i="40"/>
  <c r="DP34" i="40" s="1"/>
  <c r="DY35" i="40"/>
  <c r="DP35" i="40" s="1"/>
  <c r="DY36" i="40"/>
  <c r="DP36" i="40" s="1"/>
  <c r="DY30" i="40"/>
  <c r="DP30" i="40" s="1"/>
  <c r="DY32" i="40"/>
  <c r="DP32" i="40" s="1"/>
  <c r="DY31" i="40"/>
  <c r="DP31" i="40" s="1"/>
  <c r="DY29" i="40"/>
  <c r="DP29" i="40" s="1"/>
  <c r="DY25" i="40"/>
  <c r="DP25" i="40" s="1"/>
  <c r="DY33" i="40"/>
  <c r="DP33" i="40" s="1"/>
  <c r="DY26" i="40"/>
  <c r="DP26" i="40" s="1"/>
  <c r="DY27" i="40"/>
  <c r="DP27" i="40" s="1"/>
  <c r="DY28" i="40"/>
  <c r="DP28" i="40" s="1"/>
  <c r="DY22" i="40"/>
  <c r="DP22" i="40" s="1"/>
  <c r="DQ18" i="40"/>
  <c r="DY20" i="40"/>
  <c r="DP20" i="40" s="1"/>
  <c r="DY23" i="40"/>
  <c r="DP23" i="40" s="1"/>
  <c r="DY24" i="40"/>
  <c r="DP24" i="40" s="1"/>
  <c r="DY21" i="40"/>
  <c r="DP21" i="40" s="1"/>
  <c r="DZ18" i="40"/>
  <c r="DG25" i="40"/>
  <c r="J22" i="40"/>
  <c r="DG30" i="40"/>
  <c r="J27" i="40"/>
  <c r="DG31" i="40"/>
  <c r="J28" i="40"/>
  <c r="DG38" i="40"/>
  <c r="DG24" i="40"/>
  <c r="J21" i="40"/>
  <c r="DG20" i="40"/>
  <c r="J17" i="40"/>
  <c r="DG28" i="40"/>
  <c r="J25" i="40"/>
  <c r="DG37" i="40"/>
  <c r="DG34" i="40"/>
  <c r="DG39" i="40"/>
  <c r="DG29" i="40"/>
  <c r="J26" i="40"/>
  <c r="DG32" i="40"/>
  <c r="DG26" i="40"/>
  <c r="J23" i="40"/>
  <c r="DG36" i="40"/>
  <c r="I50" i="40"/>
  <c r="D57" i="40"/>
  <c r="AL49" i="40"/>
  <c r="AN75" i="40" l="1"/>
  <c r="AN103" i="40"/>
  <c r="AM77" i="40"/>
  <c r="AM76" i="40" s="1"/>
  <c r="AM105" i="40"/>
  <c r="AM104" i="40" s="1"/>
  <c r="AO105" i="40"/>
  <c r="AO77" i="40"/>
  <c r="F55" i="40"/>
  <c r="E57" i="40"/>
  <c r="E56" i="40" s="1"/>
  <c r="G57" i="40"/>
  <c r="G56" i="40" s="1"/>
  <c r="AN47" i="40"/>
  <c r="EI38" i="40"/>
  <c r="DZ38" i="40" s="1"/>
  <c r="EI37" i="40"/>
  <c r="DZ37" i="40" s="1"/>
  <c r="EI35" i="40"/>
  <c r="DZ35" i="40" s="1"/>
  <c r="EI36" i="40"/>
  <c r="DZ36" i="40" s="1"/>
  <c r="EI33" i="40"/>
  <c r="DZ33" i="40" s="1"/>
  <c r="EI39" i="40"/>
  <c r="DZ39" i="40" s="1"/>
  <c r="EI34" i="40"/>
  <c r="DZ34" i="40" s="1"/>
  <c r="EI31" i="40"/>
  <c r="DZ31" i="40" s="1"/>
  <c r="EI32" i="40"/>
  <c r="DZ32" i="40" s="1"/>
  <c r="EI28" i="40"/>
  <c r="DZ28" i="40" s="1"/>
  <c r="EI29" i="40"/>
  <c r="DZ29" i="40" s="1"/>
  <c r="EI30" i="40"/>
  <c r="DZ30" i="40" s="1"/>
  <c r="EI27" i="40"/>
  <c r="DZ27" i="40" s="1"/>
  <c r="EI25" i="40"/>
  <c r="DZ25" i="40" s="1"/>
  <c r="EI24" i="40"/>
  <c r="DZ24" i="40" s="1"/>
  <c r="EI26" i="40"/>
  <c r="DZ26" i="40" s="1"/>
  <c r="EI21" i="40"/>
  <c r="DZ21" i="40" s="1"/>
  <c r="EI22" i="40"/>
  <c r="DZ22" i="40" s="1"/>
  <c r="EJ18" i="40"/>
  <c r="EI23" i="40"/>
  <c r="DZ23" i="40" s="1"/>
  <c r="EI20" i="40"/>
  <c r="DZ20" i="40" s="1"/>
  <c r="EA18" i="40"/>
  <c r="DQ29" i="40"/>
  <c r="K26" i="40"/>
  <c r="DQ39" i="40"/>
  <c r="DQ21" i="40"/>
  <c r="K18" i="40"/>
  <c r="DQ26" i="40"/>
  <c r="K23" i="40"/>
  <c r="DQ31" i="40"/>
  <c r="K28" i="40"/>
  <c r="DQ35" i="40"/>
  <c r="DQ38" i="40"/>
  <c r="AV31" i="40"/>
  <c r="AU32" i="40"/>
  <c r="DQ20" i="40"/>
  <c r="K17" i="40"/>
  <c r="DQ24" i="40"/>
  <c r="K21" i="40"/>
  <c r="DQ22" i="40"/>
  <c r="K19" i="40"/>
  <c r="DQ33" i="40"/>
  <c r="DQ32" i="40"/>
  <c r="DQ34" i="40"/>
  <c r="B29" i="40"/>
  <c r="K29" i="40" s="1"/>
  <c r="E28" i="40"/>
  <c r="D28" i="40"/>
  <c r="F28" i="40"/>
  <c r="G28" i="40"/>
  <c r="H28" i="40"/>
  <c r="I28" i="40"/>
  <c r="DQ27" i="40"/>
  <c r="K24" i="40"/>
  <c r="DQ36" i="40"/>
  <c r="AO49" i="40"/>
  <c r="AO48" i="40" s="1"/>
  <c r="AM49" i="40"/>
  <c r="AM48" i="40" s="1"/>
  <c r="K20" i="40"/>
  <c r="DQ23" i="40"/>
  <c r="DQ28" i="40"/>
  <c r="K25" i="40"/>
  <c r="DQ25" i="40"/>
  <c r="K22" i="40"/>
  <c r="DQ30" i="40"/>
  <c r="K27" i="40"/>
  <c r="DQ37" i="40"/>
  <c r="AN105" i="40" l="1"/>
  <c r="AN77" i="40"/>
  <c r="AO76" i="40"/>
  <c r="AN76" i="40" s="1"/>
  <c r="AO104" i="40"/>
  <c r="AN104" i="40" s="1"/>
  <c r="F56" i="40"/>
  <c r="F57" i="40"/>
  <c r="AN49" i="40"/>
  <c r="AN48" i="40"/>
  <c r="AO55" i="40" s="1"/>
  <c r="P11" i="40" s="1"/>
  <c r="EA22" i="40"/>
  <c r="L19" i="40"/>
  <c r="EA25" i="40"/>
  <c r="L22" i="40"/>
  <c r="EA28" i="40"/>
  <c r="L25" i="40"/>
  <c r="EA39" i="40"/>
  <c r="EA37" i="40"/>
  <c r="AU33" i="40"/>
  <c r="AV32" i="40"/>
  <c r="EA24" i="40"/>
  <c r="L21" i="40"/>
  <c r="EA35" i="40"/>
  <c r="L17" i="40"/>
  <c r="EA20" i="40"/>
  <c r="EA21" i="40"/>
  <c r="L18" i="40"/>
  <c r="EA27" i="40"/>
  <c r="L24" i="40"/>
  <c r="EA32" i="40"/>
  <c r="L29" i="40"/>
  <c r="EA33" i="40"/>
  <c r="EA38" i="40"/>
  <c r="ES39" i="40"/>
  <c r="EJ39" i="40" s="1"/>
  <c r="ES38" i="40"/>
  <c r="EJ38" i="40" s="1"/>
  <c r="ES36" i="40"/>
  <c r="EJ36" i="40" s="1"/>
  <c r="ES37" i="40"/>
  <c r="EJ37" i="40" s="1"/>
  <c r="ES34" i="40"/>
  <c r="EJ34" i="40" s="1"/>
  <c r="ES32" i="40"/>
  <c r="EJ32" i="40" s="1"/>
  <c r="ES30" i="40"/>
  <c r="EJ30" i="40" s="1"/>
  <c r="ES27" i="40"/>
  <c r="EJ27" i="40" s="1"/>
  <c r="ES28" i="40"/>
  <c r="EJ28" i="40" s="1"/>
  <c r="ES35" i="40"/>
  <c r="EJ35" i="40" s="1"/>
  <c r="ES23" i="40"/>
  <c r="EJ23" i="40" s="1"/>
  <c r="ES33" i="40"/>
  <c r="EJ33" i="40" s="1"/>
  <c r="ES24" i="40"/>
  <c r="EJ24" i="40" s="1"/>
  <c r="ES29" i="40"/>
  <c r="EJ29" i="40" s="1"/>
  <c r="ES26" i="40"/>
  <c r="EJ26" i="40" s="1"/>
  <c r="ES25" i="40"/>
  <c r="EJ25" i="40" s="1"/>
  <c r="ES22" i="40"/>
  <c r="EJ22" i="40" s="1"/>
  <c r="EK18" i="40"/>
  <c r="ES21" i="40"/>
  <c r="EJ21" i="40" s="1"/>
  <c r="ES31" i="40"/>
  <c r="EJ31" i="40" s="1"/>
  <c r="ES20" i="40"/>
  <c r="EJ20" i="40" s="1"/>
  <c r="ET18" i="40"/>
  <c r="EA29" i="40"/>
  <c r="L26" i="40"/>
  <c r="EA34" i="40"/>
  <c r="B30" i="40"/>
  <c r="L30" i="40" s="1"/>
  <c r="E29" i="40"/>
  <c r="F29" i="40"/>
  <c r="D29" i="40"/>
  <c r="G29" i="40"/>
  <c r="H29" i="40"/>
  <c r="I29" i="40"/>
  <c r="J29" i="40"/>
  <c r="EA23" i="40"/>
  <c r="L20" i="40"/>
  <c r="L23" i="40"/>
  <c r="EA26" i="40"/>
  <c r="EA30" i="40"/>
  <c r="L27" i="40"/>
  <c r="L28" i="40"/>
  <c r="EA31" i="40"/>
  <c r="EA36" i="40"/>
  <c r="AO56" i="40" l="1"/>
  <c r="P12" i="40" s="1"/>
  <c r="FC39" i="40"/>
  <c r="ET39" i="40" s="1"/>
  <c r="FC38" i="40"/>
  <c r="ET38" i="40" s="1"/>
  <c r="FC35" i="40"/>
  <c r="ET35" i="40" s="1"/>
  <c r="FC36" i="40"/>
  <c r="ET36" i="40" s="1"/>
  <c r="FC33" i="40"/>
  <c r="ET33" i="40" s="1"/>
  <c r="FC34" i="40"/>
  <c r="ET34" i="40" s="1"/>
  <c r="FC31" i="40"/>
  <c r="ET31" i="40" s="1"/>
  <c r="FC26" i="40"/>
  <c r="ET26" i="40" s="1"/>
  <c r="FC37" i="40"/>
  <c r="ET37" i="40" s="1"/>
  <c r="FC30" i="40"/>
  <c r="ET30" i="40" s="1"/>
  <c r="FC27" i="40"/>
  <c r="ET27" i="40" s="1"/>
  <c r="FC32" i="40"/>
  <c r="ET32" i="40" s="1"/>
  <c r="FC22" i="40"/>
  <c r="ET22" i="40" s="1"/>
  <c r="FC28" i="40"/>
  <c r="ET28" i="40" s="1"/>
  <c r="FC25" i="40"/>
  <c r="ET25" i="40" s="1"/>
  <c r="FC23" i="40"/>
  <c r="ET23" i="40" s="1"/>
  <c r="FC29" i="40"/>
  <c r="ET29" i="40" s="1"/>
  <c r="FC20" i="40"/>
  <c r="ET20" i="40" s="1"/>
  <c r="FD18" i="40"/>
  <c r="FC21" i="40"/>
  <c r="ET21" i="40" s="1"/>
  <c r="EU18" i="40"/>
  <c r="FC24" i="40"/>
  <c r="ET24" i="40" s="1"/>
  <c r="M26" i="40"/>
  <c r="EK29" i="40"/>
  <c r="EK35" i="40"/>
  <c r="M29" i="40"/>
  <c r="EK32" i="40"/>
  <c r="EK38" i="40"/>
  <c r="EK20" i="40"/>
  <c r="M17" i="40"/>
  <c r="EK22" i="40"/>
  <c r="M19" i="40"/>
  <c r="EK24" i="40"/>
  <c r="M21" i="40"/>
  <c r="M25" i="40"/>
  <c r="EK28" i="40"/>
  <c r="EK34" i="40"/>
  <c r="EK39" i="40"/>
  <c r="EK31" i="40"/>
  <c r="M28" i="40"/>
  <c r="M22" i="40"/>
  <c r="EK25" i="40"/>
  <c r="EK33" i="40"/>
  <c r="M30" i="40"/>
  <c r="EK27" i="40"/>
  <c r="M24" i="40"/>
  <c r="EK37" i="40"/>
  <c r="B31" i="40"/>
  <c r="E30" i="40"/>
  <c r="F30" i="40"/>
  <c r="D30" i="40"/>
  <c r="G30" i="40"/>
  <c r="H30" i="40"/>
  <c r="I30" i="40"/>
  <c r="J30" i="40"/>
  <c r="K30" i="40"/>
  <c r="M18" i="40"/>
  <c r="EK21" i="40"/>
  <c r="EK26" i="40"/>
  <c r="M23" i="40"/>
  <c r="EK23" i="40"/>
  <c r="M20" i="40"/>
  <c r="M27" i="40"/>
  <c r="EK30" i="40"/>
  <c r="EK36" i="40"/>
  <c r="AV33" i="40"/>
  <c r="AU34" i="40"/>
  <c r="D64" i="40" l="1"/>
  <c r="P6" i="40" s="1"/>
  <c r="D62" i="40"/>
  <c r="AV34" i="40"/>
  <c r="AU35" i="40"/>
  <c r="B32" i="40"/>
  <c r="F31" i="40"/>
  <c r="E31" i="40"/>
  <c r="D31" i="40"/>
  <c r="G31" i="40"/>
  <c r="H31" i="40"/>
  <c r="I31" i="40"/>
  <c r="J31" i="40"/>
  <c r="K31" i="40"/>
  <c r="L31" i="40"/>
  <c r="EU21" i="40"/>
  <c r="N18" i="40"/>
  <c r="EU23" i="40"/>
  <c r="N20" i="40"/>
  <c r="EU32" i="40"/>
  <c r="N29" i="40"/>
  <c r="EU26" i="40"/>
  <c r="N23" i="40"/>
  <c r="EU36" i="40"/>
  <c r="FM38" i="40"/>
  <c r="FD38" i="40" s="1"/>
  <c r="FM39" i="40"/>
  <c r="FD39" i="40" s="1"/>
  <c r="FM37" i="40"/>
  <c r="FD37" i="40" s="1"/>
  <c r="FM34" i="40"/>
  <c r="FD34" i="40" s="1"/>
  <c r="FM35" i="40"/>
  <c r="FD35" i="40" s="1"/>
  <c r="FM36" i="40"/>
  <c r="FD36" i="40" s="1"/>
  <c r="FM30" i="40"/>
  <c r="FD30" i="40" s="1"/>
  <c r="FM33" i="40"/>
  <c r="FD33" i="40" s="1"/>
  <c r="FM32" i="40"/>
  <c r="FD32" i="40" s="1"/>
  <c r="FM31" i="40"/>
  <c r="FD31" i="40" s="1"/>
  <c r="FM29" i="40"/>
  <c r="FD29" i="40" s="1"/>
  <c r="FM25" i="40"/>
  <c r="FD25" i="40" s="1"/>
  <c r="FM26" i="40"/>
  <c r="FD26" i="40" s="1"/>
  <c r="FM27" i="40"/>
  <c r="FD27" i="40" s="1"/>
  <c r="FM28" i="40"/>
  <c r="FD28" i="40" s="1"/>
  <c r="FM22" i="40"/>
  <c r="FD22" i="40" s="1"/>
  <c r="FE18" i="40"/>
  <c r="FM20" i="40"/>
  <c r="FD20" i="40" s="1"/>
  <c r="FM23" i="40"/>
  <c r="FD23" i="40" s="1"/>
  <c r="FM24" i="40"/>
  <c r="FD24" i="40" s="1"/>
  <c r="FM21" i="40"/>
  <c r="FD21" i="40" s="1"/>
  <c r="FN18" i="40"/>
  <c r="EU25" i="40"/>
  <c r="N22" i="40"/>
  <c r="EU27" i="40"/>
  <c r="N24" i="40"/>
  <c r="EU31" i="40"/>
  <c r="N28" i="40"/>
  <c r="EU35" i="40"/>
  <c r="N32" i="40"/>
  <c r="M31" i="40"/>
  <c r="EU24" i="40"/>
  <c r="N21" i="40"/>
  <c r="EU20" i="40"/>
  <c r="N17" i="40"/>
  <c r="EU28" i="40"/>
  <c r="N25" i="40"/>
  <c r="EU30" i="40"/>
  <c r="N27" i="40"/>
  <c r="EU34" i="40"/>
  <c r="N31" i="40"/>
  <c r="EU38" i="40"/>
  <c r="EU29" i="40"/>
  <c r="N26" i="40"/>
  <c r="EU22" i="40"/>
  <c r="N19" i="40"/>
  <c r="EU37" i="40"/>
  <c r="N30" i="40"/>
  <c r="EU33" i="40"/>
  <c r="EU39" i="40"/>
  <c r="FE24" i="40" l="1"/>
  <c r="O21" i="40"/>
  <c r="FE22" i="40"/>
  <c r="O19" i="40"/>
  <c r="FE25" i="40"/>
  <c r="O22" i="40"/>
  <c r="FE33" i="40"/>
  <c r="O30" i="40"/>
  <c r="O31" i="40"/>
  <c r="FE34" i="40"/>
  <c r="AU36" i="40"/>
  <c r="AV35" i="40"/>
  <c r="O20" i="40"/>
  <c r="FE23" i="40"/>
  <c r="FE28" i="40"/>
  <c r="O25" i="40"/>
  <c r="FE29" i="40"/>
  <c r="O26" i="40"/>
  <c r="FE30" i="40"/>
  <c r="O27" i="40"/>
  <c r="FE37" i="40"/>
  <c r="FW31" i="40"/>
  <c r="FN31" i="40" s="1"/>
  <c r="FW28" i="40"/>
  <c r="FN28" i="40" s="1"/>
  <c r="FW29" i="40"/>
  <c r="FN29" i="40" s="1"/>
  <c r="FW30" i="40"/>
  <c r="FN30" i="40" s="1"/>
  <c r="FW27" i="40"/>
  <c r="FN27" i="40" s="1"/>
  <c r="FW25" i="40"/>
  <c r="FN25" i="40" s="1"/>
  <c r="FW24" i="40"/>
  <c r="FN24" i="40" s="1"/>
  <c r="FW26" i="40"/>
  <c r="FN26" i="40" s="1"/>
  <c r="FW22" i="40"/>
  <c r="FN22" i="40" s="1"/>
  <c r="FW21" i="40"/>
  <c r="FN21" i="40" s="1"/>
  <c r="FX18" i="40"/>
  <c r="FW23" i="40"/>
  <c r="FN23" i="40" s="1"/>
  <c r="FW20" i="40"/>
  <c r="FN20" i="40" s="1"/>
  <c r="FO18" i="40"/>
  <c r="FE20" i="40"/>
  <c r="O17" i="40"/>
  <c r="FE27" i="40"/>
  <c r="O24" i="40"/>
  <c r="FE31" i="40"/>
  <c r="O28" i="40"/>
  <c r="FE36" i="40"/>
  <c r="FE39" i="40"/>
  <c r="P5" i="40"/>
  <c r="D66" i="40"/>
  <c r="FE21" i="40"/>
  <c r="O18" i="40"/>
  <c r="FE26" i="40"/>
  <c r="O23" i="40"/>
  <c r="FE32" i="40"/>
  <c r="O29" i="40"/>
  <c r="FE35" i="40"/>
  <c r="O32" i="40"/>
  <c r="FE38" i="40"/>
  <c r="B33" i="40"/>
  <c r="O33" i="40" s="1"/>
  <c r="D32" i="40"/>
  <c r="E32" i="40"/>
  <c r="F32" i="40"/>
  <c r="G32" i="40"/>
  <c r="H32" i="40"/>
  <c r="I32" i="40"/>
  <c r="J32" i="40"/>
  <c r="K32" i="40"/>
  <c r="L32" i="40"/>
  <c r="M32" i="40"/>
  <c r="D68" i="40" l="1"/>
  <c r="P9" i="40" s="1"/>
  <c r="D67" i="40"/>
  <c r="P8" i="40" s="1"/>
  <c r="P7" i="40"/>
  <c r="FO21" i="40"/>
  <c r="P18" i="40"/>
  <c r="FO25" i="40"/>
  <c r="P22" i="40"/>
  <c r="FO28" i="40"/>
  <c r="P25" i="40"/>
  <c r="B34" i="40"/>
  <c r="E33" i="40"/>
  <c r="F33" i="40"/>
  <c r="D33" i="40"/>
  <c r="G33" i="40"/>
  <c r="H33" i="40"/>
  <c r="I33" i="40"/>
  <c r="J33" i="40"/>
  <c r="K33" i="40"/>
  <c r="L33" i="40"/>
  <c r="M33" i="40"/>
  <c r="N33" i="40"/>
  <c r="P17" i="40"/>
  <c r="FO20" i="40"/>
  <c r="FO22" i="40"/>
  <c r="P19" i="40"/>
  <c r="FO27" i="40"/>
  <c r="P24" i="40"/>
  <c r="P28" i="40"/>
  <c r="FO31" i="40"/>
  <c r="AU37" i="40"/>
  <c r="AV36" i="40"/>
  <c r="FO23" i="40"/>
  <c r="P20" i="40"/>
  <c r="FO26" i="40"/>
  <c r="P23" i="40"/>
  <c r="FO30" i="40"/>
  <c r="P27" i="40"/>
  <c r="GG30" i="40"/>
  <c r="FX30" i="40" s="1"/>
  <c r="GG27" i="40"/>
  <c r="FX27" i="40" s="1"/>
  <c r="GG28" i="40"/>
  <c r="FX28" i="40" s="1"/>
  <c r="GG23" i="40"/>
  <c r="FX23" i="40" s="1"/>
  <c r="GG24" i="40"/>
  <c r="FX24" i="40" s="1"/>
  <c r="GG29" i="40"/>
  <c r="FX29" i="40" s="1"/>
  <c r="GG26" i="40"/>
  <c r="FX26" i="40" s="1"/>
  <c r="GG25" i="40"/>
  <c r="FX25" i="40" s="1"/>
  <c r="GG31" i="40"/>
  <c r="FX31" i="40" s="1"/>
  <c r="GG22" i="40"/>
  <c r="FX22" i="40" s="1"/>
  <c r="FY18" i="40"/>
  <c r="GG21" i="40"/>
  <c r="FX21" i="40" s="1"/>
  <c r="GH18" i="40"/>
  <c r="GG20" i="40"/>
  <c r="FX20" i="40" s="1"/>
  <c r="FO24" i="40"/>
  <c r="P21" i="40"/>
  <c r="FO29" i="40"/>
  <c r="P26" i="40"/>
  <c r="FY26" i="40" l="1"/>
  <c r="Q23" i="40"/>
  <c r="Q25" i="40"/>
  <c r="FY28" i="40"/>
  <c r="FY20" i="40"/>
  <c r="Q17" i="40"/>
  <c r="FY22" i="40"/>
  <c r="Q19" i="40"/>
  <c r="Q26" i="40"/>
  <c r="FY29" i="40"/>
  <c r="FY27" i="40"/>
  <c r="Q24" i="40"/>
  <c r="GQ31" i="40"/>
  <c r="GH31" i="40" s="1"/>
  <c r="GQ26" i="40"/>
  <c r="GH26" i="40" s="1"/>
  <c r="GQ30" i="40"/>
  <c r="GH30" i="40" s="1"/>
  <c r="GQ27" i="40"/>
  <c r="GH27" i="40" s="1"/>
  <c r="GQ22" i="40"/>
  <c r="GH22" i="40" s="1"/>
  <c r="GQ28" i="40"/>
  <c r="GH28" i="40" s="1"/>
  <c r="GQ25" i="40"/>
  <c r="GH25" i="40" s="1"/>
  <c r="GQ23" i="40"/>
  <c r="GH23" i="40" s="1"/>
  <c r="GQ29" i="40"/>
  <c r="GH29" i="40" s="1"/>
  <c r="GQ20" i="40"/>
  <c r="GH20" i="40" s="1"/>
  <c r="GR18" i="40"/>
  <c r="GQ21" i="40"/>
  <c r="GH21" i="40" s="1"/>
  <c r="GI18" i="40"/>
  <c r="GQ24" i="40"/>
  <c r="GH24" i="40" s="1"/>
  <c r="FY31" i="40"/>
  <c r="Q28" i="40"/>
  <c r="FY24" i="40"/>
  <c r="Q21" i="40"/>
  <c r="Q27" i="40"/>
  <c r="FY30" i="40"/>
  <c r="AV37" i="40"/>
  <c r="AU38" i="40"/>
  <c r="B35" i="40"/>
  <c r="D34" i="40"/>
  <c r="E34" i="40"/>
  <c r="F34" i="40"/>
  <c r="G34" i="40"/>
  <c r="H34" i="40"/>
  <c r="I34" i="40"/>
  <c r="J34" i="40"/>
  <c r="K34" i="40"/>
  <c r="L34" i="40"/>
  <c r="M34" i="40"/>
  <c r="N34" i="40"/>
  <c r="O34" i="40"/>
  <c r="Q18" i="40"/>
  <c r="FY21" i="40"/>
  <c r="Q22" i="40"/>
  <c r="FY25" i="40"/>
  <c r="FY23" i="40"/>
  <c r="Q20" i="40"/>
  <c r="GI21" i="40" l="1"/>
  <c r="R18" i="40"/>
  <c r="GI23" i="40"/>
  <c r="R20" i="40"/>
  <c r="GI27" i="40"/>
  <c r="R24" i="40"/>
  <c r="B36" i="40"/>
  <c r="D35" i="40"/>
  <c r="E35" i="40"/>
  <c r="F35" i="40"/>
  <c r="G35" i="40"/>
  <c r="H35" i="40"/>
  <c r="I35" i="40"/>
  <c r="J35" i="40"/>
  <c r="K35" i="40"/>
  <c r="L35" i="40"/>
  <c r="M35" i="40"/>
  <c r="N35" i="40"/>
  <c r="O35" i="40"/>
  <c r="HA30" i="40"/>
  <c r="GR30" i="40" s="1"/>
  <c r="HA31" i="40"/>
  <c r="GR31" i="40" s="1"/>
  <c r="HA29" i="40"/>
  <c r="GR29" i="40" s="1"/>
  <c r="HA25" i="40"/>
  <c r="GR25" i="40" s="1"/>
  <c r="HA26" i="40"/>
  <c r="GR26" i="40" s="1"/>
  <c r="HA27" i="40"/>
  <c r="GR27" i="40" s="1"/>
  <c r="HA28" i="40"/>
  <c r="GR28" i="40" s="1"/>
  <c r="HA22" i="40"/>
  <c r="GR22" i="40" s="1"/>
  <c r="GS18" i="40"/>
  <c r="HA20" i="40"/>
  <c r="GR20" i="40" s="1"/>
  <c r="HA23" i="40"/>
  <c r="GR23" i="40" s="1"/>
  <c r="HA21" i="40"/>
  <c r="GR21" i="40" s="1"/>
  <c r="HA24" i="40"/>
  <c r="GR24" i="40" s="1"/>
  <c r="HB18" i="40"/>
  <c r="GI25" i="40"/>
  <c r="R22" i="40"/>
  <c r="GI30" i="40"/>
  <c r="R27" i="40"/>
  <c r="AV38" i="40"/>
  <c r="AU39" i="40"/>
  <c r="AV39" i="40" s="1"/>
  <c r="GI24" i="40"/>
  <c r="R21" i="40"/>
  <c r="GI20" i="40"/>
  <c r="R17" i="40"/>
  <c r="GI28" i="40"/>
  <c r="R25" i="40"/>
  <c r="GI26" i="40"/>
  <c r="R23" i="40"/>
  <c r="GI29" i="40"/>
  <c r="R26" i="40"/>
  <c r="GI22" i="40"/>
  <c r="R19" i="40"/>
  <c r="GI31" i="40"/>
  <c r="R28" i="40"/>
  <c r="GS24" i="40" l="1"/>
  <c r="S21" i="40"/>
  <c r="GS26" i="40"/>
  <c r="S23" i="40"/>
  <c r="GS30" i="40"/>
  <c r="S27" i="40"/>
  <c r="GS21" i="40"/>
  <c r="S18" i="40"/>
  <c r="GS22" i="40"/>
  <c r="S19" i="40"/>
  <c r="GS25" i="40"/>
  <c r="S22" i="40"/>
  <c r="D36" i="40"/>
  <c r="F36" i="40"/>
  <c r="E36" i="40"/>
  <c r="G36" i="40"/>
  <c r="H36" i="40"/>
  <c r="I36" i="40"/>
  <c r="J36" i="40"/>
  <c r="K36" i="40"/>
  <c r="L36" i="40"/>
  <c r="M36" i="40"/>
  <c r="N36" i="40"/>
  <c r="O36" i="40"/>
  <c r="S20" i="40"/>
  <c r="GS23" i="40"/>
  <c r="GS28" i="40"/>
  <c r="S25" i="40"/>
  <c r="GS29" i="40"/>
  <c r="S26" i="40"/>
  <c r="HK31" i="40"/>
  <c r="HB31" i="40" s="1"/>
  <c r="HK28" i="40"/>
  <c r="HB28" i="40" s="1"/>
  <c r="HK29" i="40"/>
  <c r="HB29" i="40" s="1"/>
  <c r="HK30" i="40"/>
  <c r="HB30" i="40" s="1"/>
  <c r="HK27" i="40"/>
  <c r="HB27" i="40" s="1"/>
  <c r="HK25" i="40"/>
  <c r="HB25" i="40" s="1"/>
  <c r="HK24" i="40"/>
  <c r="HB24" i="40" s="1"/>
  <c r="HK26" i="40"/>
  <c r="HB26" i="40" s="1"/>
  <c r="HK22" i="40"/>
  <c r="HB22" i="40" s="1"/>
  <c r="HK21" i="40"/>
  <c r="HB21" i="40" s="1"/>
  <c r="HL18" i="40"/>
  <c r="HK23" i="40"/>
  <c r="HB23" i="40" s="1"/>
  <c r="HK20" i="40"/>
  <c r="HB20" i="40" s="1"/>
  <c r="HC18" i="40"/>
  <c r="GS20" i="40"/>
  <c r="S17" i="40"/>
  <c r="GS27" i="40"/>
  <c r="S24" i="40"/>
  <c r="GS31" i="40"/>
  <c r="S28" i="40"/>
  <c r="HU30" i="40" l="1"/>
  <c r="HL30" i="40" s="1"/>
  <c r="HU27" i="40"/>
  <c r="HL27" i="40" s="1"/>
  <c r="HU28" i="40"/>
  <c r="HL28" i="40" s="1"/>
  <c r="HU23" i="40"/>
  <c r="HL23" i="40" s="1"/>
  <c r="HU24" i="40"/>
  <c r="HL24" i="40" s="1"/>
  <c r="HU29" i="40"/>
  <c r="HL29" i="40" s="1"/>
  <c r="HU26" i="40"/>
  <c r="HL26" i="40" s="1"/>
  <c r="HU25" i="40"/>
  <c r="HL25" i="40" s="1"/>
  <c r="HU22" i="40"/>
  <c r="HL22" i="40" s="1"/>
  <c r="HM18" i="40"/>
  <c r="HU31" i="40"/>
  <c r="HL31" i="40" s="1"/>
  <c r="HU21" i="40"/>
  <c r="HL21" i="40" s="1"/>
  <c r="HU20" i="40"/>
  <c r="HL20" i="40" s="1"/>
  <c r="HV18" i="40"/>
  <c r="HC24" i="40"/>
  <c r="T21" i="40"/>
  <c r="HC21" i="40"/>
  <c r="T18" i="40"/>
  <c r="HC25" i="40"/>
  <c r="T22" i="40"/>
  <c r="HC28" i="40"/>
  <c r="T25" i="40"/>
  <c r="HC22" i="40"/>
  <c r="T19" i="40"/>
  <c r="T28" i="40"/>
  <c r="HC31" i="40"/>
  <c r="T17" i="40"/>
  <c r="HC20" i="40"/>
  <c r="HC27" i="40"/>
  <c r="T24" i="40"/>
  <c r="HC23" i="40"/>
  <c r="T20" i="40"/>
  <c r="HC26" i="40"/>
  <c r="T23" i="40"/>
  <c r="HC30" i="40"/>
  <c r="T27" i="40"/>
  <c r="HC29" i="40"/>
  <c r="T26" i="40"/>
  <c r="HM20" i="40" l="1"/>
  <c r="U17" i="40"/>
  <c r="U18" i="40"/>
  <c r="HM21" i="40"/>
  <c r="U22" i="40"/>
  <c r="HM25" i="40"/>
  <c r="HM23" i="40"/>
  <c r="U20" i="40"/>
  <c r="HM31" i="40"/>
  <c r="U28" i="40"/>
  <c r="HM26" i="40"/>
  <c r="U23" i="40"/>
  <c r="U25" i="40"/>
  <c r="HM28" i="40"/>
  <c r="IE31" i="40"/>
  <c r="HV31" i="40" s="1"/>
  <c r="IE26" i="40"/>
  <c r="HV26" i="40" s="1"/>
  <c r="IE30" i="40"/>
  <c r="HV30" i="40" s="1"/>
  <c r="IE27" i="40"/>
  <c r="HV27" i="40" s="1"/>
  <c r="IE22" i="40"/>
  <c r="HV22" i="40" s="1"/>
  <c r="IE28" i="40"/>
  <c r="HV28" i="40" s="1"/>
  <c r="IE25" i="40"/>
  <c r="HV25" i="40" s="1"/>
  <c r="IE23" i="40"/>
  <c r="HV23" i="40" s="1"/>
  <c r="IE29" i="40"/>
  <c r="HV29" i="40" s="1"/>
  <c r="IE20" i="40"/>
  <c r="HV20" i="40" s="1"/>
  <c r="IF18" i="40"/>
  <c r="IE21" i="40"/>
  <c r="HV21" i="40" s="1"/>
  <c r="HW18" i="40"/>
  <c r="IE24" i="40"/>
  <c r="HV24" i="40" s="1"/>
  <c r="U26" i="40"/>
  <c r="HM29" i="40"/>
  <c r="HM27" i="40"/>
  <c r="U24" i="40"/>
  <c r="HM22" i="40"/>
  <c r="U19" i="40"/>
  <c r="HM24" i="40"/>
  <c r="U21" i="40"/>
  <c r="U27" i="40"/>
  <c r="HM30" i="40"/>
  <c r="IO30" i="40" l="1"/>
  <c r="IF30" i="40" s="1"/>
  <c r="IO31" i="40"/>
  <c r="IF31" i="40" s="1"/>
  <c r="IO29" i="40"/>
  <c r="IF29" i="40" s="1"/>
  <c r="IO25" i="40"/>
  <c r="IF25" i="40" s="1"/>
  <c r="IO26" i="40"/>
  <c r="IF26" i="40" s="1"/>
  <c r="IO27" i="40"/>
  <c r="IF27" i="40" s="1"/>
  <c r="IO28" i="40"/>
  <c r="IF28" i="40" s="1"/>
  <c r="IO22" i="40"/>
  <c r="IF22" i="40" s="1"/>
  <c r="IG18" i="40"/>
  <c r="IO20" i="40"/>
  <c r="IF20" i="40" s="1"/>
  <c r="IO23" i="40"/>
  <c r="IF23" i="40" s="1"/>
  <c r="IO21" i="40"/>
  <c r="IF21" i="40" s="1"/>
  <c r="IO24" i="40"/>
  <c r="IF24" i="40" s="1"/>
  <c r="HW25" i="40"/>
  <c r="V22" i="40"/>
  <c r="HW30" i="40"/>
  <c r="V27" i="40"/>
  <c r="HW24" i="40"/>
  <c r="V21" i="40"/>
  <c r="HW20" i="40"/>
  <c r="V17" i="40"/>
  <c r="HW28" i="40"/>
  <c r="V25" i="40"/>
  <c r="HW26" i="40"/>
  <c r="V23" i="40"/>
  <c r="HW29" i="40"/>
  <c r="V26" i="40"/>
  <c r="HW22" i="40"/>
  <c r="V19" i="40"/>
  <c r="HW31" i="40"/>
  <c r="V28" i="40"/>
  <c r="HW21" i="40"/>
  <c r="V18" i="40"/>
  <c r="HW23" i="40"/>
  <c r="V20" i="40"/>
  <c r="HW27" i="40"/>
  <c r="V24" i="40"/>
  <c r="IG21" i="40" l="1"/>
  <c r="W18" i="40"/>
  <c r="IG22" i="40"/>
  <c r="W19" i="40"/>
  <c r="IG25" i="40"/>
  <c r="W22" i="40"/>
  <c r="W20" i="40"/>
  <c r="IG23" i="40"/>
  <c r="IG28" i="40"/>
  <c r="W25" i="40"/>
  <c r="IG29" i="40"/>
  <c r="W26" i="40"/>
  <c r="IG20" i="40"/>
  <c r="W17" i="40"/>
  <c r="IG27" i="40"/>
  <c r="W24" i="40"/>
  <c r="IG31" i="40"/>
  <c r="W28" i="40"/>
  <c r="IG24" i="40"/>
  <c r="W21" i="40"/>
  <c r="IG26" i="40"/>
  <c r="W23" i="40"/>
  <c r="IG30" i="40"/>
  <c r="W27" i="40"/>
  <c r="O5" i="2" l="1"/>
  <c r="P5" i="2" a="1"/>
  <c r="P5" i="2" l="1"/>
  <c r="A23" i="6"/>
  <c r="O7" i="2"/>
  <c r="O4" i="2"/>
  <c r="O3" i="2"/>
  <c r="O2" i="2"/>
  <c r="O6" i="2"/>
  <c r="P3" i="2" a="1"/>
  <c r="P6" i="2" a="1"/>
  <c r="P7" i="2" a="1"/>
  <c r="P4" i="2" a="1"/>
  <c r="P2" i="2" a="1"/>
  <c r="P2" i="2" l="1"/>
  <c r="P4" i="2"/>
  <c r="P7" i="2"/>
  <c r="P6" i="2"/>
  <c r="P3" i="2"/>
  <c r="A5" i="6"/>
  <c r="F9" i="1" l="1"/>
  <c r="O14" i="1" s="1"/>
  <c r="F8" i="1"/>
  <c r="B21" i="6"/>
  <c r="B22" i="6" s="1"/>
  <c r="A16" i="6"/>
  <c r="A13" i="6" l="1"/>
  <c r="H22" i="1"/>
  <c r="N27" i="1"/>
  <c r="F16" i="68" l="1"/>
  <c r="F15" i="68"/>
  <c r="F15" i="1"/>
  <c r="F14" i="1"/>
  <c r="N25" i="1"/>
  <c r="F12" i="1"/>
  <c r="H25" i="1"/>
  <c r="F10" i="1"/>
  <c r="H23" i="1"/>
  <c r="C5" i="6"/>
  <c r="H9" i="1"/>
  <c r="N14" i="1"/>
  <c r="F16" i="6" l="1"/>
  <c r="F17" i="6"/>
  <c r="C21" i="68"/>
  <c r="C20" i="68"/>
  <c r="O13" i="1"/>
  <c r="A9" i="6" s="1"/>
  <c r="O12" i="1"/>
  <c r="F26" i="6"/>
  <c r="H15" i="1"/>
  <c r="H14" i="1"/>
  <c r="H27" i="1"/>
  <c r="E21" i="68" s="1"/>
  <c r="H12" i="1"/>
  <c r="G16" i="6"/>
  <c r="H10" i="1"/>
  <c r="D26" i="6"/>
  <c r="A7" i="6" l="1"/>
  <c r="E20" i="68"/>
  <c r="N12" i="1"/>
  <c r="N8" i="1"/>
  <c r="E22" i="6"/>
  <c r="C22" i="6"/>
  <c r="A8" i="6"/>
  <c r="N13" i="1"/>
  <c r="E21" i="6"/>
  <c r="C21" i="6"/>
  <c r="A26" i="6"/>
  <c r="B26" i="6" s="1"/>
  <c r="F16" i="1" l="1"/>
  <c r="H28" i="1"/>
  <c r="H16" i="68" l="1"/>
  <c r="H15" i="68"/>
  <c r="H16" i="1"/>
  <c r="H16" i="6" s="1"/>
  <c r="H17" i="6" l="1"/>
</calcChain>
</file>

<file path=xl/comments1.xml><?xml version="1.0" encoding="utf-8"?>
<comments xmlns="http://schemas.openxmlformats.org/spreadsheetml/2006/main">
  <authors>
    <author>Windows User</author>
  </authors>
  <commentList>
    <comment ref="K27" authorId="0" shapeId="0">
      <text>
        <r>
          <rPr>
            <b/>
            <sz val="9"/>
            <color indexed="81"/>
            <rFont val="Tahoma"/>
            <family val="2"/>
          </rPr>
          <t>Windows User:</t>
        </r>
        <r>
          <rPr>
            <sz val="9"/>
            <color indexed="81"/>
            <rFont val="Tahoma"/>
            <family val="2"/>
          </rPr>
          <t xml:space="preserve">
Revised to 15.98 to allow for 406 mm input</t>
        </r>
      </text>
    </comment>
    <comment ref="K38" authorId="0" shapeId="0">
      <text>
        <r>
          <rPr>
            <b/>
            <sz val="9"/>
            <color indexed="81"/>
            <rFont val="Tahoma"/>
            <family val="2"/>
          </rPr>
          <t>Windows User:</t>
        </r>
        <r>
          <rPr>
            <sz val="9"/>
            <color indexed="81"/>
            <rFont val="Tahoma"/>
            <family val="2"/>
          </rPr>
          <t xml:space="preserve">
Revised to 15.98 to allow for 406mm size input</t>
        </r>
      </text>
    </comment>
  </commentList>
</comments>
</file>

<file path=xl/comments2.xml><?xml version="1.0" encoding="utf-8"?>
<comments xmlns="http://schemas.openxmlformats.org/spreadsheetml/2006/main">
  <authors>
    <author>Windows User</author>
  </authors>
  <commentList>
    <comment ref="C1" authorId="0" shapeId="0">
      <text>
        <r>
          <rPr>
            <b/>
            <sz val="9"/>
            <color indexed="81"/>
            <rFont val="Tahoma"/>
            <family val="2"/>
          </rPr>
          <t>Windows User:</t>
        </r>
        <r>
          <rPr>
            <sz val="9"/>
            <color indexed="81"/>
            <rFont val="Tahoma"/>
            <family val="2"/>
          </rPr>
          <t xml:space="preserve">
REPLACE NAME TO NEW MODEL NAME</t>
        </r>
      </text>
    </comment>
    <comment ref="I3" authorId="0" shapeId="0">
      <text>
        <r>
          <rPr>
            <b/>
            <sz val="12"/>
            <color indexed="81"/>
            <rFont val="Tahoma"/>
            <family val="2"/>
          </rPr>
          <t>Windows User:</t>
        </r>
        <r>
          <rPr>
            <sz val="12"/>
            <color indexed="81"/>
            <rFont val="Tahoma"/>
            <family val="2"/>
          </rPr>
          <t xml:space="preserve">
(Righ click on tab name, press "Move or Copy…", check box that says "Create a copy"</t>
        </r>
      </text>
    </comment>
  </commentList>
</comments>
</file>

<file path=xl/comments3.xml><?xml version="1.0" encoding="utf-8"?>
<comments xmlns="http://schemas.openxmlformats.org/spreadsheetml/2006/main">
  <authors>
    <author>Windows User</author>
  </authors>
  <commentList>
    <comment ref="IT25" authorId="0" shapeId="0">
      <text>
        <r>
          <rPr>
            <b/>
            <sz val="9"/>
            <color indexed="81"/>
            <rFont val="Tahoma"/>
            <family val="2"/>
          </rPr>
          <t>Windows User:</t>
        </r>
        <r>
          <rPr>
            <sz val="9"/>
            <color indexed="81"/>
            <rFont val="Tahoma"/>
            <family val="2"/>
          </rPr>
          <t xml:space="preserve">
EQUIVALENT TO 0.508" BTM BLADE AND 2.388 SECOND LAST BLADE</t>
        </r>
      </text>
    </comment>
    <comment ref="IT30" authorId="0" shapeId="0">
      <text>
        <r>
          <rPr>
            <b/>
            <sz val="9"/>
            <color indexed="81"/>
            <rFont val="Tahoma"/>
            <family val="2"/>
          </rPr>
          <t>Windows User:</t>
        </r>
        <r>
          <rPr>
            <sz val="9"/>
            <color indexed="81"/>
            <rFont val="Tahoma"/>
            <family val="2"/>
          </rPr>
          <t xml:space="preserve">
EQUIVALENT TO 0.508" BTM BLADE AND 2.388 SECOND LAST BLADE</t>
        </r>
      </text>
    </comment>
    <comment ref="IT35" authorId="0" shapeId="0">
      <text>
        <r>
          <rPr>
            <b/>
            <sz val="9"/>
            <color indexed="81"/>
            <rFont val="Tahoma"/>
            <family val="2"/>
          </rPr>
          <t>Windows User:</t>
        </r>
        <r>
          <rPr>
            <sz val="9"/>
            <color indexed="81"/>
            <rFont val="Tahoma"/>
            <family val="2"/>
          </rPr>
          <t xml:space="preserve">
EQUIVALENT TO 0.508" BTM BLADE AND 2.388 SECOND LAST BLADE</t>
        </r>
      </text>
    </comment>
    <comment ref="IT40" authorId="0" shapeId="0">
      <text>
        <r>
          <rPr>
            <b/>
            <sz val="9"/>
            <color indexed="81"/>
            <rFont val="Tahoma"/>
            <family val="2"/>
          </rPr>
          <t>Windows User:</t>
        </r>
        <r>
          <rPr>
            <sz val="9"/>
            <color indexed="81"/>
            <rFont val="Tahoma"/>
            <family val="2"/>
          </rPr>
          <t xml:space="preserve">
EQUIVALENT TO 0.508" BTM BLADE AND 2.388 SECOND LAST BLADE</t>
        </r>
      </text>
    </comment>
  </commentList>
</comments>
</file>

<file path=xl/comments4.xml><?xml version="1.0" encoding="utf-8"?>
<comments xmlns="http://schemas.openxmlformats.org/spreadsheetml/2006/main">
  <authors>
    <author>Windows User</author>
  </authors>
  <commentList>
    <comment ref="IT25" authorId="0" shapeId="0">
      <text>
        <r>
          <rPr>
            <b/>
            <sz val="9"/>
            <color indexed="81"/>
            <rFont val="Tahoma"/>
            <family val="2"/>
          </rPr>
          <t>Windows User:</t>
        </r>
        <r>
          <rPr>
            <sz val="9"/>
            <color indexed="81"/>
            <rFont val="Tahoma"/>
            <family val="2"/>
          </rPr>
          <t xml:space="preserve">
EQUIVALENT TO 0.508" BTM BLADE AND 2.388 SECOND LAST BLADE</t>
        </r>
      </text>
    </comment>
    <comment ref="IT30" authorId="0" shapeId="0">
      <text>
        <r>
          <rPr>
            <b/>
            <sz val="9"/>
            <color indexed="81"/>
            <rFont val="Tahoma"/>
            <family val="2"/>
          </rPr>
          <t>Windows User:</t>
        </r>
        <r>
          <rPr>
            <sz val="9"/>
            <color indexed="81"/>
            <rFont val="Tahoma"/>
            <family val="2"/>
          </rPr>
          <t xml:space="preserve">
EQUIVALENT TO 0.508" BTM BLADE AND 2.388 SECOND LAST BLADE</t>
        </r>
      </text>
    </comment>
    <comment ref="IT35" authorId="0" shapeId="0">
      <text>
        <r>
          <rPr>
            <b/>
            <sz val="9"/>
            <color indexed="81"/>
            <rFont val="Tahoma"/>
            <family val="2"/>
          </rPr>
          <t>Windows User:</t>
        </r>
        <r>
          <rPr>
            <sz val="9"/>
            <color indexed="81"/>
            <rFont val="Tahoma"/>
            <family val="2"/>
          </rPr>
          <t xml:space="preserve">
EQUIVALENT TO 0.508" BTM BLADE AND 2.388 SECOND LAST BLADE</t>
        </r>
      </text>
    </comment>
    <comment ref="IT40" authorId="0" shapeId="0">
      <text>
        <r>
          <rPr>
            <b/>
            <sz val="9"/>
            <color indexed="81"/>
            <rFont val="Tahoma"/>
            <family val="2"/>
          </rPr>
          <t>Windows User:</t>
        </r>
        <r>
          <rPr>
            <sz val="9"/>
            <color indexed="81"/>
            <rFont val="Tahoma"/>
            <family val="2"/>
          </rPr>
          <t xml:space="preserve">
EQUIVALENT TO 0.508" BTM BLADE AND 2.388 SECOND LAST BLADE</t>
        </r>
      </text>
    </comment>
  </commentList>
</comments>
</file>

<file path=xl/sharedStrings.xml><?xml version="1.0" encoding="utf-8"?>
<sst xmlns="http://schemas.openxmlformats.org/spreadsheetml/2006/main" count="4094" uniqueCount="438">
  <si>
    <t>FPM</t>
  </si>
  <si>
    <t>Louver Division</t>
  </si>
  <si>
    <t>INPUTS</t>
  </si>
  <si>
    <t>Model:</t>
  </si>
  <si>
    <t>Air Direction:</t>
  </si>
  <si>
    <t>DE439</t>
  </si>
  <si>
    <t>INTAKE</t>
  </si>
  <si>
    <t>EXHAUST</t>
  </si>
  <si>
    <t>OUTPUTS</t>
  </si>
  <si>
    <t>Free Area:</t>
  </si>
  <si>
    <t>Free Area %:</t>
  </si>
  <si>
    <t>Free Area Velocity:</t>
  </si>
  <si>
    <t>Pressure Drop:</t>
  </si>
  <si>
    <t>%</t>
  </si>
  <si>
    <t>Section Height
inches (mm)</t>
  </si>
  <si>
    <t>Section Width - inches (mm)</t>
  </si>
  <si>
    <t>Free Area Inputs</t>
  </si>
  <si>
    <t># Jambs</t>
  </si>
  <si>
    <t>Jamb Width</t>
  </si>
  <si>
    <t># C-Chan</t>
  </si>
  <si>
    <t>C-Chan Width</t>
  </si>
  <si>
    <t># Strips</t>
  </si>
  <si>
    <t>Strip Width</t>
  </si>
  <si>
    <t>Missing Length</t>
  </si>
  <si>
    <t>Multiplier Width</t>
  </si>
  <si>
    <t>Blade Qty</t>
  </si>
  <si>
    <t>Space Between Head, A (in)</t>
  </si>
  <si>
    <t>Space Between Blades, B (in)</t>
  </si>
  <si>
    <t>Space Between Btm Blade, C (in)</t>
  </si>
  <si>
    <t>Jamb Width (in)</t>
  </si>
  <si>
    <t>Stiffner Width (in)</t>
  </si>
  <si>
    <t>C-Channel Width (in)</t>
  </si>
  <si>
    <t>Width</t>
  </si>
  <si>
    <t>Height</t>
  </si>
  <si>
    <t>Col</t>
  </si>
  <si>
    <t>Row</t>
  </si>
  <si>
    <t>MODEL:</t>
  </si>
  <si>
    <t>INPUT VALUES:</t>
  </si>
  <si>
    <t>WIDTH</t>
  </si>
  <si>
    <t>HEIGHT</t>
  </si>
  <si>
    <t>AIR VOLUME</t>
  </si>
  <si>
    <t>AIR DIRECTION</t>
  </si>
  <si>
    <t>sq.ft</t>
  </si>
  <si>
    <t>FREE AREA:</t>
  </si>
  <si>
    <t>FACE AREA:</t>
  </si>
  <si>
    <t>ft.min</t>
  </si>
  <si>
    <t>Air Volume:</t>
  </si>
  <si>
    <t>Water Penetration Point:</t>
  </si>
  <si>
    <t>Water Penetration:</t>
  </si>
  <si>
    <t>Model</t>
  </si>
  <si>
    <t>FREE AREA PERCENTAGE</t>
  </si>
  <si>
    <t>SECTION HEIGHT</t>
  </si>
  <si>
    <t>RETURN VALUES</t>
  </si>
  <si>
    <t>4" Deep, 39° Blade Extruded Drainable Louver</t>
  </si>
  <si>
    <t>Summary</t>
  </si>
  <si>
    <t>Performance</t>
  </si>
  <si>
    <t>Free Area %</t>
  </si>
  <si>
    <t>Interpolation:</t>
  </si>
  <si>
    <t>SECTION WIDTH</t>
  </si>
  <si>
    <t>ACTUAL OR NOMINAL</t>
  </si>
  <si>
    <t>SECTIONS WIDE</t>
  </si>
  <si>
    <t>SECTIONS HIGH</t>
  </si>
  <si>
    <t>APPROX SECTION</t>
  </si>
  <si>
    <t>Bounds:</t>
  </si>
  <si>
    <t>Low</t>
  </si>
  <si>
    <t>High</t>
  </si>
  <si>
    <t>RESULTS</t>
  </si>
  <si>
    <t>FREE AREA %:</t>
  </si>
  <si>
    <t>AIR SPEED:</t>
  </si>
  <si>
    <t>PRESSURE DROP:</t>
  </si>
  <si>
    <t>Free Area Calculation Using % FREE AREA</t>
  </si>
  <si>
    <t>MASS ADDED</t>
  </si>
  <si>
    <t>lb</t>
  </si>
  <si>
    <t>Intake</t>
  </si>
  <si>
    <t>Exhaust</t>
  </si>
  <si>
    <t>Page 1 of 1</t>
  </si>
  <si>
    <t>Section Weight:</t>
  </si>
  <si>
    <t>Total Weight:</t>
  </si>
  <si>
    <r>
      <t>For more information visit www.</t>
    </r>
    <r>
      <rPr>
        <b/>
        <sz val="8"/>
        <color theme="0" tint="-0.499984740745262"/>
        <rFont val="Arial"/>
        <family val="2"/>
      </rPr>
      <t>priceindustries</t>
    </r>
    <r>
      <rPr>
        <sz val="8"/>
        <color theme="0" tint="-0.499984740745262"/>
        <rFont val="Arial"/>
        <family val="2"/>
      </rPr>
      <t>.com</t>
    </r>
  </si>
  <si>
    <t>Free Area</t>
  </si>
  <si>
    <t>Pressure Intake</t>
  </si>
  <si>
    <t>Pressure Exhaust</t>
  </si>
  <si>
    <t>Free Area Velocity</t>
  </si>
  <si>
    <t>Section Weight</t>
  </si>
  <si>
    <t>Total Weight</t>
  </si>
  <si>
    <t>in.w.g</t>
  </si>
  <si>
    <t>Approx Sections</t>
  </si>
  <si>
    <t>Model Description:</t>
  </si>
  <si>
    <t>Images</t>
  </si>
  <si>
    <t>OUTPUT VALUES</t>
  </si>
  <si>
    <t>Dimensions:</t>
  </si>
  <si>
    <t>Inch</t>
  </si>
  <si>
    <t>mm</t>
  </si>
  <si>
    <t>SECTIONING</t>
  </si>
  <si>
    <t>Units:</t>
  </si>
  <si>
    <t>SECTION HEIGHT (in)</t>
  </si>
  <si>
    <t>SECTION WIDTH (in)</t>
  </si>
  <si>
    <t>SHEETDATA</t>
  </si>
  <si>
    <t>Output Name</t>
  </si>
  <si>
    <t>Output Value</t>
  </si>
  <si>
    <t>SUMMARY PICTURES</t>
  </si>
  <si>
    <t>MODEL RESULT</t>
  </si>
  <si>
    <t>* Effect of screens not accounted for in performance values.</t>
  </si>
  <si>
    <t>Sectioning</t>
  </si>
  <si>
    <t>Sections Wide</t>
  </si>
  <si>
    <t>Air Direction</t>
  </si>
  <si>
    <t>Contact: LouversDesign_WPG@priceindustries.com</t>
  </si>
  <si>
    <t>Email: LouversDesign_WPG@priceindustries.com</t>
  </si>
  <si>
    <t>DO NOT TOUCH</t>
  </si>
  <si>
    <t>INSTRUCTIONS:</t>
  </si>
  <si>
    <t>~CHANGE TAB NAME TO NEW MODEL NAME</t>
  </si>
  <si>
    <t>~CHANGE MODEL NAME IN C1</t>
  </si>
  <si>
    <t>XXXXX</t>
  </si>
  <si>
    <t>~CHANGE ALL WEIGHT VALUES IN Q45:AJ64</t>
  </si>
  <si>
    <t>~CHANGE SECTIONING RULES IN C8 and F8</t>
  </si>
  <si>
    <t>~CHANGE PRESSURE EQNS. IN D67 AND D68</t>
  </si>
  <si>
    <t>~REPLACE CHART FOR FREE AREA INPUTS IR20:IW39</t>
  </si>
  <si>
    <t>LOUVER WEIGHT (lb)</t>
  </si>
  <si>
    <t xml:space="preserve">~CREATE COPY OF THIS TAB </t>
  </si>
  <si>
    <t>** Contact Louvers department for exact sectioning sizes when required.</t>
  </si>
  <si>
    <t>W</t>
  </si>
  <si>
    <t>H</t>
  </si>
  <si>
    <t>MINIMUM WIDTH:</t>
  </si>
  <si>
    <t>MINIMUM HEIGHT:</t>
  </si>
  <si>
    <t>~CHANGE LOWEST DIMENSIONS IN F11 AND F12</t>
  </si>
  <si>
    <t xml:space="preserve">Overview: </t>
  </si>
  <si>
    <t>The purpose of this document is to outline how to properly modify/add models to this calculator.</t>
  </si>
  <si>
    <t>Purpose:</t>
  </si>
  <si>
    <t>This section will outline the different Tabs present on the calculator</t>
  </si>
  <si>
    <t>EXAMPLE WITH ERRORS:</t>
  </si>
  <si>
    <t>SHEET DATA</t>
  </si>
  <si>
    <t>EXAMPLE OF NEW MODEL</t>
  </si>
  <si>
    <t xml:space="preserve"> </t>
  </si>
  <si>
    <t>WORKSHEET INSTRUCTIONS</t>
  </si>
  <si>
    <t>VALUES TO CHANGE</t>
  </si>
  <si>
    <t>SIZES</t>
  </si>
  <si>
    <t>EXAMPLE WITH WARNING DIALOG</t>
  </si>
  <si>
    <t>LOCKDOWN PROCEDURE</t>
  </si>
  <si>
    <t>Effect of screens not accounted for in performance values.</t>
  </si>
  <si>
    <t>lbs/in</t>
  </si>
  <si>
    <t>B Flange Weight</t>
  </si>
  <si>
    <t>lbs</t>
  </si>
  <si>
    <t>Linear Weight:</t>
  </si>
  <si>
    <t>SCREEN WEIGHT (lbs)</t>
  </si>
  <si>
    <t>B FLANGE WEIGHT (lbs)</t>
  </si>
  <si>
    <t>LOUVER WEIGHT (lbs)</t>
  </si>
  <si>
    <t>Lbs/in^2</t>
  </si>
  <si>
    <t>lbs/in^2</t>
  </si>
  <si>
    <t>Screen Weight:</t>
  </si>
  <si>
    <t>Louver Weight:</t>
  </si>
  <si>
    <t>Perimeter:</t>
  </si>
  <si>
    <t>in</t>
  </si>
  <si>
    <t>Area:</t>
  </si>
  <si>
    <t>in^2</t>
  </si>
  <si>
    <t>Performance of louvers manufactured by Price are tested in accordance with AMCA Publication 500-L.</t>
  </si>
  <si>
    <t>Steps</t>
  </si>
  <si>
    <t>Save "PerformanceCalc_V_X.X MASTER" As "PerformanceCalc_V_X.X Upload"</t>
  </si>
  <si>
    <t>Copy lock key on "CALCULATOR" tab and then delete the code.</t>
  </si>
  <si>
    <t>Lock down all Tabs using code. Click on "Review" at top of page, then "Protect Sheet"</t>
  </si>
  <si>
    <t>Ensure all boxes are unchecked except "Select unlocked cells". Enter key, press "Ok", enter key again and press "Ok."</t>
  </si>
  <si>
    <t>Hide all tabs except "CALCULATOR" and "SUMMARY"</t>
  </si>
  <si>
    <t>Right click on a Tab, press "Hide."</t>
  </si>
  <si>
    <t>Lock down workbook so that users can not unhide tabs. Press "Review" at top of page, then "Protect Workbook"</t>
  </si>
  <si>
    <t>Ensure "Structure" checked, enter key, press "Ok", enter key again and press "Ok."</t>
  </si>
  <si>
    <t>Estimated Total Weight:</t>
  </si>
  <si>
    <t>DATA ENTRY:</t>
  </si>
  <si>
    <t>PRINT SUMMARY:</t>
  </si>
  <si>
    <t>Revision Log</t>
  </si>
  <si>
    <t>Version:</t>
  </si>
  <si>
    <t>Author:</t>
  </si>
  <si>
    <t>SBO</t>
  </si>
  <si>
    <t>Date:</t>
  </si>
  <si>
    <t>Revision Description:</t>
  </si>
  <si>
    <t>Initial Release</t>
  </si>
  <si>
    <t>**NOTE: Make sure to change version number on "DATA ENTRY" tab. **</t>
  </si>
  <si>
    <t>SELECT MODEL</t>
  </si>
  <si>
    <t>SELECT AIR DIRECTION</t>
  </si>
  <si>
    <t>SELECT UNITS</t>
  </si>
  <si>
    <t>Minimum Sizes (in)</t>
  </si>
  <si>
    <t>Minimum Sizes (mm)</t>
  </si>
  <si>
    <t>BCDE439</t>
  </si>
  <si>
    <t>LENGTH</t>
  </si>
  <si>
    <t>39° Blade Box Corner Penthouse Drainable Louver</t>
  </si>
  <si>
    <t>SECTIONS LONG</t>
  </si>
  <si>
    <t>SECTION LENGTH</t>
  </si>
  <si>
    <t>FRONT/BACK SECTIONS:</t>
  </si>
  <si>
    <t>LEFT/RIGHT SECTIONS:</t>
  </si>
  <si>
    <t>TOTAL:</t>
  </si>
  <si>
    <t>NOTE: NO C-CHANNEL AT 72</t>
  </si>
  <si>
    <t>TOTAL FREE AREA</t>
  </si>
  <si>
    <t>TOTAL FACE AREA</t>
  </si>
  <si>
    <t>FREE AREA %</t>
  </si>
  <si>
    <t>BCDE635</t>
  </si>
  <si>
    <t>BCZE439</t>
  </si>
  <si>
    <t>39° Z-Blade Box Corner Penthouse Drainable Louver</t>
  </si>
  <si>
    <t>BCZE445</t>
  </si>
  <si>
    <t>45° Z-Blade Box Corner Penthouse Stationary Louver</t>
  </si>
  <si>
    <t>BCJE443</t>
  </si>
  <si>
    <t>43° J-Blade Box Corner Penthouse Drainable Louver</t>
  </si>
  <si>
    <t>L</t>
  </si>
  <si>
    <t>12" x 12" x 9.5"</t>
  </si>
  <si>
    <t>240" x 120" x 72"</t>
  </si>
  <si>
    <t>12" x 12" x 10.13"</t>
  </si>
  <si>
    <t>12" x 12" x 10.5"</t>
  </si>
  <si>
    <t>MCDE439</t>
  </si>
  <si>
    <t>16" x 16" x 13.06"</t>
  </si>
  <si>
    <t>108" x 108" x 73.06"</t>
  </si>
  <si>
    <t>MCDE635</t>
  </si>
  <si>
    <t>16" x 16" x 15.93"</t>
  </si>
  <si>
    <t>104" x 104" x 74.43"</t>
  </si>
  <si>
    <t>MCZE439</t>
  </si>
  <si>
    <t>MCZE445</t>
  </si>
  <si>
    <t>16" x 16" x 15.72"</t>
  </si>
  <si>
    <t>108" x 108" x 70.72"</t>
  </si>
  <si>
    <t>MCJE443</t>
  </si>
  <si>
    <t>Length</t>
  </si>
  <si>
    <t>Maximum Sizes (in)</t>
  </si>
  <si>
    <t>Maximum Sizes (mm)</t>
  </si>
  <si>
    <t>304.8 x 304.8 x 241 mm</t>
  </si>
  <si>
    <t>6096 x 3048 x 1829  mm</t>
  </si>
  <si>
    <t>304.8 x 304.8 x 242 mm</t>
  </si>
  <si>
    <t>304.8 x 304.8 x 257 mm</t>
  </si>
  <si>
    <t>304.8 x 304.8 x 267 mm</t>
  </si>
  <si>
    <t>6096 x 3048 x 1828.8  mm</t>
  </si>
  <si>
    <t>406 x 406 x 405 mm</t>
  </si>
  <si>
    <t>406 x 406 x 399 mm</t>
  </si>
  <si>
    <t>2743 x 2743 x 1796  mm</t>
  </si>
  <si>
    <t>SECTION LENGTH/WIDTH (in)</t>
  </si>
  <si>
    <t>For Special Smaller Sizes or Larger Sizes Contact Louvers Department.</t>
  </si>
  <si>
    <t>Length:</t>
  </si>
  <si>
    <t>Width:</t>
  </si>
  <si>
    <t>Height:</t>
  </si>
  <si>
    <t>MIN</t>
  </si>
  <si>
    <t>MAX</t>
  </si>
  <si>
    <t>39° Blade Miter Corner Penthouse Drainable Louver</t>
  </si>
  <si>
    <t>35° Blade Miter Corner Penthouse Drainable Louver</t>
  </si>
  <si>
    <t>39° Z-Blade Miter Corner Penthouse Drainable Louver</t>
  </si>
  <si>
    <t>45° Z-Blade Miter Corner Penthouse Stationary Louver</t>
  </si>
  <si>
    <t>43° J-Blade Miter Corner Penthouse Drainable Louver</t>
  </si>
  <si>
    <t>35° Blade Box Corner Penthouse Drainable Louver</t>
  </si>
  <si>
    <t>Penthouse Performance Data Sheet</t>
  </si>
  <si>
    <t>Standard Front Section Weight:</t>
  </si>
  <si>
    <t>Standard Side Section Weight:</t>
  </si>
  <si>
    <t>Corner Bracket Weight:</t>
  </si>
  <si>
    <t># of Sections:</t>
  </si>
  <si>
    <t>Knee Brace Weight:</t>
  </si>
  <si>
    <t>Cross Brace Weight:</t>
  </si>
  <si>
    <t>Corner Weight:</t>
  </si>
  <si>
    <t>Curb Strap Weight:</t>
  </si>
  <si>
    <t>Roof Weight:</t>
  </si>
  <si>
    <t>Additional Weights (lbs):</t>
  </si>
  <si>
    <t>Single Roof</t>
  </si>
  <si>
    <t>Sectioned Roof (Max Width)</t>
  </si>
  <si>
    <t>Expansion Plate</t>
  </si>
  <si>
    <t>Expansion Plate Weight:</t>
  </si>
  <si>
    <t>Throat Louver Length:</t>
  </si>
  <si>
    <t>Throat Louver Width:</t>
  </si>
  <si>
    <t>Total Sections</t>
  </si>
  <si>
    <t>Sections Long</t>
  </si>
  <si>
    <t>Sections Long Per Side</t>
  </si>
  <si>
    <t>Total Sections Long</t>
  </si>
  <si>
    <t>Sections Wide Per Side</t>
  </si>
  <si>
    <t>Total Sections Wide</t>
  </si>
  <si>
    <t>Total Sections High</t>
  </si>
  <si>
    <t>Throat Area:</t>
  </si>
  <si>
    <t>Throat Area</t>
  </si>
  <si>
    <t>Curb:</t>
  </si>
  <si>
    <t>No Curb</t>
  </si>
  <si>
    <t>12" Curb</t>
  </si>
  <si>
    <t>18" Curb</t>
  </si>
  <si>
    <t>For Internal Use Only:</t>
  </si>
  <si>
    <t>12"</t>
  </si>
  <si>
    <t>18"</t>
  </si>
  <si>
    <t>Total Sections:</t>
  </si>
  <si>
    <t>CURB</t>
  </si>
  <si>
    <t>Curb Height</t>
  </si>
  <si>
    <t>Curb Height:</t>
  </si>
  <si>
    <t>Inputs:</t>
  </si>
  <si>
    <t>Throat Length:</t>
  </si>
  <si>
    <t>Throat Width:</t>
  </si>
  <si>
    <t>Return Values:</t>
  </si>
  <si>
    <t>Weight (lbs)</t>
  </si>
  <si>
    <t>Area (in^2)</t>
  </si>
  <si>
    <t>Length (in)</t>
  </si>
  <si>
    <t>Width (in)</t>
  </si>
  <si>
    <t>Equation:</t>
  </si>
  <si>
    <t>ROOF</t>
  </si>
  <si>
    <t>Perimeter (in)</t>
  </si>
  <si>
    <t>One Piece Roof:</t>
  </si>
  <si>
    <t>A=</t>
  </si>
  <si>
    <t>RESULT EQUATION:</t>
  </si>
  <si>
    <t>Section Roof:</t>
  </si>
  <si>
    <t>Gable Roof</t>
  </si>
  <si>
    <t>OP_8.25</t>
  </si>
  <si>
    <t>OP_12.25</t>
  </si>
  <si>
    <t>OP_7.088</t>
  </si>
  <si>
    <t>SE_8.25</t>
  </si>
  <si>
    <t>SE_12.25</t>
  </si>
  <si>
    <t>SE_7.088</t>
  </si>
  <si>
    <t>GA_8.25</t>
  </si>
  <si>
    <t>GA_12.25</t>
  </si>
  <si>
    <t>GA_7.088</t>
  </si>
  <si>
    <t>One Piece:</t>
  </si>
  <si>
    <t>107.815x35.815</t>
  </si>
  <si>
    <t>Section:</t>
  </si>
  <si>
    <t>103.815x31.815</t>
  </si>
  <si>
    <t>Gable:</t>
  </si>
  <si>
    <t>108.977x36.977</t>
  </si>
  <si>
    <t>MAX CURB SIZE</t>
  </si>
  <si>
    <t>MAX CURB WIDTH</t>
  </si>
  <si>
    <t>N/A</t>
  </si>
  <si>
    <t>Total Weight w/Curb</t>
  </si>
  <si>
    <t>Curb Weight</t>
  </si>
  <si>
    <t>Curb Strap and Brace Weight:</t>
  </si>
  <si>
    <t>Conversion:</t>
  </si>
  <si>
    <t>L/s to CFM:</t>
  </si>
  <si>
    <t>Conversions:</t>
  </si>
  <si>
    <t>CFM to L/s:</t>
  </si>
  <si>
    <t>sq.m</t>
  </si>
  <si>
    <t>m/s</t>
  </si>
  <si>
    <t>Pa</t>
  </si>
  <si>
    <t>kg</t>
  </si>
  <si>
    <t>Optional:</t>
  </si>
  <si>
    <t>Job Name:</t>
  </si>
  <si>
    <t>ENTER JOB NAME</t>
  </si>
  <si>
    <t>Unit Tag:</t>
  </si>
  <si>
    <t>ENTER UNIT TAG</t>
  </si>
  <si>
    <t>Engineering Information:</t>
  </si>
  <si>
    <t>Outputs</t>
  </si>
  <si>
    <t>Total Free Area:</t>
  </si>
  <si>
    <t>Total Face Area</t>
  </si>
  <si>
    <t>Air Speed</t>
  </si>
  <si>
    <t>Inputs</t>
  </si>
  <si>
    <t>Sectioning Type</t>
  </si>
  <si>
    <t>Type:</t>
  </si>
  <si>
    <t>Water Penetration Point</t>
  </si>
  <si>
    <t>Number of Brackets</t>
  </si>
  <si>
    <t>TYPE:</t>
  </si>
  <si>
    <t>BOX CORNER</t>
  </si>
  <si>
    <t>WEIGHT CALCULATOR VALUES</t>
  </si>
  <si>
    <t>Mitre Corner Heights</t>
  </si>
  <si>
    <t>Bracket and Supports:</t>
  </si>
  <si>
    <t>Clip Angle Weight:</t>
  </si>
  <si>
    <t>MITER CORNER</t>
  </si>
  <si>
    <t>Box Corner</t>
  </si>
  <si>
    <t>Miter Corner</t>
  </si>
  <si>
    <t>BOX CORNERS</t>
  </si>
  <si>
    <t>ENTER HEIGHT</t>
  </si>
  <si>
    <t>INCHES</t>
  </si>
  <si>
    <t>MM (DIRECT CONVERSION)</t>
  </si>
  <si>
    <t>MM (ALL IN ONE)</t>
  </si>
  <si>
    <t>Louver Height:</t>
  </si>
  <si>
    <t>16" x 16" x 15.651"</t>
  </si>
  <si>
    <t>108" x 108" x 70.651"</t>
  </si>
  <si>
    <t>null</t>
  </si>
  <si>
    <t>DELETE HEIGHT VALUE</t>
  </si>
  <si>
    <t>ZE439</t>
  </si>
  <si>
    <t>ZE445</t>
  </si>
  <si>
    <t>DE635</t>
  </si>
  <si>
    <t>JE443</t>
  </si>
  <si>
    <t>BLADE QU.</t>
  </si>
  <si>
    <t>BLADE SPACING</t>
  </si>
  <si>
    <t>TOP SPACING</t>
  </si>
  <si>
    <t>BOTTOM SPACING</t>
  </si>
  <si>
    <t>FREE AREA CALCULATION</t>
  </si>
  <si>
    <t>BLADE QUANTITY</t>
  </si>
  <si>
    <t>FREE AREA PERIMETER:</t>
  </si>
  <si>
    <t>SPACES:</t>
  </si>
  <si>
    <t>BLADE SPACING:</t>
  </si>
  <si>
    <t>TOP SPACING:</t>
  </si>
  <si>
    <t>BOTTOM SPACING:</t>
  </si>
  <si>
    <t>ADJUSTED PERIMETER:</t>
  </si>
  <si>
    <t>CALCULATIONS:</t>
  </si>
  <si>
    <t>sq.in</t>
  </si>
  <si>
    <t>Bracket Weight</t>
  </si>
  <si>
    <t>Curb</t>
  </si>
  <si>
    <t>Clip Angle:</t>
  </si>
  <si>
    <t>Number Of Gaps:</t>
  </si>
  <si>
    <t>Clip Angles</t>
  </si>
  <si>
    <t>L Brackets(Along Inside perimeter)</t>
  </si>
  <si>
    <t>L Brackets:</t>
  </si>
  <si>
    <t>Number of L Brackets:</t>
  </si>
  <si>
    <t>Material:</t>
  </si>
  <si>
    <t>Based on: 252129-001 TYPE 2</t>
  </si>
  <si>
    <t>Galanized Steel</t>
  </si>
  <si>
    <t>TCB</t>
  </si>
  <si>
    <t>4" MC SECTIONING BOUNDS</t>
  </si>
  <si>
    <t>TYPE 1</t>
  </si>
  <si>
    <t>TYPE 4</t>
  </si>
  <si>
    <t>6" MC SECTIONING BOUNDS</t>
  </si>
  <si>
    <t>TYPE 2 CONDITION 1</t>
  </si>
  <si>
    <t>TYPE 2 CONDITION 2</t>
  </si>
  <si>
    <t xml:space="preserve">TYPE 3 </t>
  </si>
  <si>
    <t>+16.25</t>
  </si>
  <si>
    <t>+44</t>
  </si>
  <si>
    <t>+60.25</t>
  </si>
  <si>
    <t xml:space="preserve">6" MC SECTIONING </t>
  </si>
  <si>
    <t xml:space="preserve">TYPE </t>
  </si>
  <si>
    <t>4" MC SECTIONING</t>
  </si>
  <si>
    <t>+20.25</t>
  </si>
  <si>
    <t>+64.25</t>
  </si>
  <si>
    <t>+48</t>
  </si>
  <si>
    <t>MC TYPE</t>
  </si>
  <si>
    <t>Number of Expansion Plates (no corners):</t>
  </si>
  <si>
    <t>406 x 406 x 332 mm</t>
  </si>
  <si>
    <t>406 x 406 x 398 mm</t>
  </si>
  <si>
    <t>2743 x 2743 x 1856  mm</t>
  </si>
  <si>
    <t>2642 x 2642 x 1891  mm</t>
  </si>
  <si>
    <t>2743 x 2743 x 1795  mm</t>
  </si>
  <si>
    <t>Throat Louver Length</t>
  </si>
  <si>
    <t>Throat Louver Width</t>
  </si>
  <si>
    <t>Forced Imperial Units</t>
  </si>
  <si>
    <t>Width analysis</t>
  </si>
  <si>
    <t>Notes:</t>
  </si>
  <si>
    <t>-</t>
  </si>
  <si>
    <t>Increase in weight is constant as louver increases in width for increment of 6" which is expected</t>
  </si>
  <si>
    <t>Height analysis</t>
  </si>
  <si>
    <t>Patern alternates because a blade is added and then not added every 6" height incremented, which is expected</t>
  </si>
  <si>
    <t>Width Weight analysis, Length held at 240", Height Held at 72"</t>
  </si>
  <si>
    <t>width</t>
  </si>
  <si>
    <t>Length analysis, Width held at 12", Height Held at 72"</t>
  </si>
  <si>
    <t>Height analysis, Width held at 240", Length Held at 120"</t>
  </si>
  <si>
    <t>Height analysis, Length  held at 240", Width Held at 120"</t>
  </si>
  <si>
    <t>Height analysis, Length held at 240", Width held at 120"</t>
  </si>
  <si>
    <t>Constant weight increase due to how model is configured. Louver is produced in incremental heights that includes one more blade.</t>
  </si>
  <si>
    <t>Width Weight analysis, Length held at 108", Height Held at 73.06"</t>
  </si>
  <si>
    <t>Length analysis, Width held at 16.26", Height Held at 73.06"</t>
  </si>
  <si>
    <t>Height analysis, Width held at 108", Length Held at 108"</t>
  </si>
  <si>
    <t xml:space="preserve">Updated BCDE635 weights for minor typos; Added conversions for metric input on roof and curbs tabs; Revised BCDE439 corner weight to match BCZE439; Revised sectioning bounds for MC (4" and 6") (see FOR ENGINEERS tab); 
Fixed error message typos; Updated precision for metric I/O; </t>
  </si>
  <si>
    <t>ENTER LENGTH</t>
  </si>
  <si>
    <t>ENTER WIDTH</t>
  </si>
  <si>
    <t>ENTER AIR VOLUME</t>
  </si>
  <si>
    <t xml:space="preserve">Added sectioning picture to "FOR ENGINEERS" tab. Updated curb weights to SE output +10%. Previous values were somehow offset by approx 30lb/6" height (very conservative). </t>
  </si>
  <si>
    <t>Updated curb height option from 6" to 8" to match standard offering in AIO</t>
  </si>
  <si>
    <t>8" Curb</t>
  </si>
  <si>
    <t>8"</t>
  </si>
  <si>
    <t>Version: 1.3</t>
  </si>
  <si>
    <t>v1.3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</si>
</sst>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0.000"/>
    <numFmt numFmtId="166" formatCode="0.00000"/>
    <numFmt numFmtId="167" formatCode="0.0000"/>
    <numFmt numFmtId="168" formatCode="0.000000"/>
    <numFmt numFmtId="169" formatCode="\(0\)"/>
    <numFmt numFmtId="170" formatCode="\(0.0\)"/>
    <numFmt numFmtId="171" formatCode="\(0.00\)"/>
  </numFmts>
  <fonts count="55" x14ac:knownFonts="1">
    <font>
      <sz val="11"/>
      <color theme="1"/>
      <name val="Calibri"/>
      <family val="2"/>
      <scheme val="minor"/>
    </font>
    <font>
      <sz val="16"/>
      <color theme="1"/>
      <name val="Calibri"/>
      <family val="2"/>
      <scheme val="minor"/>
    </font>
    <font>
      <sz val="18"/>
      <color theme="1"/>
      <name val="Calibri"/>
      <family val="2"/>
      <scheme val="minor"/>
    </font>
    <font>
      <sz val="24"/>
      <color theme="1"/>
      <name val="Calibri"/>
      <family val="2"/>
      <scheme val="minor"/>
    </font>
    <font>
      <b/>
      <sz val="20"/>
      <color theme="1"/>
      <name val="Arial"/>
      <family val="2"/>
    </font>
    <font>
      <sz val="11"/>
      <color theme="1"/>
      <name val="Arial"/>
      <family val="2"/>
    </font>
    <font>
      <b/>
      <sz val="11"/>
      <color theme="1"/>
      <name val="Arial"/>
      <family val="2"/>
    </font>
    <font>
      <b/>
      <sz val="14"/>
      <color theme="1"/>
      <name val="Arial"/>
      <family val="2"/>
    </font>
    <font>
      <b/>
      <sz val="11"/>
      <name val="Arial"/>
      <family val="2"/>
    </font>
    <font>
      <sz val="11"/>
      <name val="Arial"/>
      <family val="2"/>
    </font>
    <font>
      <sz val="11"/>
      <color theme="1"/>
      <name val="Calibri"/>
      <family val="2"/>
      <scheme val="minor"/>
    </font>
    <font>
      <b/>
      <sz val="11"/>
      <color theme="1"/>
      <name val="Calibri"/>
      <family val="2"/>
      <scheme val="minor"/>
    </font>
    <font>
      <sz val="12"/>
      <color theme="1"/>
      <name val="Calibri"/>
      <family val="2"/>
      <scheme val="minor"/>
    </font>
    <font>
      <b/>
      <sz val="18"/>
      <color theme="1"/>
      <name val="Calibri"/>
      <family val="2"/>
      <scheme val="minor"/>
    </font>
    <font>
      <sz val="14"/>
      <color theme="1"/>
      <name val="Calibri"/>
      <family val="2"/>
      <scheme val="minor"/>
    </font>
    <font>
      <b/>
      <sz val="16"/>
      <color theme="1"/>
      <name val="Calibri"/>
      <family val="2"/>
      <scheme val="minor"/>
    </font>
    <font>
      <sz val="14"/>
      <color theme="1"/>
      <name val="Arial"/>
      <family val="2"/>
    </font>
    <font>
      <sz val="22"/>
      <color theme="1"/>
      <name val="Arial"/>
      <family val="2"/>
    </font>
    <font>
      <sz val="10"/>
      <color theme="1"/>
      <name val="Arial"/>
      <family val="2"/>
    </font>
    <font>
      <sz val="10"/>
      <name val="Arial"/>
      <family val="2"/>
    </font>
    <font>
      <b/>
      <sz val="14"/>
      <color theme="1"/>
      <name val="Calibri"/>
      <family val="2"/>
      <scheme val="minor"/>
    </font>
    <font>
      <b/>
      <sz val="12"/>
      <color theme="1"/>
      <name val="Calibri"/>
      <family val="2"/>
      <scheme val="minor"/>
    </font>
    <font>
      <u/>
      <sz val="16"/>
      <color theme="1"/>
      <name val="Calibri"/>
      <family val="2"/>
      <scheme val="minor"/>
    </font>
    <font>
      <sz val="9"/>
      <color theme="1"/>
      <name val="Calibri"/>
      <family val="2"/>
      <scheme val="minor"/>
    </font>
    <font>
      <sz val="9"/>
      <color theme="1"/>
      <name val="Arial"/>
      <family val="2"/>
    </font>
    <font>
      <i/>
      <sz val="9"/>
      <color theme="1"/>
      <name val="Arial"/>
      <family val="2"/>
    </font>
    <font>
      <b/>
      <sz val="16"/>
      <color theme="1"/>
      <name val="Arial"/>
      <family val="2"/>
    </font>
    <font>
      <sz val="8"/>
      <color theme="1"/>
      <name val="Arial"/>
      <family val="2"/>
    </font>
    <font>
      <sz val="8"/>
      <color theme="0" tint="-0.499984740745262"/>
      <name val="Arial"/>
      <family val="2"/>
    </font>
    <font>
      <b/>
      <sz val="8"/>
      <color theme="0" tint="-0.499984740745262"/>
      <name val="Arial"/>
      <family val="2"/>
    </font>
    <font>
      <sz val="10"/>
      <color rgb="FF000000"/>
      <name val="Calibri"/>
      <family val="2"/>
      <scheme val="minor"/>
    </font>
    <font>
      <b/>
      <sz val="9"/>
      <color indexed="81"/>
      <name val="Tahoma"/>
      <family val="2"/>
    </font>
    <font>
      <sz val="9"/>
      <color indexed="81"/>
      <name val="Tahoma"/>
      <family val="2"/>
    </font>
    <font>
      <sz val="11"/>
      <name val="Calibri"/>
      <family val="2"/>
      <scheme val="minor"/>
    </font>
    <font>
      <b/>
      <i/>
      <sz val="14"/>
      <color theme="1"/>
      <name val="Calibri"/>
      <family val="2"/>
      <scheme val="minor"/>
    </font>
    <font>
      <u/>
      <sz val="11"/>
      <color theme="1"/>
      <name val="Calibri"/>
      <family val="2"/>
      <scheme val="minor"/>
    </font>
    <font>
      <u/>
      <sz val="18"/>
      <color theme="1"/>
      <name val="Calibri"/>
      <family val="2"/>
      <scheme val="minor"/>
    </font>
    <font>
      <sz val="11"/>
      <color rgb="FFFF0000"/>
      <name val="Calibri"/>
      <family val="2"/>
      <scheme val="minor"/>
    </font>
    <font>
      <b/>
      <sz val="11"/>
      <name val="Calibri"/>
      <family val="2"/>
      <scheme val="minor"/>
    </font>
    <font>
      <b/>
      <sz val="12"/>
      <color indexed="81"/>
      <name val="Tahoma"/>
      <family val="2"/>
    </font>
    <font>
      <sz val="12"/>
      <color indexed="81"/>
      <name val="Tahoma"/>
      <family val="2"/>
    </font>
    <font>
      <b/>
      <u/>
      <sz val="14"/>
      <color theme="1"/>
      <name val="Calibri"/>
      <family val="2"/>
      <scheme val="minor"/>
    </font>
    <font>
      <sz val="14"/>
      <name val="Calibri"/>
      <family val="2"/>
      <scheme val="minor"/>
    </font>
    <font>
      <sz val="22"/>
      <color theme="1"/>
      <name val="Calibri"/>
      <family val="2"/>
      <scheme val="minor"/>
    </font>
    <font>
      <b/>
      <u/>
      <sz val="11"/>
      <color theme="1"/>
      <name val="Calibri"/>
      <family val="2"/>
      <scheme val="minor"/>
    </font>
    <font>
      <b/>
      <u/>
      <sz val="16"/>
      <color theme="1"/>
      <name val="Calibri"/>
      <family val="2"/>
      <scheme val="minor"/>
    </font>
    <font>
      <u/>
      <sz val="14"/>
      <color theme="1"/>
      <name val="Calibri"/>
      <family val="2"/>
      <scheme val="minor"/>
    </font>
    <font>
      <b/>
      <u/>
      <sz val="18"/>
      <color theme="1"/>
      <name val="Calibri"/>
      <family val="2"/>
      <scheme val="minor"/>
    </font>
    <font>
      <u/>
      <sz val="12"/>
      <color theme="1"/>
      <name val="Calibri"/>
      <family val="2"/>
      <scheme val="minor"/>
    </font>
    <font>
      <sz val="9"/>
      <color rgb="FF595959"/>
      <name val="Calibri"/>
      <family val="2"/>
      <scheme val="minor"/>
    </font>
    <font>
      <b/>
      <sz val="12"/>
      <name val="Calibri"/>
      <family val="2"/>
      <scheme val="minor"/>
    </font>
    <font>
      <b/>
      <u/>
      <sz val="11"/>
      <name val="Calibri"/>
      <family val="2"/>
      <scheme val="minor"/>
    </font>
    <font>
      <sz val="28"/>
      <color theme="1"/>
      <name val="Calibri"/>
      <family val="2"/>
      <scheme val="minor"/>
    </font>
    <font>
      <u/>
      <sz val="11"/>
      <name val="Calibri"/>
      <family val="2"/>
      <scheme val="minor"/>
    </font>
    <font>
      <u/>
      <sz val="18"/>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0.14999847407452621"/>
        <bgColor indexed="64"/>
      </patternFill>
    </fill>
  </fills>
  <borders count="17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diagonal/>
    </border>
    <border>
      <left/>
      <right style="thick">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medium">
        <color indexed="64"/>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medium">
        <color indexed="64"/>
      </bottom>
      <diagonal/>
    </border>
    <border>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indexed="64"/>
      </right>
      <top style="medium">
        <color theme="0"/>
      </top>
      <bottom style="medium">
        <color theme="0"/>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thin">
        <color auto="1"/>
      </left>
      <right style="thin">
        <color theme="0"/>
      </right>
      <top style="thin">
        <color auto="1"/>
      </top>
      <bottom style="thin">
        <color auto="1"/>
      </bottom>
      <diagonal/>
    </border>
    <border>
      <left style="thin">
        <color auto="1"/>
      </left>
      <right style="thin">
        <color theme="0"/>
      </right>
      <top style="thin">
        <color auto="1"/>
      </top>
      <bottom style="thin">
        <color theme="0"/>
      </bottom>
      <diagonal/>
    </border>
    <border>
      <left/>
      <right style="thin">
        <color indexed="64"/>
      </right>
      <top style="thin">
        <color indexed="64"/>
      </top>
      <bottom style="thin">
        <color theme="0"/>
      </bottom>
      <diagonal/>
    </border>
    <border>
      <left style="thin">
        <color theme="0"/>
      </left>
      <right style="medium">
        <color indexed="64"/>
      </right>
      <top style="thin">
        <color auto="1"/>
      </top>
      <bottom style="thin">
        <color auto="1"/>
      </bottom>
      <diagonal/>
    </border>
    <border>
      <left style="thin">
        <color theme="0"/>
      </left>
      <right style="medium">
        <color indexed="64"/>
      </right>
      <top style="thin">
        <color auto="1"/>
      </top>
      <bottom style="thin">
        <color theme="0"/>
      </bottom>
      <diagonal/>
    </border>
    <border>
      <left style="thin">
        <color theme="0"/>
      </left>
      <right style="medium">
        <color indexed="64"/>
      </right>
      <top/>
      <bottom style="thin">
        <color auto="1"/>
      </bottom>
      <diagonal/>
    </border>
    <border>
      <left style="thin">
        <color auto="1"/>
      </left>
      <right style="thin">
        <color theme="0"/>
      </right>
      <top/>
      <bottom style="thin">
        <color auto="1"/>
      </bottom>
      <diagonal/>
    </border>
    <border>
      <left/>
      <right style="thin">
        <color auto="1"/>
      </right>
      <top style="thin">
        <color theme="0"/>
      </top>
      <bottom style="medium">
        <color indexed="64"/>
      </bottom>
      <diagonal/>
    </border>
    <border>
      <left style="thin">
        <color auto="1"/>
      </left>
      <right style="thin">
        <color theme="0"/>
      </right>
      <top style="thin">
        <color theme="0"/>
      </top>
      <bottom style="medium">
        <color indexed="64"/>
      </bottom>
      <diagonal/>
    </border>
    <border>
      <left style="thin">
        <color indexed="64"/>
      </left>
      <right style="medium">
        <color indexed="64"/>
      </right>
      <top style="thin">
        <color theme="0"/>
      </top>
      <bottom style="medium">
        <color indexed="64"/>
      </bottom>
      <diagonal/>
    </border>
    <border>
      <left style="thin">
        <color indexed="64"/>
      </left>
      <right style="medium">
        <color indexed="64"/>
      </right>
      <top style="thin">
        <color indexed="64"/>
      </top>
      <bottom style="thin">
        <color theme="0"/>
      </bottom>
      <diagonal/>
    </border>
    <border>
      <left style="medium">
        <color indexed="64"/>
      </left>
      <right style="medium">
        <color indexed="64"/>
      </right>
      <top/>
      <bottom/>
      <diagonal/>
    </border>
    <border>
      <left style="medium">
        <color theme="0"/>
      </left>
      <right/>
      <top style="medium">
        <color theme="0"/>
      </top>
      <bottom style="medium">
        <color theme="0"/>
      </bottom>
      <diagonal/>
    </border>
    <border>
      <left style="medium">
        <color theme="0"/>
      </left>
      <right style="medium">
        <color indexed="64"/>
      </right>
      <top/>
      <bottom style="medium">
        <color theme="0"/>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right style="medium">
        <color theme="0"/>
      </right>
      <top style="medium">
        <color theme="0"/>
      </top>
      <bottom style="medium">
        <color indexed="64"/>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bottom style="medium">
        <color theme="0"/>
      </bottom>
      <diagonal/>
    </border>
    <border>
      <left style="thin">
        <color theme="0"/>
      </left>
      <right style="thin">
        <color theme="0"/>
      </right>
      <top style="thin">
        <color theme="0"/>
      </top>
      <bottom style="thick">
        <color indexed="64"/>
      </bottom>
      <diagonal/>
    </border>
    <border>
      <left style="thin">
        <color theme="0"/>
      </left>
      <right style="thin">
        <color theme="0"/>
      </right>
      <top style="thin">
        <color theme="0" tint="-0.249977111117893"/>
      </top>
      <bottom style="thin">
        <color theme="0"/>
      </bottom>
      <diagonal/>
    </border>
    <border>
      <left/>
      <right/>
      <top style="thin">
        <color theme="0"/>
      </top>
      <bottom/>
      <diagonal/>
    </border>
    <border>
      <left style="thin">
        <color theme="0"/>
      </left>
      <right/>
      <top/>
      <bottom style="thin">
        <color theme="0"/>
      </bottom>
      <diagonal/>
    </border>
    <border>
      <left style="thin">
        <color indexed="64"/>
      </left>
      <right/>
      <top/>
      <bottom style="thick">
        <color indexed="64"/>
      </bottom>
      <diagonal/>
    </border>
    <border>
      <left/>
      <right style="thick">
        <color indexed="64"/>
      </right>
      <top/>
      <bottom style="medium">
        <color indexed="64"/>
      </bottom>
      <diagonal/>
    </border>
    <border>
      <left/>
      <right style="thick">
        <color indexed="64"/>
      </right>
      <top style="medium">
        <color indexed="64"/>
      </top>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thin">
        <color theme="0"/>
      </left>
      <right/>
      <top/>
      <bottom/>
      <diagonal/>
    </border>
    <border>
      <left/>
      <right style="thin">
        <color theme="0"/>
      </right>
      <top/>
      <bottom/>
      <diagonal/>
    </border>
    <border>
      <left style="medium">
        <color indexed="64"/>
      </left>
      <right style="thin">
        <color indexed="64"/>
      </right>
      <top style="medium">
        <color theme="0"/>
      </top>
      <bottom style="medium">
        <color theme="0"/>
      </bottom>
      <diagonal/>
    </border>
    <border>
      <left style="medium">
        <color indexed="64"/>
      </left>
      <right style="thin">
        <color indexed="64"/>
      </right>
      <top/>
      <bottom style="medium">
        <color theme="0"/>
      </bottom>
      <diagonal/>
    </border>
    <border>
      <left style="medium">
        <color indexed="64"/>
      </left>
      <right style="thin">
        <color indexed="64"/>
      </right>
      <top/>
      <bottom style="thin">
        <color indexed="64"/>
      </bottom>
      <diagonal/>
    </border>
    <border>
      <left style="medium">
        <color indexed="64"/>
      </left>
      <right/>
      <top style="thin">
        <color theme="0"/>
      </top>
      <bottom style="thin">
        <color theme="0"/>
      </bottom>
      <diagonal/>
    </border>
    <border>
      <left style="medium">
        <color indexed="64"/>
      </left>
      <right style="thin">
        <color theme="0"/>
      </right>
      <top style="thin">
        <color theme="0"/>
      </top>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bottom style="thin">
        <color auto="1"/>
      </bottom>
      <diagonal/>
    </border>
    <border>
      <left style="thin">
        <color theme="0"/>
      </left>
      <right style="thin">
        <color auto="1"/>
      </right>
      <top/>
      <bottom style="thin">
        <color auto="1"/>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style="thin">
        <color indexed="64"/>
      </right>
      <top/>
      <bottom style="thick">
        <color indexed="64"/>
      </bottom>
      <diagonal/>
    </border>
    <border>
      <left/>
      <right/>
      <top style="thin">
        <color theme="0"/>
      </top>
      <bottom style="thin">
        <color theme="0"/>
      </bottom>
      <diagonal/>
    </border>
    <border>
      <left style="slantDashDot">
        <color indexed="64"/>
      </left>
      <right style="thin">
        <color theme="0"/>
      </right>
      <top style="thin">
        <color theme="0"/>
      </top>
      <bottom/>
      <diagonal/>
    </border>
    <border>
      <left style="thin">
        <color theme="0"/>
      </left>
      <right style="slantDashDot">
        <color indexed="64"/>
      </right>
      <top style="thin">
        <color theme="0"/>
      </top>
      <bottom style="thin">
        <color theme="0"/>
      </bottom>
      <diagonal/>
    </border>
    <border>
      <left style="slantDashDot">
        <color indexed="64"/>
      </left>
      <right/>
      <top/>
      <bottom/>
      <diagonal/>
    </border>
    <border>
      <left style="slantDashDot">
        <color indexed="64"/>
      </left>
      <right/>
      <top/>
      <bottom style="slantDashDot">
        <color indexed="64"/>
      </bottom>
      <diagonal/>
    </border>
    <border>
      <left/>
      <right/>
      <top/>
      <bottom style="slantDashDot">
        <color indexed="64"/>
      </bottom>
      <diagonal/>
    </border>
    <border>
      <left style="thin">
        <color theme="0"/>
      </left>
      <right/>
      <top style="thin">
        <color theme="0"/>
      </top>
      <bottom style="slantDashDot">
        <color indexed="64"/>
      </bottom>
      <diagonal/>
    </border>
    <border>
      <left/>
      <right style="slantDashDot">
        <color indexed="64"/>
      </right>
      <top style="thin">
        <color theme="0"/>
      </top>
      <bottom style="slantDashDot">
        <color indexed="64"/>
      </bottom>
      <diagonal/>
    </border>
    <border>
      <left style="slantDashDot">
        <color indexed="64"/>
      </left>
      <right style="thin">
        <color theme="0"/>
      </right>
      <top style="slantDashDot">
        <color indexed="64"/>
      </top>
      <bottom style="thin">
        <color theme="0"/>
      </bottom>
      <diagonal/>
    </border>
    <border>
      <left style="medium">
        <color indexed="64"/>
      </left>
      <right style="thin">
        <color theme="0"/>
      </right>
      <top style="slantDashDot">
        <color indexed="64"/>
      </top>
      <bottom style="thin">
        <color theme="0"/>
      </bottom>
      <diagonal/>
    </border>
    <border>
      <left style="thin">
        <color theme="0"/>
      </left>
      <right/>
      <top style="slantDashDot">
        <color indexed="64"/>
      </top>
      <bottom style="thin">
        <color theme="0"/>
      </bottom>
      <diagonal/>
    </border>
    <border>
      <left style="thin">
        <color theme="0"/>
      </left>
      <right style="slantDashDot">
        <color indexed="64"/>
      </right>
      <top style="slantDashDot">
        <color indexed="64"/>
      </top>
      <bottom style="thin">
        <color theme="0"/>
      </bottom>
      <diagonal/>
    </border>
    <border>
      <left/>
      <right style="slantDashDot">
        <color indexed="64"/>
      </right>
      <top style="thin">
        <color theme="0"/>
      </top>
      <bottom style="thin">
        <color theme="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slantDashDot">
        <color indexed="64"/>
      </left>
      <right/>
      <top style="thin">
        <color theme="0"/>
      </top>
      <bottom/>
      <diagonal/>
    </border>
    <border>
      <left style="medium">
        <color indexed="64"/>
      </left>
      <right style="thin">
        <color theme="0"/>
      </right>
      <top style="slantDashDot">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0"/>
      </top>
      <bottom style="medium">
        <color theme="0"/>
      </bottom>
      <diagonal/>
    </border>
    <border>
      <left style="medium">
        <color theme="0"/>
      </left>
      <right style="medium">
        <color theme="0"/>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n">
        <color indexed="64"/>
      </bottom>
      <diagonal/>
    </border>
    <border>
      <left style="thick">
        <color indexed="64"/>
      </left>
      <right/>
      <top style="thin">
        <color indexed="64"/>
      </top>
      <bottom/>
      <diagonal/>
    </border>
    <border>
      <left style="thin">
        <color indexed="64"/>
      </left>
      <right/>
      <top style="thin">
        <color theme="0"/>
      </top>
      <bottom style="medium">
        <color indexed="64"/>
      </bottom>
      <diagonal/>
    </border>
    <border>
      <left style="thin">
        <color indexed="64"/>
      </left>
      <right/>
      <top style="thin">
        <color indexed="64"/>
      </top>
      <bottom style="thin">
        <color theme="0"/>
      </bottom>
      <diagonal/>
    </border>
    <border>
      <left style="medium">
        <color indexed="64"/>
      </left>
      <right style="medium">
        <color theme="0"/>
      </right>
      <top style="medium">
        <color indexed="64"/>
      </top>
      <bottom/>
      <diagonal/>
    </border>
    <border>
      <left style="medium">
        <color indexed="64"/>
      </left>
      <right style="medium">
        <color theme="0"/>
      </right>
      <top/>
      <bottom/>
      <diagonal/>
    </border>
    <border>
      <left style="medium">
        <color indexed="64"/>
      </left>
      <right style="medium">
        <color indexed="64"/>
      </right>
      <top/>
      <bottom style="thin">
        <color indexed="64"/>
      </bottom>
      <diagonal/>
    </border>
    <border>
      <left style="thin">
        <color theme="0"/>
      </left>
      <right style="thin">
        <color theme="0"/>
      </right>
      <top/>
      <bottom/>
      <diagonal/>
    </border>
    <border>
      <left style="medium">
        <color indexed="64"/>
      </left>
      <right/>
      <top style="medium">
        <color theme="0"/>
      </top>
      <bottom style="medium">
        <color theme="0"/>
      </bottom>
      <diagonal/>
    </border>
    <border>
      <left style="medium">
        <color indexed="64"/>
      </left>
      <right style="medium">
        <color theme="0"/>
      </right>
      <top/>
      <bottom style="medium">
        <color theme="0"/>
      </bottom>
      <diagonal/>
    </border>
    <border>
      <left style="medium">
        <color theme="0"/>
      </left>
      <right/>
      <top style="medium">
        <color indexed="64"/>
      </top>
      <bottom style="medium">
        <color indexed="64"/>
      </bottom>
      <diagonal/>
    </border>
    <border>
      <left/>
      <right style="medium">
        <color theme="0"/>
      </right>
      <top style="medium">
        <color indexed="64"/>
      </top>
      <bottom style="medium">
        <color indexed="64"/>
      </bottom>
      <diagonal/>
    </border>
    <border>
      <left/>
      <right/>
      <top/>
      <bottom style="medium">
        <color theme="0"/>
      </bottom>
      <diagonal/>
    </border>
    <border>
      <left/>
      <right style="medium">
        <color indexed="64"/>
      </right>
      <top style="medium">
        <color theme="0"/>
      </top>
      <bottom style="medium">
        <color theme="0"/>
      </bottom>
      <diagonal/>
    </border>
    <border>
      <left/>
      <right style="medium">
        <color theme="0"/>
      </right>
      <top style="medium">
        <color theme="0"/>
      </top>
      <bottom/>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
      <left style="thin">
        <color indexed="64"/>
      </left>
      <right style="medium">
        <color theme="0"/>
      </right>
      <top style="medium">
        <color theme="0"/>
      </top>
      <bottom style="medium">
        <color theme="0"/>
      </bottom>
      <diagonal/>
    </border>
    <border>
      <left style="thin">
        <color indexed="64"/>
      </left>
      <right style="medium">
        <color theme="0"/>
      </right>
      <top/>
      <bottom style="medium">
        <color theme="0"/>
      </bottom>
      <diagonal/>
    </border>
    <border>
      <left style="thin">
        <color indexed="64"/>
      </left>
      <right style="medium">
        <color theme="0"/>
      </right>
      <top/>
      <bottom style="thin">
        <color indexed="64"/>
      </bottom>
      <diagonal/>
    </border>
  </borders>
  <cellStyleXfs count="3">
    <xf numFmtId="0" fontId="0" fillId="0" borderId="0"/>
    <xf numFmtId="9" fontId="10" fillId="0" borderId="0" applyFont="0" applyFill="0" applyBorder="0" applyAlignment="0" applyProtection="0"/>
    <xf numFmtId="43" fontId="10" fillId="0" borderId="0" applyFont="0" applyFill="0" applyBorder="0" applyAlignment="0" applyProtection="0"/>
  </cellStyleXfs>
  <cellXfs count="1003">
    <xf numFmtId="0" fontId="0" fillId="0" borderId="0" xfId="0"/>
    <xf numFmtId="0" fontId="0" fillId="0" borderId="4" xfId="0" applyBorder="1"/>
    <xf numFmtId="0" fontId="0" fillId="0" borderId="0" xfId="0" applyBorder="1"/>
    <xf numFmtId="0" fontId="5" fillId="2" borderId="10" xfId="0" applyFont="1" applyFill="1" applyBorder="1"/>
    <xf numFmtId="0" fontId="5" fillId="2" borderId="0" xfId="0" applyFont="1" applyFill="1" applyBorder="1"/>
    <xf numFmtId="0" fontId="5" fillId="2" borderId="0" xfId="0" applyFont="1" applyFill="1" applyBorder="1" applyAlignment="1">
      <alignment horizontal="right"/>
    </xf>
    <xf numFmtId="0" fontId="5" fillId="2" borderId="0" xfId="0" applyFont="1" applyFill="1" applyBorder="1" applyAlignment="1">
      <alignment horizontal="left"/>
    </xf>
    <xf numFmtId="0" fontId="5" fillId="2" borderId="11" xfId="0" applyFont="1" applyFill="1" applyBorder="1"/>
    <xf numFmtId="0" fontId="5" fillId="2" borderId="0" xfId="0" applyFont="1" applyFill="1" applyBorder="1" applyAlignment="1">
      <alignment horizontal="center"/>
    </xf>
    <xf numFmtId="0" fontId="6" fillId="2" borderId="19" xfId="0" applyFont="1" applyFill="1" applyBorder="1" applyAlignment="1">
      <alignment horizontal="center" wrapText="1"/>
    </xf>
    <xf numFmtId="1" fontId="6" fillId="2" borderId="19" xfId="0" applyNumberFormat="1" applyFont="1" applyFill="1" applyBorder="1" applyAlignment="1">
      <alignment horizontal="left"/>
    </xf>
    <xf numFmtId="1" fontId="8" fillId="2" borderId="20" xfId="0" applyNumberFormat="1" applyFont="1" applyFill="1" applyBorder="1" applyAlignment="1">
      <alignment horizontal="left"/>
    </xf>
    <xf numFmtId="1" fontId="8" fillId="2" borderId="12" xfId="0" applyNumberFormat="1" applyFont="1" applyFill="1" applyBorder="1" applyAlignment="1">
      <alignment horizontal="left"/>
    </xf>
    <xf numFmtId="1" fontId="8" fillId="2" borderId="19" xfId="0" applyNumberFormat="1" applyFont="1" applyFill="1" applyBorder="1" applyAlignment="1">
      <alignment horizontal="left"/>
    </xf>
    <xf numFmtId="1" fontId="8" fillId="2" borderId="0" xfId="0" applyNumberFormat="1" applyFont="1" applyFill="1" applyBorder="1" applyAlignment="1">
      <alignment horizontal="left"/>
    </xf>
    <xf numFmtId="0" fontId="6" fillId="2" borderId="12" xfId="0" applyFont="1" applyFill="1" applyBorder="1" applyAlignment="1">
      <alignment horizontal="center"/>
    </xf>
    <xf numFmtId="0" fontId="6" fillId="2" borderId="20" xfId="0" applyFont="1" applyFill="1" applyBorder="1" applyAlignment="1">
      <alignment horizontal="center" wrapText="1"/>
    </xf>
    <xf numFmtId="0" fontId="6" fillId="2" borderId="21" xfId="0" applyFont="1" applyFill="1" applyBorder="1" applyAlignment="1">
      <alignment horizontal="center" wrapText="1"/>
    </xf>
    <xf numFmtId="1" fontId="8" fillId="2" borderId="21" xfId="0" applyNumberFormat="1" applyFont="1" applyFill="1" applyBorder="1" applyAlignment="1">
      <alignment horizontal="left"/>
    </xf>
    <xf numFmtId="2" fontId="5" fillId="2" borderId="19" xfId="0" applyNumberFormat="1" applyFont="1" applyFill="1" applyBorder="1" applyAlignment="1">
      <alignment horizontal="left"/>
    </xf>
    <xf numFmtId="2" fontId="9" fillId="2" borderId="20" xfId="0" applyNumberFormat="1" applyFont="1" applyFill="1" applyBorder="1" applyAlignment="1">
      <alignment horizontal="left"/>
    </xf>
    <xf numFmtId="2" fontId="9" fillId="2" borderId="12" xfId="0" applyNumberFormat="1" applyFont="1" applyFill="1" applyBorder="1" applyAlignment="1">
      <alignment horizontal="left"/>
    </xf>
    <xf numFmtId="164" fontId="9" fillId="2" borderId="12" xfId="0" applyNumberFormat="1" applyFont="1" applyFill="1" applyBorder="1" applyAlignment="1">
      <alignment horizontal="left"/>
    </xf>
    <xf numFmtId="164" fontId="9" fillId="2" borderId="0" xfId="0" applyNumberFormat="1" applyFont="1" applyFill="1" applyBorder="1" applyAlignment="1">
      <alignment horizontal="left"/>
    </xf>
    <xf numFmtId="0" fontId="5" fillId="3" borderId="12" xfId="0" applyFont="1" applyFill="1" applyBorder="1" applyAlignment="1">
      <alignment horizontal="center"/>
    </xf>
    <xf numFmtId="165" fontId="5" fillId="3" borderId="12" xfId="0" applyNumberFormat="1" applyFont="1" applyFill="1" applyBorder="1" applyAlignment="1">
      <alignment horizontal="center"/>
    </xf>
    <xf numFmtId="1" fontId="8" fillId="0" borderId="19" xfId="0" applyNumberFormat="1" applyFont="1" applyFill="1" applyBorder="1" applyAlignment="1">
      <alignment horizontal="left"/>
    </xf>
    <xf numFmtId="1" fontId="8" fillId="0" borderId="20" xfId="0" applyNumberFormat="1" applyFont="1" applyFill="1" applyBorder="1" applyAlignment="1">
      <alignment horizontal="left"/>
    </xf>
    <xf numFmtId="2" fontId="9" fillId="0" borderId="20" xfId="0" applyNumberFormat="1" applyFont="1" applyFill="1" applyBorder="1" applyAlignment="1">
      <alignment horizontal="left"/>
    </xf>
    <xf numFmtId="2" fontId="9" fillId="0" borderId="12" xfId="0" applyNumberFormat="1" applyFont="1" applyFill="1" applyBorder="1" applyAlignment="1">
      <alignment horizontal="left"/>
    </xf>
    <xf numFmtId="2" fontId="5" fillId="2" borderId="0" xfId="0" applyNumberFormat="1" applyFont="1" applyFill="1" applyBorder="1" applyAlignment="1">
      <alignment horizontal="left"/>
    </xf>
    <xf numFmtId="2" fontId="9" fillId="2" borderId="0" xfId="0" applyNumberFormat="1" applyFont="1" applyFill="1" applyBorder="1" applyAlignment="1">
      <alignment horizontal="left"/>
    </xf>
    <xf numFmtId="165" fontId="5" fillId="2" borderId="0" xfId="0" applyNumberFormat="1" applyFont="1" applyFill="1" applyBorder="1" applyAlignment="1">
      <alignment horizontal="center"/>
    </xf>
    <xf numFmtId="2" fontId="9" fillId="0" borderId="0" xfId="0" applyNumberFormat="1" applyFont="1" applyFill="1" applyBorder="1" applyAlignment="1">
      <alignment horizontal="left"/>
    </xf>
    <xf numFmtId="0" fontId="5" fillId="2" borderId="22" xfId="0" applyFont="1" applyFill="1" applyBorder="1"/>
    <xf numFmtId="0" fontId="5" fillId="2" borderId="23" xfId="0" applyFont="1" applyFill="1" applyBorder="1"/>
    <xf numFmtId="0" fontId="5" fillId="2" borderId="23" xfId="0" applyFont="1" applyFill="1" applyBorder="1" applyAlignment="1">
      <alignment horizontal="right"/>
    </xf>
    <xf numFmtId="0" fontId="5" fillId="2" borderId="23" xfId="0" applyFont="1" applyFill="1" applyBorder="1" applyAlignment="1">
      <alignment horizontal="left"/>
    </xf>
    <xf numFmtId="0" fontId="5" fillId="2" borderId="24" xfId="0" applyFont="1" applyFill="1" applyBorder="1"/>
    <xf numFmtId="0" fontId="0" fillId="0" borderId="0" xfId="0" quotePrefix="1" applyAlignment="1">
      <alignment horizontal="right"/>
    </xf>
    <xf numFmtId="0" fontId="0" fillId="2" borderId="0" xfId="0" applyFill="1" applyBorder="1"/>
    <xf numFmtId="0" fontId="0" fillId="2" borderId="3" xfId="0" applyFill="1" applyBorder="1"/>
    <xf numFmtId="0" fontId="0" fillId="2" borderId="5" xfId="0" applyFill="1" applyBorder="1"/>
    <xf numFmtId="0" fontId="0" fillId="2" borderId="6" xfId="0" applyFill="1" applyBorder="1"/>
    <xf numFmtId="0" fontId="14" fillId="0" borderId="0" xfId="0" applyFont="1"/>
    <xf numFmtId="0" fontId="0" fillId="0" borderId="29" xfId="0" applyBorder="1"/>
    <xf numFmtId="0" fontId="0" fillId="0" borderId="30" xfId="0" applyBorder="1"/>
    <xf numFmtId="0" fontId="0" fillId="0" borderId="28" xfId="0" applyBorder="1"/>
    <xf numFmtId="0" fontId="0" fillId="0" borderId="31" xfId="0" applyBorder="1"/>
    <xf numFmtId="0" fontId="0" fillId="0" borderId="32" xfId="0" applyBorder="1"/>
    <xf numFmtId="0" fontId="0" fillId="0" borderId="33" xfId="0" applyBorder="1"/>
    <xf numFmtId="0" fontId="0" fillId="0" borderId="41" xfId="0" applyBorder="1"/>
    <xf numFmtId="0" fontId="0" fillId="0" borderId="49" xfId="0" applyBorder="1"/>
    <xf numFmtId="0" fontId="0" fillId="0" borderId="45" xfId="0" applyBorder="1"/>
    <xf numFmtId="0" fontId="0" fillId="0" borderId="53" xfId="0" applyBorder="1"/>
    <xf numFmtId="0" fontId="0" fillId="0" borderId="51" xfId="0" applyBorder="1"/>
    <xf numFmtId="0" fontId="0" fillId="0" borderId="52" xfId="0" applyBorder="1"/>
    <xf numFmtId="0" fontId="0" fillId="0" borderId="46" xfId="0" applyBorder="1"/>
    <xf numFmtId="0" fontId="0" fillId="0" borderId="50" xfId="0" applyBorder="1"/>
    <xf numFmtId="0" fontId="0" fillId="0" borderId="57" xfId="0" applyBorder="1"/>
    <xf numFmtId="0" fontId="13" fillId="0" borderId="0" xfId="0" applyFont="1"/>
    <xf numFmtId="165" fontId="0" fillId="0" borderId="0" xfId="0" applyNumberFormat="1"/>
    <xf numFmtId="0" fontId="5" fillId="0" borderId="41" xfId="0" applyFont="1" applyBorder="1"/>
    <xf numFmtId="0" fontId="16" fillId="0" borderId="41" xfId="0" applyFont="1" applyBorder="1"/>
    <xf numFmtId="0" fontId="17" fillId="0" borderId="41" xfId="0" applyFont="1" applyBorder="1" applyAlignment="1"/>
    <xf numFmtId="0" fontId="18" fillId="0" borderId="41" xfId="0" applyFont="1" applyBorder="1"/>
    <xf numFmtId="0" fontId="6" fillId="0" borderId="49" xfId="0" applyFont="1" applyBorder="1"/>
    <xf numFmtId="0" fontId="5" fillId="0" borderId="49" xfId="0" applyFont="1" applyBorder="1"/>
    <xf numFmtId="0" fontId="5" fillId="0" borderId="45" xfId="0" applyFont="1" applyBorder="1"/>
    <xf numFmtId="0" fontId="18" fillId="8" borderId="12" xfId="0" applyFont="1" applyFill="1" applyBorder="1" applyAlignment="1">
      <alignment horizontal="center" vertical="center" wrapText="1"/>
    </xf>
    <xf numFmtId="0" fontId="19" fillId="8" borderId="12" xfId="0" applyFont="1" applyFill="1" applyBorder="1" applyAlignment="1">
      <alignment horizontal="center" vertical="top" wrapText="1"/>
    </xf>
    <xf numFmtId="0" fontId="0" fillId="0" borderId="0" xfId="0" applyFill="1"/>
    <xf numFmtId="0" fontId="11" fillId="0" borderId="0" xfId="0" applyFont="1"/>
    <xf numFmtId="0" fontId="13" fillId="0" borderId="58" xfId="0" applyFont="1" applyBorder="1"/>
    <xf numFmtId="0" fontId="0" fillId="0" borderId="59" xfId="0" applyBorder="1"/>
    <xf numFmtId="0" fontId="0" fillId="0" borderId="60" xfId="0" applyBorder="1"/>
    <xf numFmtId="165" fontId="0" fillId="0" borderId="29" xfId="0" applyNumberFormat="1" applyBorder="1"/>
    <xf numFmtId="165" fontId="0" fillId="0" borderId="30" xfId="0" applyNumberFormat="1" applyBorder="1"/>
    <xf numFmtId="0" fontId="0" fillId="0" borderId="29" xfId="0" applyFill="1" applyBorder="1"/>
    <xf numFmtId="0" fontId="0" fillId="0" borderId="61" xfId="0" applyBorder="1"/>
    <xf numFmtId="0" fontId="0" fillId="0" borderId="61" xfId="0" applyFill="1" applyBorder="1"/>
    <xf numFmtId="0" fontId="21" fillId="0" borderId="61" xfId="0" applyFont="1" applyBorder="1"/>
    <xf numFmtId="10" fontId="0" fillId="0" borderId="41" xfId="1" applyNumberFormat="1" applyFont="1" applyBorder="1"/>
    <xf numFmtId="0" fontId="12" fillId="0" borderId="41" xfId="0" applyFont="1" applyBorder="1"/>
    <xf numFmtId="0" fontId="0" fillId="0" borderId="12" xfId="0" applyBorder="1" applyAlignment="1">
      <alignment horizontal="right"/>
    </xf>
    <xf numFmtId="0" fontId="0" fillId="0" borderId="65" xfId="0" applyBorder="1" applyAlignment="1">
      <alignment horizontal="right"/>
    </xf>
    <xf numFmtId="0" fontId="0" fillId="0" borderId="54" xfId="0" applyBorder="1" applyAlignment="1">
      <alignment horizontal="right"/>
    </xf>
    <xf numFmtId="0" fontId="0" fillId="0" borderId="66" xfId="0" applyBorder="1" applyAlignment="1">
      <alignment horizontal="right"/>
    </xf>
    <xf numFmtId="0" fontId="0" fillId="0" borderId="20" xfId="0" applyBorder="1" applyAlignment="1">
      <alignment horizontal="right"/>
    </xf>
    <xf numFmtId="0" fontId="0" fillId="0" borderId="67" xfId="0" applyBorder="1" applyAlignment="1">
      <alignment horizontal="right"/>
    </xf>
    <xf numFmtId="0" fontId="0" fillId="0" borderId="68" xfId="0" applyBorder="1" applyAlignment="1">
      <alignment horizontal="right"/>
    </xf>
    <xf numFmtId="0" fontId="0" fillId="0" borderId="69" xfId="0" applyBorder="1" applyAlignment="1">
      <alignment horizontal="right"/>
    </xf>
    <xf numFmtId="0" fontId="0" fillId="0" borderId="70" xfId="0" applyBorder="1" applyAlignment="1">
      <alignment horizontal="right"/>
    </xf>
    <xf numFmtId="0" fontId="0" fillId="0" borderId="18" xfId="0" applyBorder="1" applyAlignment="1">
      <alignment horizontal="right"/>
    </xf>
    <xf numFmtId="0" fontId="0" fillId="0" borderId="39" xfId="0" applyBorder="1" applyAlignment="1">
      <alignment horizontal="right"/>
    </xf>
    <xf numFmtId="0" fontId="0" fillId="0" borderId="71" xfId="0" applyBorder="1" applyAlignment="1">
      <alignment horizontal="right"/>
    </xf>
    <xf numFmtId="0" fontId="0" fillId="0" borderId="52" xfId="0" applyBorder="1" applyAlignment="1">
      <alignment horizontal="right"/>
    </xf>
    <xf numFmtId="0" fontId="0" fillId="0" borderId="72" xfId="0" applyBorder="1" applyAlignment="1">
      <alignment horizontal="right"/>
    </xf>
    <xf numFmtId="0" fontId="0" fillId="0" borderId="55" xfId="0" applyBorder="1" applyAlignment="1">
      <alignment horizontal="right"/>
    </xf>
    <xf numFmtId="0" fontId="0" fillId="0" borderId="73" xfId="0" applyBorder="1" applyAlignment="1">
      <alignment horizontal="right"/>
    </xf>
    <xf numFmtId="0" fontId="0" fillId="0" borderId="74" xfId="0" applyBorder="1" applyAlignment="1">
      <alignment horizontal="right"/>
    </xf>
    <xf numFmtId="0" fontId="0" fillId="0" borderId="37" xfId="0" applyBorder="1" applyAlignment="1">
      <alignment horizontal="right"/>
    </xf>
    <xf numFmtId="0" fontId="0" fillId="0" borderId="38" xfId="0" applyBorder="1" applyAlignment="1">
      <alignment horizontal="right"/>
    </xf>
    <xf numFmtId="0" fontId="0" fillId="0" borderId="75" xfId="0" applyBorder="1" applyAlignment="1">
      <alignment horizontal="right"/>
    </xf>
    <xf numFmtId="2" fontId="12" fillId="0" borderId="41" xfId="0" applyNumberFormat="1" applyFont="1" applyBorder="1"/>
    <xf numFmtId="166" fontId="12" fillId="0" borderId="41" xfId="0" applyNumberFormat="1" applyFont="1" applyBorder="1"/>
    <xf numFmtId="166" fontId="12" fillId="0" borderId="41" xfId="2" applyNumberFormat="1" applyFont="1" applyBorder="1"/>
    <xf numFmtId="165" fontId="14" fillId="0" borderId="47" xfId="0" applyNumberFormat="1" applyFont="1" applyBorder="1" applyAlignment="1"/>
    <xf numFmtId="167" fontId="14" fillId="0" borderId="47" xfId="0" applyNumberFormat="1" applyFont="1" applyBorder="1" applyAlignment="1"/>
    <xf numFmtId="0" fontId="0" fillId="0" borderId="0" xfId="0" applyAlignment="1">
      <alignment horizontal="left"/>
    </xf>
    <xf numFmtId="0" fontId="0" fillId="0" borderId="0" xfId="0" applyBorder="1" applyAlignment="1">
      <alignment horizontal="right"/>
    </xf>
    <xf numFmtId="164" fontId="20" fillId="0" borderId="45" xfId="0" applyNumberFormat="1" applyFont="1" applyBorder="1"/>
    <xf numFmtId="164" fontId="20" fillId="0" borderId="41" xfId="0" applyNumberFormat="1" applyFont="1" applyBorder="1"/>
    <xf numFmtId="0" fontId="0" fillId="0" borderId="36" xfId="0" applyBorder="1"/>
    <xf numFmtId="0" fontId="0" fillId="0" borderId="34" xfId="0" applyBorder="1"/>
    <xf numFmtId="0" fontId="0" fillId="0" borderId="35" xfId="0" applyBorder="1"/>
    <xf numFmtId="2" fontId="0" fillId="0" borderId="29" xfId="0" applyNumberFormat="1" applyBorder="1"/>
    <xf numFmtId="0" fontId="12" fillId="0" borderId="29" xfId="0" applyFont="1" applyBorder="1"/>
    <xf numFmtId="2" fontId="12" fillId="0" borderId="29" xfId="0" applyNumberFormat="1" applyFont="1" applyBorder="1"/>
    <xf numFmtId="2" fontId="12" fillId="0" borderId="29" xfId="2" applyNumberFormat="1" applyFont="1" applyBorder="1"/>
    <xf numFmtId="0" fontId="0" fillId="0" borderId="78" xfId="0" applyBorder="1"/>
    <xf numFmtId="0" fontId="15" fillId="0" borderId="79" xfId="0" applyFont="1" applyBorder="1"/>
    <xf numFmtId="0" fontId="0" fillId="0" borderId="80" xfId="0" applyBorder="1"/>
    <xf numFmtId="0" fontId="0" fillId="0" borderId="81" xfId="0" applyBorder="1"/>
    <xf numFmtId="0" fontId="11" fillId="0" borderId="36" xfId="0" applyFont="1" applyBorder="1"/>
    <xf numFmtId="0" fontId="0" fillId="0" borderId="82" xfId="0" applyBorder="1"/>
    <xf numFmtId="0" fontId="0" fillId="0" borderId="83" xfId="0" applyBorder="1"/>
    <xf numFmtId="0" fontId="25" fillId="0" borderId="41" xfId="0" applyFont="1" applyBorder="1"/>
    <xf numFmtId="0" fontId="26" fillId="0" borderId="41" xfId="0" applyFont="1" applyBorder="1"/>
    <xf numFmtId="0" fontId="16" fillId="0" borderId="45" xfId="0" applyFont="1" applyBorder="1"/>
    <xf numFmtId="0" fontId="5" fillId="0" borderId="85" xfId="0" applyFont="1" applyBorder="1"/>
    <xf numFmtId="0" fontId="27" fillId="0" borderId="41" xfId="0" applyFont="1" applyBorder="1"/>
    <xf numFmtId="0" fontId="28" fillId="0" borderId="86" xfId="0" applyFont="1" applyBorder="1"/>
    <xf numFmtId="0" fontId="5" fillId="0" borderId="86" xfId="0" applyFont="1" applyBorder="1"/>
    <xf numFmtId="0" fontId="27" fillId="0" borderId="86" xfId="0" applyFont="1" applyBorder="1" applyAlignment="1">
      <alignment horizontal="right"/>
    </xf>
    <xf numFmtId="2" fontId="0" fillId="0" borderId="0" xfId="0" applyNumberFormat="1"/>
    <xf numFmtId="0" fontId="0" fillId="0" borderId="84" xfId="0" applyBorder="1" applyAlignment="1">
      <alignment wrapText="1"/>
    </xf>
    <xf numFmtId="1" fontId="0" fillId="0" borderId="0" xfId="0" applyNumberFormat="1"/>
    <xf numFmtId="0" fontId="30" fillId="0" borderId="0" xfId="0" applyFont="1" applyAlignment="1">
      <alignment horizontal="center" vertical="center" readingOrder="1"/>
    </xf>
    <xf numFmtId="0" fontId="14" fillId="6" borderId="14" xfId="0" applyFont="1" applyFill="1" applyBorder="1" applyAlignment="1" applyProtection="1">
      <alignment horizontal="right"/>
      <protection locked="0"/>
    </xf>
    <xf numFmtId="0" fontId="14" fillId="6" borderId="0" xfId="0" applyFont="1" applyFill="1" applyBorder="1" applyAlignment="1" applyProtection="1">
      <alignment horizontal="right"/>
      <protection locked="0"/>
    </xf>
    <xf numFmtId="0" fontId="5" fillId="2" borderId="14" xfId="0" applyFont="1" applyFill="1" applyBorder="1"/>
    <xf numFmtId="0" fontId="5" fillId="2" borderId="17" xfId="0" applyFont="1" applyFill="1" applyBorder="1"/>
    <xf numFmtId="0" fontId="5" fillId="2" borderId="15" xfId="0" applyFont="1" applyFill="1" applyBorder="1"/>
    <xf numFmtId="0" fontId="5" fillId="2" borderId="18" xfId="0" applyFont="1" applyFill="1" applyBorder="1"/>
    <xf numFmtId="0" fontId="6" fillId="2" borderId="19" xfId="0" applyFont="1" applyFill="1" applyBorder="1" applyAlignment="1">
      <alignment horizontal="left" wrapText="1"/>
    </xf>
    <xf numFmtId="0" fontId="6" fillId="2" borderId="21" xfId="0" applyFont="1" applyFill="1" applyBorder="1" applyAlignment="1">
      <alignment horizontal="left" wrapText="1"/>
    </xf>
    <xf numFmtId="1" fontId="0" fillId="0" borderId="98" xfId="0" applyNumberFormat="1" applyBorder="1"/>
    <xf numFmtId="1" fontId="0" fillId="0" borderId="100" xfId="0" applyNumberFormat="1" applyBorder="1"/>
    <xf numFmtId="1" fontId="0" fillId="0" borderId="99" xfId="0" applyNumberFormat="1" applyBorder="1"/>
    <xf numFmtId="0" fontId="20" fillId="0" borderId="46" xfId="0" applyFont="1" applyBorder="1"/>
    <xf numFmtId="0" fontId="22" fillId="0" borderId="46" xfId="0" applyFont="1" applyBorder="1"/>
    <xf numFmtId="0" fontId="0" fillId="0" borderId="46" xfId="0" applyBorder="1" applyAlignment="1">
      <alignment horizontal="right"/>
    </xf>
    <xf numFmtId="2" fontId="0" fillId="2" borderId="29" xfId="0" applyNumberFormat="1" applyFill="1" applyBorder="1"/>
    <xf numFmtId="0" fontId="11" fillId="0" borderId="35" xfId="0" applyFont="1" applyBorder="1"/>
    <xf numFmtId="0" fontId="0" fillId="0" borderId="58" xfId="0" applyBorder="1"/>
    <xf numFmtId="0" fontId="11" fillId="0" borderId="64" xfId="0" applyFont="1" applyBorder="1"/>
    <xf numFmtId="0" fontId="11" fillId="0" borderId="59" xfId="0" applyFont="1" applyBorder="1"/>
    <xf numFmtId="0" fontId="11" fillId="0" borderId="59" xfId="0" applyFont="1" applyFill="1" applyBorder="1"/>
    <xf numFmtId="168" fontId="14" fillId="2" borderId="48" xfId="0" applyNumberFormat="1" applyFont="1" applyFill="1" applyBorder="1" applyAlignment="1"/>
    <xf numFmtId="0" fontId="0" fillId="2" borderId="51" xfId="0" applyFill="1" applyBorder="1"/>
    <xf numFmtId="2" fontId="5" fillId="2" borderId="23" xfId="0" applyNumberFormat="1" applyFont="1" applyFill="1" applyBorder="1" applyAlignment="1">
      <alignment horizontal="left"/>
    </xf>
    <xf numFmtId="2" fontId="9" fillId="2" borderId="23" xfId="0" applyNumberFormat="1" applyFont="1" applyFill="1" applyBorder="1" applyAlignment="1">
      <alignment horizontal="left"/>
    </xf>
    <xf numFmtId="0" fontId="12" fillId="0" borderId="77" xfId="0" applyFont="1" applyBorder="1" applyAlignment="1">
      <alignment horizontal="right"/>
    </xf>
    <xf numFmtId="0" fontId="20" fillId="0" borderId="94" xfId="0" applyFont="1" applyBorder="1"/>
    <xf numFmtId="0" fontId="0" fillId="0" borderId="95" xfId="0" applyBorder="1"/>
    <xf numFmtId="0" fontId="13" fillId="0" borderId="79" xfId="0" applyFont="1" applyBorder="1"/>
    <xf numFmtId="0" fontId="0" fillId="0" borderId="103" xfId="0" applyBorder="1"/>
    <xf numFmtId="0" fontId="0" fillId="0" borderId="104" xfId="0" applyBorder="1"/>
    <xf numFmtId="0" fontId="0" fillId="2" borderId="4" xfId="0" applyFill="1" applyBorder="1"/>
    <xf numFmtId="0" fontId="0" fillId="2" borderId="105" xfId="0" applyFill="1" applyBorder="1"/>
    <xf numFmtId="0" fontId="12" fillId="2" borderId="3" xfId="0" applyFont="1" applyFill="1" applyBorder="1"/>
    <xf numFmtId="0" fontId="12" fillId="2" borderId="5" xfId="0" applyFont="1" applyFill="1" applyBorder="1"/>
    <xf numFmtId="0" fontId="12" fillId="2" borderId="0" xfId="0" applyFont="1" applyFill="1" applyBorder="1"/>
    <xf numFmtId="0" fontId="12" fillId="2" borderId="6" xfId="0" applyFont="1" applyFill="1" applyBorder="1"/>
    <xf numFmtId="167" fontId="12" fillId="2" borderId="0" xfId="0" applyNumberFormat="1" applyFont="1" applyFill="1" applyBorder="1"/>
    <xf numFmtId="165" fontId="12" fillId="2" borderId="0" xfId="0" applyNumberFormat="1" applyFont="1" applyFill="1" applyBorder="1"/>
    <xf numFmtId="168" fontId="12" fillId="2" borderId="0" xfId="0" applyNumberFormat="1" applyFont="1" applyFill="1" applyBorder="1"/>
    <xf numFmtId="0" fontId="12" fillId="2" borderId="4" xfId="0" applyFont="1" applyFill="1" applyBorder="1" applyAlignment="1">
      <alignment horizontal="left"/>
    </xf>
    <xf numFmtId="0" fontId="20" fillId="2" borderId="0" xfId="0" applyFont="1" applyFill="1" applyBorder="1"/>
    <xf numFmtId="0" fontId="0" fillId="2" borderId="84" xfId="0" applyFill="1" applyBorder="1" applyAlignment="1">
      <alignment wrapText="1"/>
    </xf>
    <xf numFmtId="0" fontId="0" fillId="2" borderId="61" xfId="0" applyFill="1" applyBorder="1"/>
    <xf numFmtId="0" fontId="0" fillId="0" borderId="33" xfId="0" applyBorder="1" applyAlignment="1">
      <alignment horizontal="center"/>
    </xf>
    <xf numFmtId="0" fontId="0" fillId="0" borderId="78" xfId="0" applyBorder="1" applyAlignment="1">
      <alignment horizontal="center"/>
    </xf>
    <xf numFmtId="0" fontId="0" fillId="0" borderId="30" xfId="0" applyBorder="1" applyAlignment="1">
      <alignment horizontal="center"/>
    </xf>
    <xf numFmtId="0" fontId="0" fillId="2" borderId="29" xfId="0" applyFill="1" applyBorder="1"/>
    <xf numFmtId="0" fontId="12" fillId="2" borderId="36" xfId="0" applyFont="1" applyFill="1" applyBorder="1" applyAlignment="1">
      <alignment horizontal="right"/>
    </xf>
    <xf numFmtId="0" fontId="14" fillId="2" borderId="0" xfId="0" applyFont="1" applyFill="1" applyBorder="1"/>
    <xf numFmtId="0" fontId="15" fillId="2" borderId="1" xfId="0" applyFont="1" applyFill="1" applyBorder="1" applyAlignment="1">
      <alignment horizontal="left"/>
    </xf>
    <xf numFmtId="0" fontId="0" fillId="2" borderId="2" xfId="0" applyFill="1" applyBorder="1"/>
    <xf numFmtId="0" fontId="0" fillId="2" borderId="111" xfId="0" applyFill="1" applyBorder="1"/>
    <xf numFmtId="0" fontId="14" fillId="2" borderId="4" xfId="0" applyFont="1" applyFill="1" applyBorder="1"/>
    <xf numFmtId="0" fontId="0" fillId="2" borderId="0" xfId="0" applyFill="1"/>
    <xf numFmtId="0" fontId="0" fillId="0" borderId="0" xfId="0" applyFill="1" applyBorder="1"/>
    <xf numFmtId="2" fontId="12" fillId="2" borderId="0" xfId="0" applyNumberFormat="1" applyFont="1" applyFill="1" applyBorder="1"/>
    <xf numFmtId="0" fontId="13" fillId="2" borderId="1" xfId="0" applyFont="1" applyFill="1" applyBorder="1"/>
    <xf numFmtId="0" fontId="35" fillId="2" borderId="2" xfId="0" applyFont="1" applyFill="1" applyBorder="1"/>
    <xf numFmtId="0" fontId="0" fillId="2" borderId="2" xfId="0" applyFill="1" applyBorder="1" applyAlignment="1">
      <alignment horizontal="center"/>
    </xf>
    <xf numFmtId="0" fontId="0" fillId="2" borderId="0" xfId="0" applyFill="1" applyBorder="1" applyAlignment="1">
      <alignment horizontal="right"/>
    </xf>
    <xf numFmtId="0" fontId="0" fillId="2" borderId="0" xfId="0" quotePrefix="1" applyFill="1" applyBorder="1" applyAlignment="1">
      <alignment horizontal="right"/>
    </xf>
    <xf numFmtId="0" fontId="33" fillId="2" borderId="0" xfId="0" applyFont="1" applyFill="1" applyBorder="1" applyAlignment="1">
      <alignment horizontal="right"/>
    </xf>
    <xf numFmtId="0" fontId="0" fillId="2" borderId="6" xfId="0" quotePrefix="1" applyFill="1" applyBorder="1" applyAlignment="1">
      <alignment horizontal="right"/>
    </xf>
    <xf numFmtId="0" fontId="0" fillId="2" borderId="2" xfId="0" applyNumberFormat="1" applyFill="1" applyBorder="1"/>
    <xf numFmtId="0" fontId="0" fillId="2" borderId="0" xfId="0" applyFill="1" applyBorder="1" applyAlignment="1">
      <alignment vertical="top"/>
    </xf>
    <xf numFmtId="0" fontId="36" fillId="2" borderId="1" xfId="0" applyFont="1" applyFill="1" applyBorder="1"/>
    <xf numFmtId="2" fontId="5" fillId="10" borderId="19" xfId="0" applyNumberFormat="1" applyFont="1" applyFill="1" applyBorder="1" applyAlignment="1">
      <alignment horizontal="left"/>
    </xf>
    <xf numFmtId="2" fontId="9" fillId="10" borderId="20" xfId="0" applyNumberFormat="1" applyFont="1" applyFill="1" applyBorder="1" applyAlignment="1">
      <alignment horizontal="left"/>
    </xf>
    <xf numFmtId="2" fontId="9" fillId="10" borderId="12" xfId="0" applyNumberFormat="1" applyFont="1" applyFill="1" applyBorder="1" applyAlignment="1">
      <alignment horizontal="left"/>
    </xf>
    <xf numFmtId="164" fontId="9" fillId="10" borderId="12" xfId="0" applyNumberFormat="1" applyFont="1" applyFill="1" applyBorder="1" applyAlignment="1">
      <alignment horizontal="left"/>
    </xf>
    <xf numFmtId="2" fontId="6" fillId="10" borderId="19" xfId="0" applyNumberFormat="1" applyFont="1" applyFill="1" applyBorder="1" applyAlignment="1">
      <alignment horizontal="left"/>
    </xf>
    <xf numFmtId="2" fontId="8" fillId="10" borderId="20" xfId="0" applyNumberFormat="1" applyFont="1" applyFill="1" applyBorder="1" applyAlignment="1">
      <alignment horizontal="left"/>
    </xf>
    <xf numFmtId="0" fontId="6" fillId="2" borderId="14"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1" fillId="2" borderId="2" xfId="0" applyFont="1" applyFill="1" applyBorder="1" applyAlignment="1">
      <alignment horizontal="center"/>
    </xf>
    <xf numFmtId="0" fontId="14" fillId="2" borderId="3" xfId="0" applyFont="1" applyFill="1" applyBorder="1" applyAlignment="1">
      <alignment horizontal="right"/>
    </xf>
    <xf numFmtId="0" fontId="14" fillId="2" borderId="0" xfId="0" applyFont="1" applyFill="1" applyBorder="1" applyAlignment="1">
      <alignment horizontal="right"/>
    </xf>
    <xf numFmtId="0" fontId="14" fillId="2" borderId="4" xfId="0" applyFont="1" applyFill="1" applyBorder="1" applyAlignment="1">
      <alignment horizontal="right"/>
    </xf>
    <xf numFmtId="1" fontId="18" fillId="0" borderId="12" xfId="0" applyNumberFormat="1" applyFont="1" applyBorder="1" applyAlignment="1">
      <alignment horizontal="center" vertical="top" wrapText="1"/>
    </xf>
    <xf numFmtId="0" fontId="15" fillId="2" borderId="1" xfId="0" applyFont="1" applyFill="1" applyBorder="1" applyAlignment="1" applyProtection="1">
      <alignment horizontal="left"/>
    </xf>
    <xf numFmtId="0" fontId="0" fillId="2" borderId="2" xfId="0" applyFill="1" applyBorder="1" applyProtection="1"/>
    <xf numFmtId="0" fontId="0" fillId="2" borderId="111" xfId="0" applyFill="1" applyBorder="1" applyProtection="1"/>
    <xf numFmtId="0" fontId="0" fillId="0" borderId="0" xfId="0" applyProtection="1"/>
    <xf numFmtId="0" fontId="14" fillId="2" borderId="3" xfId="0" applyFont="1" applyFill="1" applyBorder="1" applyAlignment="1" applyProtection="1">
      <alignment horizontal="right"/>
    </xf>
    <xf numFmtId="0" fontId="0" fillId="2" borderId="0" xfId="0" applyFill="1" applyBorder="1" applyProtection="1"/>
    <xf numFmtId="0" fontId="14" fillId="2" borderId="0" xfId="0" applyFont="1" applyFill="1" applyBorder="1" applyProtection="1"/>
    <xf numFmtId="0" fontId="0" fillId="2" borderId="4" xfId="0" applyFill="1" applyBorder="1" applyProtection="1"/>
    <xf numFmtId="0" fontId="15" fillId="2" borderId="106" xfId="0" applyFont="1" applyFill="1" applyBorder="1" applyProtection="1"/>
    <xf numFmtId="0" fontId="0" fillId="2" borderId="107" xfId="0" applyFill="1" applyBorder="1" applyProtection="1"/>
    <xf numFmtId="0" fontId="0" fillId="2" borderId="108" xfId="0" applyFill="1" applyBorder="1" applyProtection="1"/>
    <xf numFmtId="0" fontId="20" fillId="2" borderId="0" xfId="0" applyFont="1" applyFill="1" applyBorder="1" applyProtection="1"/>
    <xf numFmtId="0" fontId="0" fillId="2" borderId="3" xfId="0" applyFill="1" applyBorder="1" applyProtection="1"/>
    <xf numFmtId="0" fontId="14" fillId="2" borderId="0" xfId="0" applyFont="1" applyFill="1" applyBorder="1" applyAlignment="1" applyProtection="1">
      <alignment horizontal="right"/>
    </xf>
    <xf numFmtId="0" fontId="12" fillId="2" borderId="0" xfId="0" applyFont="1" applyFill="1" applyBorder="1" applyProtection="1"/>
    <xf numFmtId="0" fontId="14" fillId="2" borderId="4" xfId="0" applyFont="1" applyFill="1" applyBorder="1" applyAlignment="1" applyProtection="1">
      <alignment horizontal="right"/>
    </xf>
    <xf numFmtId="0" fontId="14" fillId="0" borderId="0" xfId="0" applyFont="1" applyAlignment="1" applyProtection="1">
      <alignment horizontal="right"/>
    </xf>
    <xf numFmtId="0" fontId="12" fillId="2" borderId="3" xfId="0" applyFont="1" applyFill="1" applyBorder="1" applyProtection="1"/>
    <xf numFmtId="167" fontId="12" fillId="2" borderId="0" xfId="0" applyNumberFormat="1" applyFont="1" applyFill="1" applyBorder="1" applyProtection="1"/>
    <xf numFmtId="0" fontId="12" fillId="2" borderId="4" xfId="0" applyFont="1" applyFill="1" applyBorder="1" applyAlignment="1" applyProtection="1">
      <alignment horizontal="left"/>
    </xf>
    <xf numFmtId="165" fontId="12" fillId="2" borderId="0" xfId="0" applyNumberFormat="1" applyFont="1" applyFill="1" applyBorder="1" applyProtection="1"/>
    <xf numFmtId="168" fontId="12" fillId="2" borderId="0" xfId="0" applyNumberFormat="1" applyFont="1" applyFill="1" applyBorder="1" applyProtection="1"/>
    <xf numFmtId="0" fontId="12" fillId="2" borderId="5" xfId="0" applyFont="1" applyFill="1" applyBorder="1" applyProtection="1"/>
    <xf numFmtId="0" fontId="12" fillId="2" borderId="6" xfId="0" applyFont="1" applyFill="1" applyBorder="1" applyProtection="1"/>
    <xf numFmtId="0" fontId="0" fillId="2" borderId="6" xfId="0" applyFill="1" applyBorder="1" applyProtection="1"/>
    <xf numFmtId="0" fontId="0" fillId="2" borderId="105" xfId="0" applyFill="1" applyBorder="1" applyProtection="1"/>
    <xf numFmtId="0" fontId="0" fillId="2" borderId="5" xfId="0" applyFill="1" applyBorder="1" applyProtection="1"/>
    <xf numFmtId="0" fontId="13" fillId="0" borderId="58" xfId="0" applyFont="1" applyBorder="1" applyProtection="1"/>
    <xf numFmtId="0" fontId="0" fillId="0" borderId="59" xfId="0" applyBorder="1" applyProtection="1"/>
    <xf numFmtId="0" fontId="0" fillId="0" borderId="60" xfId="0" applyBorder="1" applyProtection="1"/>
    <xf numFmtId="0" fontId="0" fillId="0" borderId="28" xfId="0" applyBorder="1" applyProtection="1"/>
    <xf numFmtId="0" fontId="0" fillId="0" borderId="32" xfId="0" applyBorder="1" applyProtection="1"/>
    <xf numFmtId="0" fontId="0" fillId="0" borderId="29" xfId="0" applyBorder="1" applyProtection="1"/>
    <xf numFmtId="0" fontId="0" fillId="0" borderId="30" xfId="0" applyBorder="1" applyProtection="1"/>
    <xf numFmtId="0" fontId="21" fillId="0" borderId="61" xfId="0" applyFont="1" applyBorder="1" applyProtection="1"/>
    <xf numFmtId="1" fontId="0" fillId="0" borderId="100" xfId="0" applyNumberFormat="1" applyBorder="1" applyProtection="1"/>
    <xf numFmtId="0" fontId="0" fillId="2" borderId="71" xfId="0" applyFill="1" applyBorder="1" applyProtection="1"/>
    <xf numFmtId="0" fontId="0" fillId="2" borderId="109" xfId="0" applyFill="1" applyBorder="1" applyProtection="1"/>
    <xf numFmtId="0" fontId="0" fillId="2" borderId="110" xfId="0" applyFill="1" applyBorder="1" applyProtection="1"/>
    <xf numFmtId="0" fontId="0" fillId="0" borderId="36" xfId="0" applyBorder="1" applyProtection="1"/>
    <xf numFmtId="0" fontId="0" fillId="0" borderId="61" xfId="0" applyBorder="1" applyProtection="1"/>
    <xf numFmtId="1" fontId="0" fillId="0" borderId="99" xfId="0" applyNumberFormat="1" applyBorder="1" applyProtection="1"/>
    <xf numFmtId="165" fontId="0" fillId="0" borderId="35" xfId="0" applyNumberFormat="1" applyBorder="1" applyProtection="1"/>
    <xf numFmtId="165" fontId="0" fillId="0" borderId="34" xfId="0" applyNumberFormat="1" applyBorder="1" applyProtection="1"/>
    <xf numFmtId="165" fontId="0" fillId="0" borderId="29" xfId="0" applyNumberFormat="1" applyBorder="1" applyProtection="1"/>
    <xf numFmtId="165" fontId="0" fillId="0" borderId="30" xfId="0" applyNumberFormat="1" applyBorder="1" applyProtection="1"/>
    <xf numFmtId="165" fontId="0" fillId="0" borderId="0" xfId="0" applyNumberFormat="1" applyProtection="1"/>
    <xf numFmtId="165" fontId="0" fillId="0" borderId="36" xfId="0" applyNumberFormat="1" applyBorder="1" applyProtection="1"/>
    <xf numFmtId="1" fontId="0" fillId="0" borderId="98" xfId="0" applyNumberFormat="1" applyBorder="1" applyProtection="1"/>
    <xf numFmtId="0" fontId="0" fillId="0" borderId="61" xfId="0" applyFill="1" applyBorder="1" applyProtection="1"/>
    <xf numFmtId="0" fontId="0" fillId="0" borderId="31" xfId="0" applyBorder="1" applyProtection="1"/>
    <xf numFmtId="0" fontId="0" fillId="0" borderId="33" xfId="0" applyBorder="1" applyProtection="1"/>
    <xf numFmtId="0" fontId="0" fillId="0" borderId="0" xfId="0" applyBorder="1" applyProtection="1"/>
    <xf numFmtId="0" fontId="13" fillId="0" borderId="79" xfId="0" applyFont="1" applyBorder="1" applyProtection="1"/>
    <xf numFmtId="0" fontId="0" fillId="0" borderId="103" xfId="0" applyBorder="1" applyProtection="1"/>
    <xf numFmtId="0" fontId="0" fillId="0" borderId="104" xfId="0" applyBorder="1" applyProtection="1"/>
    <xf numFmtId="0" fontId="0" fillId="0" borderId="80" xfId="0" applyBorder="1" applyProtection="1"/>
    <xf numFmtId="0" fontId="0" fillId="0" borderId="81" xfId="0" applyBorder="1" applyProtection="1"/>
    <xf numFmtId="0" fontId="20" fillId="0" borderId="94" xfId="0" applyFont="1" applyBorder="1" applyProtection="1"/>
    <xf numFmtId="164" fontId="20" fillId="0" borderId="45" xfId="0" applyNumberFormat="1" applyFont="1" applyBorder="1" applyProtection="1"/>
    <xf numFmtId="0" fontId="0" fillId="0" borderId="45" xfId="0" applyBorder="1" applyProtection="1"/>
    <xf numFmtId="0" fontId="0" fillId="0" borderId="95" xfId="0" applyBorder="1" applyProtection="1"/>
    <xf numFmtId="0" fontId="11" fillId="0" borderId="59" xfId="0" applyFont="1" applyBorder="1" applyProtection="1"/>
    <xf numFmtId="0" fontId="11" fillId="0" borderId="59" xfId="0" applyFont="1" applyFill="1" applyBorder="1" applyProtection="1"/>
    <xf numFmtId="0" fontId="20" fillId="0" borderId="46" xfId="0" applyFont="1" applyBorder="1" applyProtection="1"/>
    <xf numFmtId="164" fontId="20" fillId="0" borderId="41" xfId="0" applyNumberFormat="1" applyFont="1" applyBorder="1" applyProtection="1"/>
    <xf numFmtId="0" fontId="0" fillId="0" borderId="41" xfId="0" applyBorder="1" applyProtection="1"/>
    <xf numFmtId="0" fontId="0" fillId="0" borderId="53" xfId="0" applyBorder="1" applyProtection="1"/>
    <xf numFmtId="0" fontId="0" fillId="0" borderId="33" xfId="0" applyBorder="1" applyAlignment="1" applyProtection="1">
      <alignment horizontal="center"/>
    </xf>
    <xf numFmtId="0" fontId="0" fillId="0" borderId="82" xfId="0" applyBorder="1" applyProtection="1"/>
    <xf numFmtId="0" fontId="22" fillId="0" borderId="101" xfId="0" applyFont="1" applyBorder="1" applyAlignment="1" applyProtection="1">
      <alignment horizontal="left"/>
    </xf>
    <xf numFmtId="0" fontId="0" fillId="2" borderId="76" xfId="0" applyFill="1" applyBorder="1" applyAlignment="1" applyProtection="1">
      <alignment horizontal="center" wrapText="1"/>
    </xf>
    <xf numFmtId="0" fontId="0" fillId="0" borderId="78" xfId="0" applyBorder="1" applyAlignment="1" applyProtection="1">
      <alignment horizontal="center"/>
    </xf>
    <xf numFmtId="2" fontId="0" fillId="0" borderId="34" xfId="0" applyNumberFormat="1" applyBorder="1" applyProtection="1"/>
    <xf numFmtId="0" fontId="0" fillId="0" borderId="34" xfId="0" applyBorder="1" applyProtection="1"/>
    <xf numFmtId="0" fontId="0" fillId="0" borderId="78" xfId="0" applyBorder="1" applyProtection="1"/>
    <xf numFmtId="0" fontId="0" fillId="0" borderId="46" xfId="0" applyBorder="1" applyProtection="1"/>
    <xf numFmtId="0" fontId="0" fillId="0" borderId="84" xfId="0" applyBorder="1" applyAlignment="1" applyProtection="1">
      <alignment wrapText="1"/>
    </xf>
    <xf numFmtId="0" fontId="11" fillId="0" borderId="36" xfId="0" applyFont="1" applyBorder="1" applyProtection="1"/>
    <xf numFmtId="0" fontId="0" fillId="0" borderId="30" xfId="0" applyBorder="1" applyAlignment="1" applyProtection="1">
      <alignment horizontal="center"/>
    </xf>
    <xf numFmtId="2" fontId="0" fillId="0" borderId="29" xfId="0" applyNumberFormat="1" applyBorder="1" applyProtection="1"/>
    <xf numFmtId="0" fontId="12" fillId="0" borderId="29" xfId="0" applyFont="1" applyBorder="1" applyProtection="1"/>
    <xf numFmtId="2" fontId="12" fillId="0" borderId="29" xfId="0" applyNumberFormat="1" applyFont="1" applyBorder="1" applyProtection="1"/>
    <xf numFmtId="0" fontId="0" fillId="0" borderId="52" xfId="0" applyBorder="1" applyAlignment="1" applyProtection="1">
      <alignment horizontal="right"/>
    </xf>
    <xf numFmtId="0" fontId="0" fillId="0" borderId="72" xfId="0" applyBorder="1" applyAlignment="1" applyProtection="1">
      <alignment horizontal="right"/>
    </xf>
    <xf numFmtId="0" fontId="0" fillId="0" borderId="55" xfId="0" applyBorder="1" applyAlignment="1" applyProtection="1">
      <alignment horizontal="right"/>
    </xf>
    <xf numFmtId="0" fontId="0" fillId="0" borderId="74" xfId="0" applyBorder="1" applyAlignment="1" applyProtection="1">
      <alignment horizontal="right"/>
    </xf>
    <xf numFmtId="0" fontId="0" fillId="0" borderId="73" xfId="0" applyBorder="1" applyAlignment="1" applyProtection="1">
      <alignment horizontal="right"/>
    </xf>
    <xf numFmtId="0" fontId="0" fillId="0" borderId="70" xfId="0" applyBorder="1" applyAlignment="1" applyProtection="1">
      <alignment horizontal="right"/>
    </xf>
    <xf numFmtId="0" fontId="0" fillId="0" borderId="18" xfId="0" applyBorder="1" applyAlignment="1" applyProtection="1">
      <alignment horizontal="right"/>
    </xf>
    <xf numFmtId="0" fontId="0" fillId="0" borderId="39" xfId="0" applyBorder="1" applyAlignment="1" applyProtection="1">
      <alignment horizontal="right"/>
    </xf>
    <xf numFmtId="0" fontId="0" fillId="0" borderId="37" xfId="0" applyBorder="1" applyAlignment="1" applyProtection="1">
      <alignment horizontal="right"/>
    </xf>
    <xf numFmtId="0" fontId="0" fillId="0" borderId="71" xfId="0" applyBorder="1" applyAlignment="1" applyProtection="1">
      <alignment horizontal="right"/>
    </xf>
    <xf numFmtId="2" fontId="12" fillId="0" borderId="29" xfId="2" applyNumberFormat="1" applyFont="1" applyBorder="1" applyProtection="1"/>
    <xf numFmtId="0" fontId="0" fillId="0" borderId="68" xfId="0" applyBorder="1" applyAlignment="1" applyProtection="1">
      <alignment horizontal="right"/>
    </xf>
    <xf numFmtId="0" fontId="0" fillId="0" borderId="20" xfId="0" applyBorder="1" applyAlignment="1" applyProtection="1">
      <alignment horizontal="right"/>
    </xf>
    <xf numFmtId="0" fontId="0" fillId="0" borderId="12" xfId="0" applyBorder="1" applyAlignment="1" applyProtection="1">
      <alignment horizontal="right"/>
    </xf>
    <xf numFmtId="0" fontId="0" fillId="0" borderId="38" xfId="0" applyBorder="1" applyAlignment="1" applyProtection="1">
      <alignment horizontal="right"/>
    </xf>
    <xf numFmtId="0" fontId="0" fillId="0" borderId="65" xfId="0" applyBorder="1" applyAlignment="1" applyProtection="1">
      <alignment horizontal="right"/>
    </xf>
    <xf numFmtId="0" fontId="0" fillId="0" borderId="69" xfId="0" applyBorder="1" applyAlignment="1" applyProtection="1">
      <alignment horizontal="right"/>
    </xf>
    <xf numFmtId="0" fontId="0" fillId="0" borderId="67" xfId="0" applyBorder="1" applyAlignment="1" applyProtection="1">
      <alignment horizontal="right"/>
    </xf>
    <xf numFmtId="0" fontId="0" fillId="0" borderId="54" xfId="0" applyBorder="1" applyAlignment="1" applyProtection="1">
      <alignment horizontal="right"/>
    </xf>
    <xf numFmtId="0" fontId="0" fillId="0" borderId="75" xfId="0" applyBorder="1" applyAlignment="1" applyProtection="1">
      <alignment horizontal="right"/>
    </xf>
    <xf numFmtId="0" fontId="0" fillId="0" borderId="66" xfId="0" applyBorder="1" applyAlignment="1" applyProtection="1">
      <alignment horizontal="right"/>
    </xf>
    <xf numFmtId="0" fontId="22" fillId="0" borderId="46" xfId="0" applyFont="1" applyBorder="1" applyProtection="1"/>
    <xf numFmtId="0" fontId="12" fillId="0" borderId="41" xfId="0" applyFont="1" applyBorder="1" applyProtection="1"/>
    <xf numFmtId="2" fontId="12" fillId="0" borderId="41" xfId="0" applyNumberFormat="1" applyFont="1" applyBorder="1" applyProtection="1"/>
    <xf numFmtId="0" fontId="0" fillId="2" borderId="29" xfId="0" applyFill="1" applyBorder="1" applyProtection="1"/>
    <xf numFmtId="166" fontId="12" fillId="0" borderId="41" xfId="0" applyNumberFormat="1" applyFont="1" applyBorder="1" applyProtection="1"/>
    <xf numFmtId="0" fontId="12" fillId="0" borderId="77" xfId="0" applyFont="1" applyBorder="1" applyAlignment="1" applyProtection="1">
      <alignment horizontal="right"/>
    </xf>
    <xf numFmtId="0" fontId="12" fillId="2" borderId="36" xfId="0" applyFont="1" applyFill="1" applyBorder="1" applyAlignment="1" applyProtection="1">
      <alignment horizontal="right"/>
    </xf>
    <xf numFmtId="166" fontId="12" fillId="0" borderId="41" xfId="2" applyNumberFormat="1" applyFont="1" applyBorder="1" applyProtection="1"/>
    <xf numFmtId="0" fontId="0" fillId="0" borderId="46" xfId="0" applyBorder="1" applyAlignment="1" applyProtection="1">
      <alignment horizontal="right"/>
    </xf>
    <xf numFmtId="167" fontId="14" fillId="0" borderId="47" xfId="0" applyNumberFormat="1" applyFont="1" applyBorder="1" applyAlignment="1" applyProtection="1"/>
    <xf numFmtId="168" fontId="14" fillId="2" borderId="48" xfId="0" applyNumberFormat="1" applyFont="1" applyFill="1" applyBorder="1" applyAlignment="1" applyProtection="1"/>
    <xf numFmtId="164" fontId="14" fillId="0" borderId="47" xfId="0" applyNumberFormat="1" applyFont="1" applyBorder="1" applyAlignment="1" applyProtection="1"/>
    <xf numFmtId="165" fontId="14" fillId="0" borderId="47" xfId="0" applyNumberFormat="1" applyFont="1" applyBorder="1" applyAlignment="1" applyProtection="1"/>
    <xf numFmtId="10" fontId="0" fillId="0" borderId="41" xfId="1" applyNumberFormat="1" applyFont="1" applyBorder="1" applyProtection="1"/>
    <xf numFmtId="0" fontId="0" fillId="0" borderId="102" xfId="0" applyBorder="1" applyAlignment="1" applyProtection="1">
      <alignment horizontal="right"/>
    </xf>
    <xf numFmtId="0" fontId="0" fillId="0" borderId="49" xfId="0" applyBorder="1" applyProtection="1"/>
    <xf numFmtId="0" fontId="0" fillId="0" borderId="57" xfId="0" applyBorder="1" applyProtection="1"/>
    <xf numFmtId="0" fontId="23" fillId="0" borderId="102" xfId="0" applyFont="1" applyBorder="1" applyAlignment="1" applyProtection="1">
      <alignment horizontal="right"/>
    </xf>
    <xf numFmtId="10" fontId="0" fillId="0" borderId="49" xfId="1" applyNumberFormat="1" applyFont="1" applyBorder="1" applyProtection="1"/>
    <xf numFmtId="0" fontId="0" fillId="0" borderId="83" xfId="0" applyBorder="1" applyProtection="1"/>
    <xf numFmtId="0" fontId="0" fillId="0" borderId="102" xfId="0" applyBorder="1" applyProtection="1"/>
    <xf numFmtId="0" fontId="20" fillId="2" borderId="1" xfId="0" applyFont="1" applyFill="1" applyBorder="1" applyProtection="1"/>
    <xf numFmtId="0" fontId="0" fillId="0" borderId="32" xfId="0" applyBorder="1" applyProtection="1">
      <protection locked="0"/>
    </xf>
    <xf numFmtId="0" fontId="0" fillId="0" borderId="61" xfId="0" applyBorder="1" applyProtection="1">
      <protection locked="0"/>
    </xf>
    <xf numFmtId="0" fontId="0" fillId="0" borderId="20" xfId="0" applyBorder="1" applyAlignment="1" applyProtection="1">
      <alignment horizontal="right"/>
      <protection locked="0"/>
    </xf>
    <xf numFmtId="0" fontId="0" fillId="0" borderId="12" xfId="0" applyBorder="1" applyAlignment="1" applyProtection="1">
      <alignment horizontal="right"/>
      <protection locked="0"/>
    </xf>
    <xf numFmtId="0" fontId="0" fillId="0" borderId="65" xfId="0" applyBorder="1" applyAlignment="1" applyProtection="1">
      <alignment horizontal="right"/>
      <protection locked="0"/>
    </xf>
    <xf numFmtId="0" fontId="0" fillId="0" borderId="58" xfId="0" applyBorder="1" applyProtection="1">
      <protection locked="0"/>
    </xf>
    <xf numFmtId="0" fontId="0" fillId="0" borderId="60" xfId="0" applyBorder="1" applyProtection="1">
      <protection locked="0"/>
    </xf>
    <xf numFmtId="0" fontId="11" fillId="0" borderId="64" xfId="0" applyFont="1" applyBorder="1" applyProtection="1">
      <protection locked="0"/>
    </xf>
    <xf numFmtId="0" fontId="0" fillId="0" borderId="31" xfId="0" applyBorder="1" applyProtection="1">
      <protection locked="0"/>
    </xf>
    <xf numFmtId="0" fontId="11" fillId="0" borderId="35" xfId="0" applyFont="1" applyBorder="1" applyProtection="1">
      <protection locked="0"/>
    </xf>
    <xf numFmtId="2" fontId="0" fillId="2" borderId="35" xfId="0" applyNumberFormat="1" applyFill="1" applyBorder="1" applyProtection="1">
      <protection locked="0"/>
    </xf>
    <xf numFmtId="2" fontId="0" fillId="2" borderId="34" xfId="0" applyNumberFormat="1" applyFill="1" applyBorder="1" applyProtection="1">
      <protection locked="0"/>
    </xf>
    <xf numFmtId="0" fontId="0" fillId="2" borderId="36" xfId="0" applyFill="1" applyBorder="1" applyProtection="1">
      <protection locked="0"/>
    </xf>
    <xf numFmtId="2" fontId="0" fillId="2" borderId="29" xfId="0" applyNumberFormat="1" applyFill="1" applyBorder="1" applyProtection="1">
      <protection locked="0"/>
    </xf>
    <xf numFmtId="0" fontId="38" fillId="0" borderId="0" xfId="0" applyFont="1"/>
    <xf numFmtId="0" fontId="18" fillId="0" borderId="48" xfId="0" applyFont="1" applyBorder="1"/>
    <xf numFmtId="0" fontId="41" fillId="0" borderId="0" xfId="0" applyFont="1" applyFill="1" applyBorder="1" applyAlignment="1">
      <alignment horizontal="left"/>
    </xf>
    <xf numFmtId="0" fontId="24" fillId="0" borderId="96" xfId="0" applyFont="1" applyBorder="1" applyAlignment="1"/>
    <xf numFmtId="0" fontId="24" fillId="0" borderId="0" xfId="0" applyFont="1" applyBorder="1" applyAlignment="1"/>
    <xf numFmtId="0" fontId="24" fillId="0" borderId="97" xfId="0" applyFont="1" applyBorder="1" applyAlignment="1"/>
    <xf numFmtId="0" fontId="24" fillId="0" borderId="0" xfId="0" applyFont="1" applyFill="1" applyBorder="1" applyAlignment="1"/>
    <xf numFmtId="0" fontId="14" fillId="2" borderId="4" xfId="0" applyFont="1" applyFill="1" applyBorder="1" applyAlignment="1" applyProtection="1">
      <alignment horizontal="center"/>
    </xf>
    <xf numFmtId="2" fontId="14" fillId="0" borderId="47" xfId="0" applyNumberFormat="1" applyFont="1" applyBorder="1" applyAlignment="1" applyProtection="1"/>
    <xf numFmtId="0" fontId="1" fillId="9" borderId="2" xfId="0" applyFont="1" applyFill="1" applyBorder="1" applyAlignment="1" applyProtection="1">
      <alignment horizontal="center"/>
      <protection locked="0"/>
    </xf>
    <xf numFmtId="0" fontId="14" fillId="9" borderId="4" xfId="0" applyFont="1" applyFill="1" applyBorder="1" applyAlignment="1" applyProtection="1">
      <alignment horizontal="center"/>
    </xf>
    <xf numFmtId="0" fontId="14" fillId="9" borderId="0" xfId="0" applyFont="1" applyFill="1" applyBorder="1" applyAlignment="1" applyProtection="1">
      <alignment horizontal="right"/>
      <protection locked="0"/>
    </xf>
    <xf numFmtId="0" fontId="14" fillId="9" borderId="4" xfId="0" applyFont="1" applyFill="1" applyBorder="1" applyAlignment="1" applyProtection="1">
      <alignment horizontal="center"/>
      <protection locked="0"/>
    </xf>
    <xf numFmtId="2" fontId="14" fillId="9" borderId="47" xfId="0" applyNumberFormat="1" applyFont="1" applyFill="1" applyBorder="1" applyAlignment="1" applyProtection="1">
      <protection locked="0"/>
    </xf>
    <xf numFmtId="165" fontId="42" fillId="6" borderId="0" xfId="0" applyNumberFormat="1" applyFont="1" applyFill="1" applyBorder="1" applyAlignment="1" applyProtection="1">
      <alignment horizontal="right"/>
      <protection locked="0"/>
    </xf>
    <xf numFmtId="165" fontId="14" fillId="6" borderId="0" xfId="0" applyNumberFormat="1" applyFont="1" applyFill="1" applyBorder="1" applyAlignment="1" applyProtection="1">
      <alignment horizontal="right"/>
      <protection locked="0"/>
    </xf>
    <xf numFmtId="0" fontId="0" fillId="8" borderId="1" xfId="0" applyFill="1" applyBorder="1"/>
    <xf numFmtId="0" fontId="35" fillId="8" borderId="2" xfId="0" applyFont="1" applyFill="1" applyBorder="1"/>
    <xf numFmtId="0" fontId="0" fillId="8" borderId="2" xfId="0" applyFill="1" applyBorder="1"/>
    <xf numFmtId="0" fontId="0" fillId="8" borderId="2" xfId="0" applyFont="1" applyFill="1" applyBorder="1"/>
    <xf numFmtId="0" fontId="0" fillId="8" borderId="111" xfId="0" applyFill="1" applyBorder="1"/>
    <xf numFmtId="0" fontId="0" fillId="8" borderId="3" xfId="0" applyFill="1" applyBorder="1"/>
    <xf numFmtId="0" fontId="0" fillId="8" borderId="0" xfId="0" applyFill="1" applyBorder="1"/>
    <xf numFmtId="0" fontId="0" fillId="8" borderId="4" xfId="0" applyFill="1" applyBorder="1"/>
    <xf numFmtId="0" fontId="0" fillId="8" borderId="5" xfId="0" applyFill="1" applyBorder="1"/>
    <xf numFmtId="0" fontId="0" fillId="8" borderId="6" xfId="0" applyFill="1" applyBorder="1"/>
    <xf numFmtId="0" fontId="0" fillId="8" borderId="105" xfId="0" applyFill="1" applyBorder="1"/>
    <xf numFmtId="0" fontId="43" fillId="8" borderId="0" xfId="0" applyFont="1" applyFill="1" applyBorder="1" applyAlignment="1">
      <alignment horizontal="center"/>
    </xf>
    <xf numFmtId="0" fontId="14" fillId="8" borderId="4" xfId="0" applyFont="1" applyFill="1" applyBorder="1" applyAlignment="1">
      <alignment horizontal="center"/>
    </xf>
    <xf numFmtId="0" fontId="38" fillId="8" borderId="1" xfId="0" applyFont="1" applyFill="1" applyBorder="1"/>
    <xf numFmtId="0" fontId="37" fillId="8" borderId="2" xfId="0" applyFont="1" applyFill="1" applyBorder="1"/>
    <xf numFmtId="0" fontId="38" fillId="8" borderId="111" xfId="0" applyFont="1" applyFill="1" applyBorder="1"/>
    <xf numFmtId="0" fontId="37" fillId="8" borderId="3" xfId="0" applyFont="1" applyFill="1" applyBorder="1"/>
    <xf numFmtId="0" fontId="37" fillId="8" borderId="0" xfId="0" applyFont="1" applyFill="1" applyBorder="1"/>
    <xf numFmtId="0" fontId="37" fillId="8" borderId="4" xfId="0" applyFont="1" applyFill="1" applyBorder="1"/>
    <xf numFmtId="0" fontId="37" fillId="8" borderId="5" xfId="0" applyFont="1" applyFill="1" applyBorder="1"/>
    <xf numFmtId="0" fontId="37" fillId="8" borderId="6" xfId="0" applyFont="1" applyFill="1" applyBorder="1"/>
    <xf numFmtId="0" fontId="37" fillId="8" borderId="105" xfId="0" applyFont="1" applyFill="1" applyBorder="1"/>
    <xf numFmtId="0" fontId="0" fillId="8" borderId="2" xfId="0" applyFill="1" applyBorder="1" applyAlignment="1">
      <alignment horizontal="right"/>
    </xf>
    <xf numFmtId="0" fontId="11" fillId="2" borderId="1" xfId="0" applyFont="1" applyFill="1" applyBorder="1"/>
    <xf numFmtId="0" fontId="44" fillId="2" borderId="2" xfId="0" applyFont="1" applyFill="1" applyBorder="1"/>
    <xf numFmtId="0" fontId="11" fillId="2" borderId="3" xfId="0" applyFont="1" applyFill="1" applyBorder="1"/>
    <xf numFmtId="0" fontId="45" fillId="2" borderId="1" xfId="0" applyFont="1" applyFill="1" applyBorder="1"/>
    <xf numFmtId="0" fontId="46" fillId="2" borderId="2" xfId="0" applyFont="1" applyFill="1" applyBorder="1"/>
    <xf numFmtId="0" fontId="45" fillId="2" borderId="3" xfId="0" applyFont="1" applyFill="1" applyBorder="1"/>
    <xf numFmtId="0" fontId="46" fillId="2" borderId="0" xfId="0" applyFont="1" applyFill="1" applyBorder="1"/>
    <xf numFmtId="0" fontId="0" fillId="2" borderId="26" xfId="0" applyFill="1" applyBorder="1"/>
    <xf numFmtId="0" fontId="0" fillId="2" borderId="17" xfId="0" applyFill="1" applyBorder="1"/>
    <xf numFmtId="0" fontId="0" fillId="2" borderId="112" xfId="0" applyFill="1" applyBorder="1"/>
    <xf numFmtId="0" fontId="0" fillId="2" borderId="18" xfId="0" applyFill="1" applyBorder="1"/>
    <xf numFmtId="0" fontId="47" fillId="2" borderId="1" xfId="0" applyFont="1" applyFill="1" applyBorder="1"/>
    <xf numFmtId="0" fontId="5" fillId="9" borderId="12" xfId="0" applyFont="1" applyFill="1" applyBorder="1" applyAlignment="1">
      <alignment horizontal="center"/>
    </xf>
    <xf numFmtId="165" fontId="5" fillId="9" borderId="12" xfId="0" applyNumberFormat="1" applyFont="1" applyFill="1" applyBorder="1" applyAlignment="1" applyProtection="1">
      <alignment horizontal="center"/>
      <protection locked="0"/>
    </xf>
    <xf numFmtId="0" fontId="13" fillId="0" borderId="0" xfId="0" applyFont="1" applyProtection="1"/>
    <xf numFmtId="0" fontId="0" fillId="2" borderId="76" xfId="0" applyFill="1" applyBorder="1" applyAlignment="1">
      <alignment horizontal="center" wrapText="1"/>
    </xf>
    <xf numFmtId="164" fontId="12" fillId="0" borderId="29" xfId="0" applyNumberFormat="1" applyFont="1" applyBorder="1"/>
    <xf numFmtId="0" fontId="47" fillId="0" borderId="58" xfId="0" applyFont="1" applyBorder="1" applyProtection="1"/>
    <xf numFmtId="2" fontId="0" fillId="2" borderId="0" xfId="0" applyNumberFormat="1" applyFill="1" applyBorder="1"/>
    <xf numFmtId="2" fontId="12" fillId="2" borderId="6" xfId="0" applyNumberFormat="1" applyFont="1" applyFill="1" applyBorder="1"/>
    <xf numFmtId="0" fontId="0" fillId="2" borderId="1" xfId="0" applyFill="1" applyBorder="1"/>
    <xf numFmtId="0" fontId="15" fillId="2" borderId="3" xfId="0" applyFont="1" applyFill="1" applyBorder="1"/>
    <xf numFmtId="0" fontId="1" fillId="2" borderId="0" xfId="0" applyFont="1" applyFill="1" applyBorder="1"/>
    <xf numFmtId="0" fontId="0" fillId="2" borderId="3" xfId="0" applyFill="1" applyBorder="1" applyAlignment="1">
      <alignment wrapText="1"/>
    </xf>
    <xf numFmtId="0" fontId="11" fillId="2" borderId="2" xfId="0" applyFont="1" applyFill="1" applyBorder="1"/>
    <xf numFmtId="0" fontId="0" fillId="2" borderId="0" xfId="0" applyFill="1" applyBorder="1" applyAlignment="1">
      <alignment horizontal="center"/>
    </xf>
    <xf numFmtId="0" fontId="11" fillId="2" borderId="0" xfId="0" applyFont="1" applyFill="1" applyBorder="1"/>
    <xf numFmtId="0" fontId="11" fillId="0" borderId="0" xfId="0" applyFont="1" applyFill="1" applyBorder="1"/>
    <xf numFmtId="0" fontId="12" fillId="0" borderId="0" xfId="0" applyFont="1" applyFill="1" applyBorder="1"/>
    <xf numFmtId="2" fontId="12" fillId="0" borderId="0" xfId="0" applyNumberFormat="1" applyFont="1" applyFill="1" applyBorder="1"/>
    <xf numFmtId="164" fontId="12" fillId="0" borderId="0" xfId="0" applyNumberFormat="1" applyFont="1" applyFill="1" applyBorder="1"/>
    <xf numFmtId="2" fontId="12" fillId="0" borderId="0" xfId="2" applyNumberFormat="1" applyFont="1" applyFill="1" applyBorder="1"/>
    <xf numFmtId="0" fontId="0" fillId="0" borderId="0" xfId="0" applyFill="1" applyBorder="1" applyProtection="1"/>
    <xf numFmtId="0" fontId="12" fillId="0" borderId="0" xfId="0" applyFont="1" applyFill="1" applyBorder="1" applyAlignment="1">
      <alignment horizontal="right"/>
    </xf>
    <xf numFmtId="2" fontId="0" fillId="0" borderId="0" xfId="0" applyNumberFormat="1" applyFill="1" applyBorder="1"/>
    <xf numFmtId="0" fontId="11" fillId="2" borderId="111" xfId="0" applyFont="1" applyFill="1" applyBorder="1"/>
    <xf numFmtId="0" fontId="11" fillId="2" borderId="6" xfId="0" applyFont="1" applyFill="1" applyBorder="1"/>
    <xf numFmtId="0" fontId="0" fillId="2" borderId="6" xfId="0" applyFill="1" applyBorder="1" applyAlignment="1">
      <alignment horizontal="center"/>
    </xf>
    <xf numFmtId="0" fontId="35" fillId="2" borderId="0" xfId="0" applyFont="1" applyFill="1" applyBorder="1" applyProtection="1"/>
    <xf numFmtId="0" fontId="0" fillId="0" borderId="0" xfId="0" applyFill="1" applyBorder="1" applyAlignment="1">
      <alignment horizontal="right"/>
    </xf>
    <xf numFmtId="0" fontId="5" fillId="0" borderId="47" xfId="0" applyFont="1" applyBorder="1"/>
    <xf numFmtId="0" fontId="28" fillId="0" borderId="49" xfId="0" applyFont="1" applyBorder="1" applyAlignment="1">
      <alignment horizontal="right"/>
    </xf>
    <xf numFmtId="0" fontId="5" fillId="0" borderId="0" xfId="0" applyFont="1" applyBorder="1"/>
    <xf numFmtId="0" fontId="21" fillId="0" borderId="0" xfId="0" applyFont="1"/>
    <xf numFmtId="164" fontId="0" fillId="0" borderId="0" xfId="0" applyNumberFormat="1"/>
    <xf numFmtId="0" fontId="0" fillId="0" borderId="0" xfId="0" applyAlignment="1">
      <alignment horizontal="right"/>
    </xf>
    <xf numFmtId="14" fontId="0" fillId="0" borderId="0" xfId="0" applyNumberFormat="1"/>
    <xf numFmtId="0" fontId="0" fillId="2" borderId="4" xfId="0" applyFill="1" applyBorder="1" applyAlignment="1">
      <alignment horizontal="center"/>
    </xf>
    <xf numFmtId="0" fontId="0" fillId="2" borderId="1" xfId="0" applyFill="1" applyBorder="1" applyAlignment="1">
      <alignment horizontal="center"/>
    </xf>
    <xf numFmtId="0" fontId="0" fillId="2" borderId="111" xfId="0" applyFill="1" applyBorder="1" applyAlignment="1">
      <alignment horizontal="center"/>
    </xf>
    <xf numFmtId="0" fontId="0" fillId="2" borderId="3" xfId="0" applyFill="1" applyBorder="1" applyAlignment="1">
      <alignment horizontal="right"/>
    </xf>
    <xf numFmtId="164" fontId="0" fillId="2" borderId="0" xfId="0" applyNumberFormat="1" applyFill="1" applyBorder="1"/>
    <xf numFmtId="164" fontId="0" fillId="2" borderId="4" xfId="0" applyNumberFormat="1" applyFill="1" applyBorder="1"/>
    <xf numFmtId="0" fontId="0" fillId="8" borderId="6" xfId="0" applyFill="1" applyBorder="1" applyAlignment="1">
      <alignment horizontal="right"/>
    </xf>
    <xf numFmtId="0" fontId="0" fillId="2" borderId="76" xfId="0" applyFill="1" applyBorder="1" applyAlignment="1">
      <alignment horizontal="center" wrapText="1"/>
    </xf>
    <xf numFmtId="0" fontId="6" fillId="2" borderId="14"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22" fillId="0" borderId="101" xfId="0" applyFont="1" applyBorder="1" applyAlignment="1">
      <alignment horizontal="left"/>
    </xf>
    <xf numFmtId="0" fontId="0" fillId="2" borderId="76" xfId="0" applyFill="1" applyBorder="1" applyAlignment="1">
      <alignment horizontal="center" wrapText="1"/>
    </xf>
    <xf numFmtId="0" fontId="6" fillId="2" borderId="14"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0" fillId="2" borderId="3" xfId="0" applyFill="1" applyBorder="1" applyAlignment="1">
      <alignment horizontal="center" wrapText="1"/>
    </xf>
    <xf numFmtId="0" fontId="15" fillId="2" borderId="106" xfId="0" applyFont="1" applyFill="1" applyBorder="1"/>
    <xf numFmtId="0" fontId="0" fillId="2" borderId="107" xfId="0" applyFill="1" applyBorder="1"/>
    <xf numFmtId="0" fontId="0" fillId="2" borderId="108" xfId="0" applyFill="1" applyBorder="1"/>
    <xf numFmtId="0" fontId="14" fillId="2" borderId="0" xfId="0" applyFont="1" applyFill="1" applyBorder="1" applyAlignment="1">
      <alignment horizontal="center"/>
    </xf>
    <xf numFmtId="0" fontId="14" fillId="2" borderId="4" xfId="0" applyFont="1" applyFill="1" applyBorder="1" applyAlignment="1">
      <alignment horizontal="center"/>
    </xf>
    <xf numFmtId="0" fontId="0" fillId="2" borderId="71" xfId="0" applyFill="1" applyBorder="1"/>
    <xf numFmtId="0" fontId="0" fillId="2" borderId="109" xfId="0" applyFill="1" applyBorder="1"/>
    <xf numFmtId="0" fontId="0" fillId="2" borderId="110" xfId="0" applyFill="1" applyBorder="1"/>
    <xf numFmtId="165" fontId="0" fillId="11" borderId="34" xfId="0" applyNumberFormat="1" applyFill="1" applyBorder="1"/>
    <xf numFmtId="165" fontId="0" fillId="11" borderId="29" xfId="0" applyNumberFormat="1" applyFill="1" applyBorder="1"/>
    <xf numFmtId="2" fontId="9" fillId="9" borderId="12" xfId="0" applyNumberFormat="1" applyFont="1" applyFill="1" applyBorder="1" applyAlignment="1">
      <alignment horizontal="left"/>
    </xf>
    <xf numFmtId="0" fontId="0" fillId="2" borderId="102" xfId="0" applyFill="1" applyBorder="1" applyAlignment="1">
      <alignment horizontal="right"/>
    </xf>
    <xf numFmtId="0" fontId="0" fillId="2" borderId="41" xfId="0" applyFill="1" applyBorder="1"/>
    <xf numFmtId="0" fontId="23" fillId="2" borderId="102" xfId="0" applyFont="1" applyFill="1" applyBorder="1" applyAlignment="1">
      <alignment horizontal="right"/>
    </xf>
    <xf numFmtId="10" fontId="0" fillId="2" borderId="49" xfId="1" applyNumberFormat="1" applyFont="1" applyFill="1" applyBorder="1"/>
    <xf numFmtId="0" fontId="0" fillId="2" borderId="102" xfId="0" applyFill="1" applyBorder="1"/>
    <xf numFmtId="0" fontId="0" fillId="2" borderId="49" xfId="0" applyFill="1" applyBorder="1"/>
    <xf numFmtId="0" fontId="0" fillId="2" borderId="50" xfId="0" applyFill="1" applyBorder="1"/>
    <xf numFmtId="0" fontId="33" fillId="0" borderId="0" xfId="0" applyFont="1" applyFill="1" applyBorder="1" applyAlignment="1">
      <alignment horizontal="right"/>
    </xf>
    <xf numFmtId="0" fontId="0" fillId="0" borderId="0" xfId="0" applyFill="1" applyBorder="1" applyAlignment="1">
      <alignment vertical="top"/>
    </xf>
    <xf numFmtId="0" fontId="11" fillId="0" borderId="0" xfId="0" applyFont="1" applyFill="1" applyBorder="1" applyAlignment="1">
      <alignment vertical="top"/>
    </xf>
    <xf numFmtId="0" fontId="11" fillId="0" borderId="0" xfId="0" applyFont="1" applyFill="1" applyBorder="1" applyAlignment="1">
      <alignment horizontal="left" vertical="top"/>
    </xf>
    <xf numFmtId="0" fontId="0" fillId="0" borderId="2" xfId="0" applyFill="1" applyBorder="1"/>
    <xf numFmtId="0" fontId="0" fillId="0" borderId="2" xfId="0" applyFill="1" applyBorder="1" applyAlignment="1">
      <alignment vertical="top"/>
    </xf>
    <xf numFmtId="2" fontId="14" fillId="2" borderId="0" xfId="0" applyNumberFormat="1" applyFont="1" applyFill="1" applyBorder="1" applyAlignment="1">
      <alignment horizontal="right"/>
    </xf>
    <xf numFmtId="0" fontId="0" fillId="2" borderId="76" xfId="0" applyFill="1" applyBorder="1" applyAlignment="1">
      <alignment horizontal="center" wrapText="1"/>
    </xf>
    <xf numFmtId="0" fontId="0" fillId="0" borderId="3" xfId="0" applyFill="1" applyBorder="1" applyAlignment="1">
      <alignment horizontal="right"/>
    </xf>
    <xf numFmtId="165" fontId="0" fillId="12" borderId="35" xfId="0" applyNumberFormat="1" applyFill="1" applyBorder="1"/>
    <xf numFmtId="165" fontId="0" fillId="12" borderId="36" xfId="0" applyNumberFormat="1" applyFill="1" applyBorder="1"/>
    <xf numFmtId="165" fontId="0" fillId="12" borderId="29" xfId="0" applyNumberFormat="1" applyFill="1" applyBorder="1"/>
    <xf numFmtId="165" fontId="0" fillId="12" borderId="34" xfId="0" applyNumberFormat="1" applyFill="1" applyBorder="1"/>
    <xf numFmtId="2" fontId="0" fillId="12" borderId="35" xfId="0" applyNumberFormat="1" applyFill="1" applyBorder="1"/>
    <xf numFmtId="0" fontId="0" fillId="12" borderId="36" xfId="0" applyFill="1" applyBorder="1"/>
    <xf numFmtId="2" fontId="0" fillId="12" borderId="29" xfId="0" applyNumberFormat="1" applyFill="1" applyBorder="1"/>
    <xf numFmtId="2" fontId="0" fillId="12" borderId="34" xfId="0" applyNumberFormat="1" applyFill="1" applyBorder="1"/>
    <xf numFmtId="2" fontId="14" fillId="2" borderId="47" xfId="0" applyNumberFormat="1" applyFont="1" applyFill="1" applyBorder="1" applyAlignment="1"/>
    <xf numFmtId="0" fontId="35" fillId="2" borderId="0" xfId="0" applyFont="1" applyFill="1" applyBorder="1" applyAlignment="1">
      <alignment horizontal="left"/>
    </xf>
    <xf numFmtId="0" fontId="0" fillId="2" borderId="0" xfId="0" applyFill="1" applyBorder="1" applyAlignment="1">
      <alignment horizontal="left"/>
    </xf>
    <xf numFmtId="0" fontId="0" fillId="2" borderId="76" xfId="0" applyFill="1" applyBorder="1"/>
    <xf numFmtId="0" fontId="0" fillId="2" borderId="113" xfId="0" applyFill="1" applyBorder="1"/>
    <xf numFmtId="0" fontId="35" fillId="2" borderId="0" xfId="0" applyFont="1" applyFill="1" applyBorder="1" applyAlignment="1">
      <alignment horizontal="right"/>
    </xf>
    <xf numFmtId="0" fontId="19" fillId="8" borderId="20" xfId="0" applyFont="1" applyFill="1" applyBorder="1" applyAlignment="1">
      <alignment horizontal="center" vertical="top" wrapText="1"/>
    </xf>
    <xf numFmtId="1" fontId="18" fillId="0" borderId="17" xfId="0" applyNumberFormat="1" applyFont="1" applyBorder="1" applyAlignment="1">
      <alignment horizontal="center" vertical="top" wrapText="1"/>
    </xf>
    <xf numFmtId="1" fontId="18" fillId="0" borderId="18" xfId="0" applyNumberFormat="1" applyFont="1" applyBorder="1" applyAlignment="1">
      <alignment horizontal="center" vertical="top" wrapText="1"/>
    </xf>
    <xf numFmtId="0" fontId="19" fillId="8" borderId="21" xfId="0" applyFont="1" applyFill="1" applyBorder="1" applyAlignment="1">
      <alignment horizontal="center" vertical="top" wrapText="1"/>
    </xf>
    <xf numFmtId="0" fontId="0" fillId="2" borderId="3" xfId="0" applyFill="1" applyBorder="1" applyAlignment="1">
      <alignment horizontal="center" wrapText="1"/>
    </xf>
    <xf numFmtId="0" fontId="5" fillId="0" borderId="49" xfId="0" applyFont="1" applyFill="1" applyBorder="1"/>
    <xf numFmtId="0" fontId="5" fillId="0" borderId="42" xfId="0" applyFont="1" applyFill="1" applyBorder="1"/>
    <xf numFmtId="0" fontId="5" fillId="0" borderId="0" xfId="0" applyFont="1" applyFill="1" applyBorder="1"/>
    <xf numFmtId="0" fontId="19" fillId="0" borderId="0" xfId="0" applyFont="1" applyFill="1" applyBorder="1" applyAlignment="1">
      <alignment vertical="top" wrapText="1"/>
    </xf>
    <xf numFmtId="1" fontId="18" fillId="0" borderId="39" xfId="0" applyNumberFormat="1" applyFont="1" applyBorder="1" applyAlignment="1">
      <alignment horizontal="center" vertical="top" wrapText="1"/>
    </xf>
    <xf numFmtId="2" fontId="14" fillId="0" borderId="47" xfId="0" applyNumberFormat="1" applyFont="1" applyBorder="1" applyAlignment="1"/>
    <xf numFmtId="168" fontId="14" fillId="2" borderId="115" xfId="0" applyNumberFormat="1" applyFont="1" applyFill="1" applyBorder="1" applyAlignment="1"/>
    <xf numFmtId="0" fontId="0" fillId="0" borderId="47" xfId="0" applyBorder="1"/>
    <xf numFmtId="165" fontId="14" fillId="0" borderId="115" xfId="0" applyNumberFormat="1" applyFont="1" applyBorder="1" applyAlignment="1"/>
    <xf numFmtId="0" fontId="0" fillId="0" borderId="48" xfId="0" applyBorder="1"/>
    <xf numFmtId="0" fontId="0" fillId="2" borderId="45" xfId="0" applyFill="1" applyBorder="1"/>
    <xf numFmtId="10" fontId="0" fillId="2" borderId="0" xfId="1" applyNumberFormat="1" applyFont="1" applyFill="1" applyBorder="1"/>
    <xf numFmtId="0" fontId="0" fillId="0" borderId="42" xfId="0" applyBorder="1"/>
    <xf numFmtId="0" fontId="0" fillId="0" borderId="116" xfId="0" applyBorder="1"/>
    <xf numFmtId="165" fontId="14" fillId="0" borderId="117" xfId="0" applyNumberFormat="1" applyFont="1" applyBorder="1" applyAlignment="1"/>
    <xf numFmtId="0" fontId="0" fillId="2" borderId="118" xfId="0" applyFill="1" applyBorder="1"/>
    <xf numFmtId="0" fontId="0" fillId="2" borderId="119" xfId="0" applyFill="1" applyBorder="1"/>
    <xf numFmtId="168" fontId="14" fillId="2" borderId="122" xfId="0" applyNumberFormat="1" applyFont="1" applyFill="1" applyBorder="1" applyAlignment="1"/>
    <xf numFmtId="0" fontId="0" fillId="0" borderId="123" xfId="0" applyBorder="1"/>
    <xf numFmtId="0" fontId="48" fillId="0" borderId="124" xfId="0" applyFont="1" applyBorder="1" applyAlignment="1">
      <alignment horizontal="right"/>
    </xf>
    <xf numFmtId="165" fontId="14" fillId="0" borderId="125" xfId="0" applyNumberFormat="1" applyFont="1" applyBorder="1" applyAlignment="1"/>
    <xf numFmtId="165" fontId="14" fillId="0" borderId="126" xfId="0" applyNumberFormat="1" applyFont="1" applyBorder="1" applyAlignment="1"/>
    <xf numFmtId="168" fontId="14" fillId="2" borderId="127" xfId="0" applyNumberFormat="1" applyFont="1" applyFill="1" applyBorder="1" applyAlignment="1"/>
    <xf numFmtId="0" fontId="23" fillId="2" borderId="118" xfId="0" applyFont="1" applyFill="1" applyBorder="1" applyAlignment="1">
      <alignment horizontal="right"/>
    </xf>
    <xf numFmtId="10" fontId="0" fillId="2" borderId="120" xfId="1" applyNumberFormat="1" applyFont="1" applyFill="1" applyBorder="1"/>
    <xf numFmtId="165" fontId="14" fillId="0" borderId="121" xfId="0" applyNumberFormat="1" applyFont="1" applyBorder="1" applyAlignment="1"/>
    <xf numFmtId="0" fontId="21" fillId="2" borderId="0" xfId="0" applyFont="1" applyFill="1" applyBorder="1" applyAlignment="1">
      <alignment horizontal="right"/>
    </xf>
    <xf numFmtId="0" fontId="49" fillId="2" borderId="0" xfId="0" applyFont="1" applyFill="1" applyBorder="1" applyAlignment="1">
      <alignment horizontal="center" vertical="center" readingOrder="1"/>
    </xf>
    <xf numFmtId="0" fontId="13" fillId="2" borderId="106" xfId="0" applyFont="1" applyFill="1" applyBorder="1"/>
    <xf numFmtId="0" fontId="11" fillId="2" borderId="107" xfId="0" applyFont="1" applyFill="1" applyBorder="1"/>
    <xf numFmtId="0" fontId="21" fillId="2" borderId="1" xfId="0" applyFont="1" applyFill="1" applyBorder="1"/>
    <xf numFmtId="0" fontId="21" fillId="2" borderId="2" xfId="0" applyFont="1" applyFill="1" applyBorder="1" applyAlignment="1">
      <alignment horizontal="right"/>
    </xf>
    <xf numFmtId="0" fontId="11" fillId="2" borderId="129" xfId="0" applyFont="1" applyFill="1" applyBorder="1"/>
    <xf numFmtId="0" fontId="0" fillId="2" borderId="129" xfId="0" applyFill="1" applyBorder="1"/>
    <xf numFmtId="0" fontId="0" fillId="2" borderId="130" xfId="0" applyFill="1" applyBorder="1"/>
    <xf numFmtId="0" fontId="0" fillId="2" borderId="128" xfId="0" applyFill="1" applyBorder="1"/>
    <xf numFmtId="0" fontId="21" fillId="2" borderId="130" xfId="0" applyFont="1" applyFill="1" applyBorder="1"/>
    <xf numFmtId="0" fontId="11" fillId="2" borderId="17" xfId="0" applyFont="1" applyFill="1" applyBorder="1"/>
    <xf numFmtId="0" fontId="11" fillId="2" borderId="15" xfId="0" applyFont="1" applyFill="1" applyBorder="1"/>
    <xf numFmtId="0" fontId="11" fillId="2" borderId="132" xfId="0" applyFont="1" applyFill="1" applyBorder="1"/>
    <xf numFmtId="0" fontId="11" fillId="2" borderId="13" xfId="0" applyFont="1" applyFill="1" applyBorder="1"/>
    <xf numFmtId="0" fontId="0" fillId="2" borderId="133" xfId="0" applyFill="1" applyBorder="1"/>
    <xf numFmtId="0" fontId="0" fillId="2" borderId="25" xfId="0" applyFill="1" applyBorder="1"/>
    <xf numFmtId="0" fontId="0" fillId="2" borderId="134" xfId="0" applyFill="1" applyBorder="1"/>
    <xf numFmtId="0" fontId="0" fillId="2" borderId="135" xfId="0" applyFill="1" applyBorder="1"/>
    <xf numFmtId="0" fontId="0" fillId="2" borderId="136" xfId="0" applyFill="1" applyBorder="1"/>
    <xf numFmtId="0" fontId="50" fillId="2" borderId="130" xfId="0" applyFont="1" applyFill="1" applyBorder="1"/>
    <xf numFmtId="0" fontId="38" fillId="2" borderId="129" xfId="0" applyFont="1" applyFill="1" applyBorder="1" applyAlignment="1">
      <alignment horizontal="right"/>
    </xf>
    <xf numFmtId="0" fontId="38" fillId="2" borderId="129" xfId="0" applyFont="1" applyFill="1" applyBorder="1"/>
    <xf numFmtId="0" fontId="33" fillId="2" borderId="3" xfId="0" applyFont="1" applyFill="1" applyBorder="1"/>
    <xf numFmtId="0" fontId="33" fillId="2" borderId="26" xfId="0" applyFont="1" applyFill="1" applyBorder="1"/>
    <xf numFmtId="0" fontId="33" fillId="2" borderId="133" xfId="0" applyFont="1" applyFill="1" applyBorder="1"/>
    <xf numFmtId="0" fontId="33" fillId="2" borderId="0" xfId="0" applyFont="1" applyFill="1" applyBorder="1"/>
    <xf numFmtId="0" fontId="33" fillId="2" borderId="4" xfId="0" applyFont="1" applyFill="1" applyBorder="1"/>
    <xf numFmtId="0" fontId="33" fillId="2" borderId="5" xfId="0" applyFont="1" applyFill="1" applyBorder="1"/>
    <xf numFmtId="0" fontId="33" fillId="2" borderId="6" xfId="0" applyFont="1" applyFill="1" applyBorder="1"/>
    <xf numFmtId="0" fontId="33" fillId="2" borderId="105" xfId="0" applyFont="1" applyFill="1" applyBorder="1"/>
    <xf numFmtId="0" fontId="38" fillId="2" borderId="17" xfId="0" applyFont="1" applyFill="1" applyBorder="1" applyAlignment="1">
      <alignment horizontal="right"/>
    </xf>
    <xf numFmtId="0" fontId="38" fillId="2" borderId="17" xfId="0" applyFont="1" applyFill="1" applyBorder="1"/>
    <xf numFmtId="0" fontId="38" fillId="2" borderId="12" xfId="0" applyFont="1" applyFill="1" applyBorder="1"/>
    <xf numFmtId="0" fontId="33" fillId="2" borderId="134" xfId="0" applyFont="1" applyFill="1" applyBorder="1"/>
    <xf numFmtId="0" fontId="33" fillId="2" borderId="135" xfId="0" applyFont="1" applyFill="1" applyBorder="1"/>
    <xf numFmtId="0" fontId="51" fillId="2" borderId="3" xfId="0" applyFont="1" applyFill="1" applyBorder="1"/>
    <xf numFmtId="0" fontId="33" fillId="2" borderId="129" xfId="0" applyFont="1" applyFill="1" applyBorder="1"/>
    <xf numFmtId="0" fontId="33" fillId="2" borderId="128" xfId="0" applyFont="1" applyFill="1" applyBorder="1"/>
    <xf numFmtId="0" fontId="38" fillId="2" borderId="20" xfId="0" applyFont="1" applyFill="1" applyBorder="1"/>
    <xf numFmtId="0" fontId="33" fillId="2" borderId="137" xfId="0" applyFont="1" applyFill="1" applyBorder="1"/>
    <xf numFmtId="0" fontId="38" fillId="2" borderId="138" xfId="0" applyFont="1" applyFill="1" applyBorder="1"/>
    <xf numFmtId="0" fontId="33" fillId="2" borderId="17" xfId="0" applyFont="1" applyFill="1" applyBorder="1"/>
    <xf numFmtId="0" fontId="50" fillId="2" borderId="112" xfId="0" applyFont="1" applyFill="1" applyBorder="1"/>
    <xf numFmtId="0" fontId="38" fillId="2" borderId="18" xfId="0" applyFont="1" applyFill="1" applyBorder="1"/>
    <xf numFmtId="0" fontId="21" fillId="2" borderId="6" xfId="0" applyFont="1" applyFill="1" applyBorder="1" applyAlignment="1">
      <alignment horizontal="right"/>
    </xf>
    <xf numFmtId="0" fontId="33" fillId="2" borderId="131" xfId="0" applyFont="1" applyFill="1" applyBorder="1"/>
    <xf numFmtId="0" fontId="21" fillId="2" borderId="26" xfId="0" applyFont="1" applyFill="1" applyBorder="1" applyAlignment="1">
      <alignment horizontal="right"/>
    </xf>
    <xf numFmtId="0" fontId="21" fillId="2" borderId="18" xfId="0" applyFont="1" applyFill="1" applyBorder="1" applyAlignment="1">
      <alignment horizontal="right"/>
    </xf>
    <xf numFmtId="0" fontId="0" fillId="2" borderId="0" xfId="0" applyFill="1" applyBorder="1" applyAlignment="1">
      <alignment horizontal="center" vertical="center"/>
    </xf>
    <xf numFmtId="0" fontId="0" fillId="2" borderId="0" xfId="0" applyFill="1" applyAlignment="1">
      <alignment horizontal="right"/>
    </xf>
    <xf numFmtId="0" fontId="35" fillId="2" borderId="0" xfId="0" applyFont="1" applyFill="1" applyAlignment="1">
      <alignment horizontal="right"/>
    </xf>
    <xf numFmtId="167" fontId="0" fillId="2" borderId="0" xfId="0" applyNumberFormat="1" applyFill="1" applyAlignment="1">
      <alignment horizontal="right"/>
    </xf>
    <xf numFmtId="167" fontId="0" fillId="2" borderId="0" xfId="0" applyNumberFormat="1" applyFill="1"/>
    <xf numFmtId="167" fontId="0" fillId="2" borderId="0" xfId="0" applyNumberFormat="1" applyFill="1" applyBorder="1"/>
    <xf numFmtId="0" fontId="0" fillId="0" borderId="139" xfId="0" applyBorder="1"/>
    <xf numFmtId="0" fontId="48" fillId="0" borderId="140" xfId="0" applyFont="1" applyBorder="1" applyAlignment="1">
      <alignment horizontal="right"/>
    </xf>
    <xf numFmtId="0" fontId="12" fillId="6" borderId="5" xfId="0" applyFont="1" applyFill="1" applyBorder="1" applyAlignment="1" applyProtection="1">
      <alignment horizontal="right"/>
      <protection locked="0"/>
    </xf>
    <xf numFmtId="0" fontId="12" fillId="6" borderId="135" xfId="0" applyFont="1" applyFill="1" applyBorder="1" applyAlignment="1" applyProtection="1">
      <alignment horizontal="center"/>
      <protection locked="0"/>
    </xf>
    <xf numFmtId="0" fontId="14" fillId="6" borderId="0" xfId="0" applyFont="1" applyFill="1" applyBorder="1" applyAlignment="1" applyProtection="1">
      <alignment horizontal="left"/>
      <protection locked="0"/>
    </xf>
    <xf numFmtId="0" fontId="14" fillId="6" borderId="23" xfId="0" applyFont="1" applyFill="1" applyBorder="1" applyProtection="1">
      <protection locked="0"/>
    </xf>
    <xf numFmtId="1" fontId="18" fillId="0" borderId="132" xfId="0" applyNumberFormat="1" applyFont="1" applyBorder="1" applyAlignment="1">
      <alignment horizontal="center" vertical="center"/>
    </xf>
    <xf numFmtId="0" fontId="5" fillId="0" borderId="42" xfId="0" applyFont="1" applyBorder="1"/>
    <xf numFmtId="0" fontId="5" fillId="0" borderId="48" xfId="0" applyFont="1" applyBorder="1"/>
    <xf numFmtId="0" fontId="25" fillId="0" borderId="45" xfId="0" applyFont="1" applyBorder="1"/>
    <xf numFmtId="169" fontId="18" fillId="0" borderId="39" xfId="0" applyNumberFormat="1" applyFont="1" applyBorder="1" applyAlignment="1">
      <alignment horizontal="center" vertical="top" wrapText="1"/>
    </xf>
    <xf numFmtId="169" fontId="18" fillId="0" borderId="39" xfId="0" applyNumberFormat="1" applyFont="1" applyBorder="1" applyAlignment="1">
      <alignment horizontal="center" vertical="center" wrapText="1"/>
    </xf>
    <xf numFmtId="0" fontId="0" fillId="6" borderId="0" xfId="0" applyFill="1" applyBorder="1"/>
    <xf numFmtId="0" fontId="12" fillId="6" borderId="0" xfId="0" applyFont="1" applyFill="1" applyBorder="1" applyAlignment="1">
      <alignment horizontal="right"/>
    </xf>
    <xf numFmtId="0" fontId="0" fillId="5" borderId="0" xfId="0" applyFill="1" applyBorder="1" applyAlignment="1">
      <alignment horizontal="right"/>
    </xf>
    <xf numFmtId="10" fontId="0" fillId="5" borderId="0" xfId="1" applyNumberFormat="1" applyFont="1" applyFill="1" applyBorder="1" applyAlignment="1">
      <alignment horizontal="right"/>
    </xf>
    <xf numFmtId="0" fontId="0" fillId="5" borderId="0" xfId="0" applyFill="1" applyBorder="1"/>
    <xf numFmtId="0" fontId="20" fillId="6" borderId="3" xfId="0" applyFont="1" applyFill="1" applyBorder="1" applyAlignment="1">
      <alignment horizontal="right"/>
    </xf>
    <xf numFmtId="0" fontId="0" fillId="5" borderId="4" xfId="0" applyFill="1" applyBorder="1"/>
    <xf numFmtId="0" fontId="14" fillId="6" borderId="3" xfId="0" applyFont="1" applyFill="1" applyBorder="1" applyAlignment="1">
      <alignment horizontal="right"/>
    </xf>
    <xf numFmtId="0" fontId="0" fillId="5" borderId="6" xfId="0" applyFill="1" applyBorder="1"/>
    <xf numFmtId="0" fontId="0" fillId="5" borderId="105" xfId="0" applyFill="1" applyBorder="1"/>
    <xf numFmtId="0" fontId="20" fillId="5" borderId="25" xfId="0" applyFont="1" applyFill="1" applyBorder="1" applyAlignment="1">
      <alignment horizontal="right"/>
    </xf>
    <xf numFmtId="0" fontId="14" fillId="5" borderId="25" xfId="0" applyFont="1" applyFill="1" applyBorder="1" applyAlignment="1">
      <alignment horizontal="right"/>
    </xf>
    <xf numFmtId="0" fontId="14" fillId="5" borderId="136" xfId="0" applyFont="1" applyFill="1" applyBorder="1" applyAlignment="1">
      <alignment horizontal="right"/>
    </xf>
    <xf numFmtId="0" fontId="15" fillId="6" borderId="130" xfId="0" applyFont="1" applyFill="1" applyBorder="1"/>
    <xf numFmtId="0" fontId="0" fillId="6" borderId="129" xfId="0" applyFill="1" applyBorder="1"/>
    <xf numFmtId="0" fontId="0" fillId="5" borderId="142" xfId="0" applyFill="1" applyBorder="1"/>
    <xf numFmtId="0" fontId="0" fillId="5" borderId="129" xfId="0" applyFill="1" applyBorder="1"/>
    <xf numFmtId="0" fontId="0" fillId="5" borderId="128" xfId="0" applyFill="1" applyBorder="1"/>
    <xf numFmtId="0" fontId="0" fillId="6" borderId="5" xfId="0" applyFill="1" applyBorder="1"/>
    <xf numFmtId="0" fontId="0" fillId="6" borderId="6" xfId="0" applyFill="1" applyBorder="1"/>
    <xf numFmtId="2" fontId="0" fillId="5" borderId="0" xfId="0" applyNumberFormat="1" applyFont="1" applyFill="1" applyBorder="1"/>
    <xf numFmtId="164" fontId="0" fillId="5" borderId="0" xfId="0" applyNumberFormat="1" applyFont="1" applyFill="1" applyBorder="1"/>
    <xf numFmtId="165" fontId="0" fillId="5" borderId="0" xfId="0" applyNumberFormat="1" applyFont="1" applyFill="1" applyBorder="1"/>
    <xf numFmtId="0" fontId="0" fillId="5" borderId="6" xfId="0" applyFont="1" applyFill="1" applyBorder="1" applyAlignment="1">
      <alignment horizontal="right"/>
    </xf>
    <xf numFmtId="165" fontId="0" fillId="5" borderId="0" xfId="0" applyNumberFormat="1" applyFont="1" applyFill="1" applyBorder="1" applyAlignment="1"/>
    <xf numFmtId="168" fontId="0" fillId="5" borderId="0" xfId="0" applyNumberFormat="1" applyFont="1" applyFill="1" applyBorder="1" applyAlignment="1"/>
    <xf numFmtId="1" fontId="0" fillId="5" borderId="0" xfId="0" applyNumberFormat="1" applyFont="1" applyFill="1" applyBorder="1"/>
    <xf numFmtId="0" fontId="0" fillId="0" borderId="6" xfId="0" applyBorder="1"/>
    <xf numFmtId="0" fontId="0" fillId="6" borderId="3" xfId="0" applyFill="1" applyBorder="1"/>
    <xf numFmtId="0" fontId="14" fillId="2" borderId="6" xfId="0" applyFont="1" applyFill="1" applyBorder="1"/>
    <xf numFmtId="0" fontId="0" fillId="0" borderId="6" xfId="0" applyFill="1" applyBorder="1"/>
    <xf numFmtId="0" fontId="0" fillId="2" borderId="3" xfId="0" applyFill="1" applyBorder="1" applyAlignment="1">
      <alignment horizontal="center" wrapText="1"/>
    </xf>
    <xf numFmtId="2" fontId="0" fillId="0" borderId="29" xfId="0" applyNumberFormat="1" applyFill="1" applyBorder="1" applyProtection="1"/>
    <xf numFmtId="0" fontId="0" fillId="12" borderId="143" xfId="0" applyFill="1" applyBorder="1"/>
    <xf numFmtId="0" fontId="12" fillId="0" borderId="0" xfId="0" applyFont="1" applyFill="1" applyBorder="1" applyAlignment="1" applyProtection="1">
      <alignment horizontal="right"/>
    </xf>
    <xf numFmtId="2" fontId="0" fillId="0" borderId="29" xfId="0" applyNumberFormat="1" applyFill="1" applyBorder="1"/>
    <xf numFmtId="1" fontId="18" fillId="0" borderId="132" xfId="0" applyNumberFormat="1" applyFont="1" applyBorder="1" applyAlignment="1">
      <alignment horizontal="center" vertical="center"/>
    </xf>
    <xf numFmtId="0" fontId="13" fillId="2" borderId="79" xfId="0" applyFont="1" applyFill="1" applyBorder="1"/>
    <xf numFmtId="0" fontId="20" fillId="2" borderId="94" xfId="0" applyFont="1" applyFill="1" applyBorder="1"/>
    <xf numFmtId="164" fontId="20" fillId="2" borderId="45" xfId="0" applyNumberFormat="1" applyFont="1" applyFill="1" applyBorder="1"/>
    <xf numFmtId="0" fontId="0" fillId="2" borderId="95" xfId="0" applyFill="1" applyBorder="1"/>
    <xf numFmtId="0" fontId="20" fillId="2" borderId="46" xfId="0" applyFont="1" applyFill="1" applyBorder="1"/>
    <xf numFmtId="164" fontId="20" fillId="2" borderId="41" xfId="0" applyNumberFormat="1" applyFont="1" applyFill="1" applyBorder="1"/>
    <xf numFmtId="0" fontId="0" fillId="2" borderId="53" xfId="0" applyFill="1" applyBorder="1"/>
    <xf numFmtId="0" fontId="22" fillId="2" borderId="101" xfId="0" applyFont="1" applyFill="1" applyBorder="1" applyAlignment="1">
      <alignment horizontal="left"/>
    </xf>
    <xf numFmtId="0" fontId="0" fillId="2" borderId="46" xfId="0" applyFill="1" applyBorder="1"/>
    <xf numFmtId="0" fontId="0" fillId="2" borderId="52" xfId="0" applyFill="1" applyBorder="1" applyAlignment="1">
      <alignment horizontal="right"/>
    </xf>
    <xf numFmtId="0" fontId="0" fillId="2" borderId="72" xfId="0" applyFill="1" applyBorder="1" applyAlignment="1">
      <alignment horizontal="right"/>
    </xf>
    <xf numFmtId="0" fontId="0" fillId="2" borderId="70" xfId="0" applyFill="1" applyBorder="1" applyAlignment="1">
      <alignment horizontal="right"/>
    </xf>
    <xf numFmtId="0" fontId="0" fillId="2" borderId="18" xfId="0" applyFill="1" applyBorder="1" applyAlignment="1">
      <alignment horizontal="right"/>
    </xf>
    <xf numFmtId="0" fontId="0" fillId="2" borderId="68" xfId="0" applyFill="1" applyBorder="1" applyAlignment="1">
      <alignment horizontal="right"/>
    </xf>
    <xf numFmtId="0" fontId="0" fillId="2" borderId="20" xfId="0" applyFill="1" applyBorder="1" applyAlignment="1">
      <alignment horizontal="right"/>
    </xf>
    <xf numFmtId="0" fontId="0" fillId="2" borderId="69" xfId="0" applyFill="1" applyBorder="1" applyAlignment="1">
      <alignment horizontal="right"/>
    </xf>
    <xf numFmtId="0" fontId="0" fillId="2" borderId="67" xfId="0" applyFill="1" applyBorder="1" applyAlignment="1">
      <alignment horizontal="right"/>
    </xf>
    <xf numFmtId="0" fontId="22" fillId="2" borderId="46" xfId="0" applyFont="1" applyFill="1" applyBorder="1"/>
    <xf numFmtId="0" fontId="12" fillId="2" borderId="41" xfId="0" applyFont="1" applyFill="1" applyBorder="1"/>
    <xf numFmtId="0" fontId="0" fillId="2" borderId="57" xfId="0" applyFill="1" applyBorder="1"/>
    <xf numFmtId="0" fontId="22" fillId="0" borderId="0" xfId="0" applyFont="1" applyFill="1" applyBorder="1"/>
    <xf numFmtId="166" fontId="12" fillId="0" borderId="0" xfId="0" applyNumberFormat="1" applyFont="1" applyFill="1" applyBorder="1"/>
    <xf numFmtId="166" fontId="12" fillId="0" borderId="0" xfId="2" applyNumberFormat="1" applyFont="1" applyFill="1" applyBorder="1"/>
    <xf numFmtId="167" fontId="14" fillId="0" borderId="0" xfId="0" applyNumberFormat="1" applyFont="1" applyFill="1" applyBorder="1" applyAlignment="1"/>
    <xf numFmtId="0" fontId="37" fillId="0" borderId="0" xfId="0" applyFont="1" applyFill="1"/>
    <xf numFmtId="0" fontId="33" fillId="0" borderId="0" xfId="0" applyFont="1" applyFill="1" applyBorder="1"/>
    <xf numFmtId="2" fontId="0" fillId="0" borderId="144" xfId="0" applyNumberFormat="1" applyFill="1" applyBorder="1" applyProtection="1"/>
    <xf numFmtId="0" fontId="0" fillId="2" borderId="152" xfId="0" applyFill="1" applyBorder="1" applyAlignment="1">
      <alignment horizontal="right"/>
    </xf>
    <xf numFmtId="0" fontId="0" fillId="2" borderId="16" xfId="0" applyFill="1" applyBorder="1" applyAlignment="1">
      <alignment horizontal="right"/>
    </xf>
    <xf numFmtId="0" fontId="0" fillId="2" borderId="19" xfId="0" applyFill="1" applyBorder="1" applyAlignment="1">
      <alignment horizontal="right"/>
    </xf>
    <xf numFmtId="0" fontId="0" fillId="2" borderId="153" xfId="0" applyFill="1" applyBorder="1" applyAlignment="1">
      <alignment horizontal="right"/>
    </xf>
    <xf numFmtId="0" fontId="0" fillId="2" borderId="47" xfId="0" applyFill="1" applyBorder="1"/>
    <xf numFmtId="0" fontId="12" fillId="2" borderId="47" xfId="0" applyFont="1" applyFill="1" applyBorder="1"/>
    <xf numFmtId="0" fontId="0" fillId="2" borderId="4" xfId="0" applyFill="1" applyBorder="1" applyAlignment="1">
      <alignment horizontal="right"/>
    </xf>
    <xf numFmtId="2" fontId="12" fillId="2" borderId="4" xfId="0" applyNumberFormat="1" applyFont="1" applyFill="1" applyBorder="1"/>
    <xf numFmtId="2" fontId="0" fillId="0" borderId="34" xfId="0" applyNumberFormat="1" applyFill="1" applyBorder="1"/>
    <xf numFmtId="2" fontId="0" fillId="0" borderId="36" xfId="0" applyNumberFormat="1" applyFill="1" applyBorder="1"/>
    <xf numFmtId="0" fontId="48" fillId="2" borderId="0" xfId="0" applyFont="1" applyFill="1" applyBorder="1" applyAlignment="1" applyProtection="1">
      <alignment horizontal="left" vertical="top"/>
    </xf>
    <xf numFmtId="0" fontId="11" fillId="2" borderId="154" xfId="0" applyFont="1" applyFill="1" applyBorder="1"/>
    <xf numFmtId="0" fontId="11" fillId="2" borderId="155" xfId="0" applyFont="1" applyFill="1" applyBorder="1"/>
    <xf numFmtId="0" fontId="0" fillId="0" borderId="2" xfId="0" applyBorder="1"/>
    <xf numFmtId="0" fontId="0" fillId="0" borderId="111" xfId="0" applyBorder="1"/>
    <xf numFmtId="0" fontId="0" fillId="0" borderId="105" xfId="0" applyBorder="1"/>
    <xf numFmtId="0" fontId="0" fillId="5" borderId="0" xfId="0" applyFill="1"/>
    <xf numFmtId="0" fontId="0" fillId="8" borderId="111" xfId="0" applyFill="1" applyBorder="1" applyAlignment="1">
      <alignment horizontal="right"/>
    </xf>
    <xf numFmtId="0" fontId="0" fillId="8" borderId="105" xfId="0" applyFill="1" applyBorder="1" applyAlignment="1">
      <alignment horizontal="right"/>
    </xf>
    <xf numFmtId="0" fontId="0" fillId="0" borderId="5" xfId="0" applyBorder="1"/>
    <xf numFmtId="0" fontId="35" fillId="2" borderId="3" xfId="0" applyFont="1" applyFill="1" applyBorder="1"/>
    <xf numFmtId="0" fontId="35" fillId="2" borderId="0" xfId="0" applyFont="1" applyFill="1" applyBorder="1"/>
    <xf numFmtId="0" fontId="0" fillId="2" borderId="1" xfId="0" applyFill="1" applyBorder="1" applyAlignment="1">
      <alignment horizontal="left"/>
    </xf>
    <xf numFmtId="0" fontId="0" fillId="2" borderId="6" xfId="0" applyFill="1" applyBorder="1" applyAlignment="1">
      <alignment horizontal="right"/>
    </xf>
    <xf numFmtId="0" fontId="37" fillId="0" borderId="0" xfId="0" applyFont="1" applyFill="1" applyBorder="1"/>
    <xf numFmtId="0" fontId="0" fillId="9" borderId="0" xfId="0" applyFill="1" applyAlignment="1">
      <alignment horizontal="right"/>
    </xf>
    <xf numFmtId="0" fontId="0" fillId="9" borderId="0" xfId="0" applyFill="1" applyBorder="1" applyAlignment="1">
      <alignment horizontal="right"/>
    </xf>
    <xf numFmtId="0" fontId="0" fillId="9" borderId="0" xfId="0" applyFill="1" applyBorder="1"/>
    <xf numFmtId="0" fontId="53" fillId="0" borderId="0" xfId="0" applyFont="1" applyFill="1" applyBorder="1" applyAlignment="1">
      <alignment horizontal="right"/>
    </xf>
    <xf numFmtId="165" fontId="33" fillId="0" borderId="0" xfId="0" applyNumberFormat="1" applyFont="1" applyFill="1" applyBorder="1"/>
    <xf numFmtId="165" fontId="0" fillId="2" borderId="0" xfId="0" applyNumberFormat="1" applyFill="1" applyBorder="1"/>
    <xf numFmtId="0" fontId="35" fillId="2" borderId="4" xfId="0" applyFont="1" applyFill="1" applyBorder="1" applyAlignment="1">
      <alignment horizontal="right"/>
    </xf>
    <xf numFmtId="0" fontId="37" fillId="2" borderId="4" xfId="0" applyFont="1" applyFill="1" applyBorder="1"/>
    <xf numFmtId="0" fontId="0" fillId="2" borderId="5" xfId="0" applyFill="1" applyBorder="1" applyAlignment="1">
      <alignment horizontal="right"/>
    </xf>
    <xf numFmtId="0" fontId="35" fillId="2" borderId="2" xfId="0" applyFont="1" applyFill="1" applyBorder="1" applyAlignment="1">
      <alignment horizontal="right"/>
    </xf>
    <xf numFmtId="0" fontId="37" fillId="2" borderId="111" xfId="0" applyFont="1" applyFill="1" applyBorder="1"/>
    <xf numFmtId="0" fontId="0" fillId="2" borderId="40" xfId="0" applyFill="1" applyBorder="1"/>
    <xf numFmtId="0" fontId="35" fillId="2" borderId="76" xfId="0" applyFont="1" applyFill="1" applyBorder="1" applyAlignment="1">
      <alignment horizontal="right"/>
    </xf>
    <xf numFmtId="0" fontId="0" fillId="2" borderId="76" xfId="0" applyFill="1" applyBorder="1" applyAlignment="1">
      <alignment horizontal="right"/>
    </xf>
    <xf numFmtId="0" fontId="0" fillId="2" borderId="113" xfId="0" applyFill="1" applyBorder="1" applyAlignment="1">
      <alignment horizontal="right"/>
    </xf>
    <xf numFmtId="0" fontId="35" fillId="2" borderId="40" xfId="0" applyFont="1" applyFill="1" applyBorder="1" applyAlignment="1">
      <alignment horizontal="right"/>
    </xf>
    <xf numFmtId="165" fontId="0" fillId="2" borderId="76" xfId="0" applyNumberFormat="1" applyFill="1" applyBorder="1"/>
    <xf numFmtId="0" fontId="0" fillId="2" borderId="112" xfId="0" applyFill="1" applyBorder="1" applyAlignment="1">
      <alignment horizontal="right"/>
    </xf>
    <xf numFmtId="0" fontId="0" fillId="2" borderId="156" xfId="0" applyFill="1" applyBorder="1" applyAlignment="1">
      <alignment horizontal="right"/>
    </xf>
    <xf numFmtId="0" fontId="0" fillId="2" borderId="17" xfId="0" applyFill="1" applyBorder="1" applyAlignment="1">
      <alignment horizontal="right"/>
    </xf>
    <xf numFmtId="0" fontId="0" fillId="2" borderId="131" xfId="0" applyFill="1" applyBorder="1"/>
    <xf numFmtId="0" fontId="37" fillId="2" borderId="131" xfId="0" applyFont="1" applyFill="1" applyBorder="1"/>
    <xf numFmtId="0" fontId="0" fillId="2" borderId="112" xfId="0" applyFont="1" applyFill="1" applyBorder="1" applyAlignment="1">
      <alignment horizontal="right"/>
    </xf>
    <xf numFmtId="0" fontId="0" fillId="2" borderId="156" xfId="0" applyFont="1" applyFill="1" applyBorder="1" applyAlignment="1">
      <alignment horizontal="right"/>
    </xf>
    <xf numFmtId="0" fontId="0" fillId="2" borderId="17" xfId="0" applyFont="1" applyFill="1" applyBorder="1" applyAlignment="1">
      <alignment horizontal="right"/>
    </xf>
    <xf numFmtId="0" fontId="0" fillId="2" borderId="131" xfId="0" applyFill="1" applyBorder="1" applyAlignment="1">
      <alignment horizontal="right"/>
    </xf>
    <xf numFmtId="0" fontId="41" fillId="2" borderId="3" xfId="0" applyFont="1" applyFill="1" applyBorder="1" applyAlignment="1">
      <alignment horizontal="right"/>
    </xf>
    <xf numFmtId="0" fontId="45" fillId="2" borderId="1" xfId="0" applyFont="1" applyFill="1" applyBorder="1" applyAlignment="1">
      <alignment horizontal="right"/>
    </xf>
    <xf numFmtId="0" fontId="21" fillId="2" borderId="3" xfId="0" applyFont="1" applyFill="1" applyBorder="1" applyAlignment="1">
      <alignment horizontal="right"/>
    </xf>
    <xf numFmtId="2" fontId="20" fillId="2" borderId="41" xfId="0" applyNumberFormat="1" applyFont="1" applyFill="1" applyBorder="1" applyAlignment="1">
      <alignment horizontal="right"/>
    </xf>
    <xf numFmtId="0" fontId="25" fillId="0" borderId="157" xfId="0" applyFont="1" applyBorder="1"/>
    <xf numFmtId="0" fontId="5" fillId="0" borderId="157" xfId="0" applyFont="1" applyBorder="1"/>
    <xf numFmtId="0" fontId="6" fillId="0" borderId="0" xfId="0" applyFont="1" applyBorder="1"/>
    <xf numFmtId="1" fontId="18" fillId="0" borderId="0" xfId="0" applyNumberFormat="1" applyFont="1" applyBorder="1" applyAlignment="1">
      <alignment horizontal="center" vertical="top" wrapText="1"/>
    </xf>
    <xf numFmtId="0" fontId="19" fillId="2" borderId="0" xfId="0" applyFont="1" applyFill="1" applyBorder="1" applyAlignment="1">
      <alignment horizontal="center" vertical="top" wrapText="1"/>
    </xf>
    <xf numFmtId="0" fontId="0" fillId="0" borderId="145" xfId="0" applyBorder="1" applyProtection="1"/>
    <xf numFmtId="0" fontId="0" fillId="0" borderId="146" xfId="0" applyBorder="1" applyProtection="1"/>
    <xf numFmtId="0" fontId="0" fillId="2" borderId="146" xfId="0" applyFill="1" applyBorder="1" applyProtection="1"/>
    <xf numFmtId="0" fontId="12" fillId="2" borderId="146" xfId="0" applyFont="1" applyFill="1" applyBorder="1" applyProtection="1"/>
    <xf numFmtId="0" fontId="52" fillId="2" borderId="147" xfId="0" applyFont="1" applyFill="1" applyBorder="1" applyAlignment="1" applyProtection="1">
      <alignment horizontal="right"/>
    </xf>
    <xf numFmtId="0" fontId="3" fillId="2" borderId="10" xfId="0" applyFont="1" applyFill="1" applyBorder="1" applyAlignment="1" applyProtection="1"/>
    <xf numFmtId="0" fontId="3" fillId="2" borderId="0" xfId="0" applyFont="1" applyFill="1" applyBorder="1" applyAlignment="1" applyProtection="1"/>
    <xf numFmtId="0" fontId="0" fillId="2" borderId="11" xfId="0" applyFill="1" applyBorder="1" applyProtection="1"/>
    <xf numFmtId="0" fontId="1" fillId="2" borderId="10" xfId="0" applyFont="1" applyFill="1" applyBorder="1" applyProtection="1"/>
    <xf numFmtId="0" fontId="0" fillId="2" borderId="10" xfId="0" applyFill="1" applyBorder="1" applyProtection="1"/>
    <xf numFmtId="0" fontId="12" fillId="2" borderId="148" xfId="0" applyFont="1" applyFill="1" applyBorder="1" applyProtection="1"/>
    <xf numFmtId="0" fontId="0" fillId="2" borderId="90" xfId="0" applyFill="1" applyBorder="1" applyProtection="1"/>
    <xf numFmtId="0" fontId="0" fillId="4" borderId="149" xfId="0" applyFill="1" applyBorder="1" applyProtection="1"/>
    <xf numFmtId="0" fontId="0" fillId="4" borderId="2" xfId="0" applyFill="1" applyBorder="1" applyProtection="1"/>
    <xf numFmtId="0" fontId="0" fillId="7" borderId="27" xfId="0" applyFill="1" applyBorder="1" applyProtection="1"/>
    <xf numFmtId="0" fontId="0" fillId="7" borderId="2" xfId="0" applyFill="1" applyBorder="1" applyProtection="1"/>
    <xf numFmtId="0" fontId="0" fillId="7" borderId="91" xfId="0" applyFill="1" applyBorder="1" applyProtection="1"/>
    <xf numFmtId="0" fontId="2" fillId="4" borderId="150" xfId="0" applyFont="1" applyFill="1" applyBorder="1" applyProtection="1"/>
    <xf numFmtId="0" fontId="0" fillId="4" borderId="17" xfId="0" applyFill="1" applyBorder="1" applyAlignment="1" applyProtection="1">
      <alignment horizontal="right"/>
    </xf>
    <xf numFmtId="0" fontId="15" fillId="4" borderId="17" xfId="0" applyFont="1" applyFill="1" applyBorder="1" applyAlignment="1" applyProtection="1">
      <alignment horizontal="right"/>
    </xf>
    <xf numFmtId="0" fontId="0" fillId="7" borderId="17" xfId="0" applyFill="1" applyBorder="1" applyProtection="1"/>
    <xf numFmtId="0" fontId="14" fillId="6" borderId="151" xfId="0" applyFont="1" applyFill="1" applyBorder="1" applyAlignment="1" applyProtection="1">
      <alignment horizontal="right"/>
    </xf>
    <xf numFmtId="0" fontId="14" fillId="6" borderId="14" xfId="0" applyFont="1" applyFill="1" applyBorder="1" applyProtection="1"/>
    <xf numFmtId="0" fontId="14" fillId="5" borderId="13" xfId="0" applyFont="1" applyFill="1" applyBorder="1" applyProtection="1"/>
    <xf numFmtId="0" fontId="14" fillId="5" borderId="0" xfId="0" applyFont="1" applyFill="1" applyBorder="1" applyAlignment="1" applyProtection="1">
      <alignment horizontal="right"/>
    </xf>
    <xf numFmtId="1" fontId="14" fillId="5" borderId="0" xfId="0" applyNumberFormat="1" applyFont="1" applyFill="1" applyBorder="1" applyAlignment="1" applyProtection="1">
      <alignment horizontal="left"/>
    </xf>
    <xf numFmtId="1" fontId="14" fillId="5" borderId="0" xfId="0" applyNumberFormat="1" applyFont="1" applyFill="1" applyBorder="1" applyProtection="1"/>
    <xf numFmtId="0" fontId="14" fillId="5" borderId="14" xfId="0" applyFont="1" applyFill="1" applyBorder="1" applyProtection="1"/>
    <xf numFmtId="0" fontId="14" fillId="5" borderId="93" xfId="0" applyFont="1" applyFill="1" applyBorder="1" applyProtection="1"/>
    <xf numFmtId="0" fontId="14" fillId="6" borderId="10" xfId="0" applyFont="1" applyFill="1" applyBorder="1" applyAlignment="1" applyProtection="1">
      <alignment horizontal="right"/>
    </xf>
    <xf numFmtId="0" fontId="14" fillId="6" borderId="0" xfId="0" applyFont="1" applyFill="1" applyBorder="1" applyProtection="1"/>
    <xf numFmtId="0" fontId="14" fillId="5" borderId="25" xfId="0" applyFont="1" applyFill="1" applyBorder="1" applyProtection="1"/>
    <xf numFmtId="164" fontId="14" fillId="5" borderId="0" xfId="0" applyNumberFormat="1" applyFont="1" applyFill="1" applyBorder="1" applyAlignment="1" applyProtection="1">
      <alignment horizontal="right"/>
    </xf>
    <xf numFmtId="2" fontId="14" fillId="5" borderId="25" xfId="0" applyNumberFormat="1" applyFont="1" applyFill="1" applyBorder="1" applyProtection="1"/>
    <xf numFmtId="0" fontId="14" fillId="5" borderId="0" xfId="0" applyFont="1" applyFill="1" applyBorder="1" applyProtection="1"/>
    <xf numFmtId="0" fontId="14" fillId="5" borderId="11" xfId="0" applyFont="1" applyFill="1" applyBorder="1" applyProtection="1"/>
    <xf numFmtId="0" fontId="14" fillId="5" borderId="0" xfId="0" applyFont="1" applyFill="1" applyBorder="1" applyAlignment="1" applyProtection="1"/>
    <xf numFmtId="0" fontId="14" fillId="5" borderId="11" xfId="0" applyFont="1" applyFill="1" applyBorder="1" applyAlignment="1" applyProtection="1"/>
    <xf numFmtId="2" fontId="14" fillId="5" borderId="25" xfId="0" applyNumberFormat="1" applyFont="1" applyFill="1" applyBorder="1" applyAlignment="1" applyProtection="1"/>
    <xf numFmtId="1" fontId="14" fillId="5" borderId="0" xfId="0" applyNumberFormat="1" applyFont="1" applyFill="1" applyBorder="1" applyAlignment="1" applyProtection="1">
      <alignment horizontal="right"/>
    </xf>
    <xf numFmtId="164" fontId="14" fillId="5" borderId="25" xfId="0" applyNumberFormat="1" applyFont="1" applyFill="1" applyBorder="1" applyAlignment="1" applyProtection="1">
      <alignment horizontal="right"/>
    </xf>
    <xf numFmtId="0" fontId="0" fillId="6" borderId="0" xfId="0" applyFill="1" applyBorder="1" applyProtection="1"/>
    <xf numFmtId="2" fontId="14" fillId="5" borderId="0" xfId="0" applyNumberFormat="1" applyFont="1" applyFill="1" applyBorder="1" applyAlignment="1" applyProtection="1">
      <alignment horizontal="right"/>
    </xf>
    <xf numFmtId="0" fontId="46" fillId="6" borderId="10" xfId="0" applyFont="1" applyFill="1" applyBorder="1" applyAlignment="1" applyProtection="1">
      <alignment horizontal="left"/>
    </xf>
    <xf numFmtId="1" fontId="14" fillId="5" borderId="25" xfId="0" applyNumberFormat="1" applyFont="1" applyFill="1" applyBorder="1" applyProtection="1"/>
    <xf numFmtId="0" fontId="34" fillId="0" borderId="0" xfId="0" applyFont="1" applyFill="1" applyProtection="1"/>
    <xf numFmtId="0" fontId="14" fillId="6" borderId="22" xfId="0" applyFont="1" applyFill="1" applyBorder="1" applyAlignment="1" applyProtection="1">
      <alignment horizontal="right"/>
    </xf>
    <xf numFmtId="0" fontId="14" fillId="6" borderId="114" xfId="0" applyFont="1" applyFill="1" applyBorder="1" applyProtection="1"/>
    <xf numFmtId="0" fontId="14" fillId="5" borderId="89" xfId="0" applyFont="1" applyFill="1" applyBorder="1" applyProtection="1"/>
    <xf numFmtId="0" fontId="14" fillId="5" borderId="23" xfId="0" applyFont="1" applyFill="1" applyBorder="1" applyProtection="1"/>
    <xf numFmtId="0" fontId="14" fillId="5" borderId="24" xfId="0" applyFont="1" applyFill="1" applyBorder="1" applyProtection="1"/>
    <xf numFmtId="0" fontId="0" fillId="4" borderId="17" xfId="0" applyFill="1" applyBorder="1" applyProtection="1"/>
    <xf numFmtId="0" fontId="21" fillId="6" borderId="130" xfId="0" applyFont="1" applyFill="1" applyBorder="1" applyProtection="1"/>
    <xf numFmtId="0" fontId="0" fillId="6" borderId="141" xfId="0" applyFill="1" applyBorder="1" applyAlignment="1" applyProtection="1">
      <alignment horizontal="center"/>
    </xf>
    <xf numFmtId="0" fontId="0" fillId="6" borderId="128" xfId="0" applyFill="1" applyBorder="1" applyAlignment="1" applyProtection="1">
      <alignment horizontal="center"/>
    </xf>
    <xf numFmtId="1" fontId="12" fillId="6" borderId="105" xfId="0" applyNumberFormat="1" applyFont="1" applyFill="1" applyBorder="1" applyAlignment="1" applyProtection="1">
      <alignment horizontal="center"/>
    </xf>
    <xf numFmtId="0" fontId="14" fillId="0" borderId="0" xfId="0" applyFont="1" applyProtection="1"/>
    <xf numFmtId="0" fontId="0" fillId="5" borderId="26" xfId="0" applyFill="1" applyBorder="1"/>
    <xf numFmtId="0" fontId="14" fillId="5" borderId="26" xfId="0" applyFont="1" applyFill="1" applyBorder="1" applyProtection="1"/>
    <xf numFmtId="0" fontId="35" fillId="6" borderId="0" xfId="0" applyFont="1" applyFill="1" applyBorder="1"/>
    <xf numFmtId="0" fontId="44" fillId="6" borderId="0" xfId="0" applyFont="1" applyFill="1" applyBorder="1" applyAlignment="1">
      <alignment horizontal="right"/>
    </xf>
    <xf numFmtId="167" fontId="0" fillId="0" borderId="0" xfId="0" applyNumberFormat="1"/>
    <xf numFmtId="165" fontId="0" fillId="11" borderId="29" xfId="0" applyNumberFormat="1" applyFill="1" applyBorder="1" applyAlignment="1">
      <alignment horizontal="right"/>
    </xf>
    <xf numFmtId="170" fontId="18" fillId="0" borderId="39" xfId="0" applyNumberFormat="1" applyFont="1" applyBorder="1" applyAlignment="1">
      <alignment horizontal="center" vertical="center" wrapText="1"/>
    </xf>
    <xf numFmtId="0" fontId="5" fillId="0" borderId="0" xfId="0" applyFont="1" applyFill="1" applyBorder="1" applyAlignment="1">
      <alignment horizontal="right"/>
    </xf>
    <xf numFmtId="0" fontId="5" fillId="0" borderId="0" xfId="0" applyFont="1" applyFill="1" applyBorder="1" applyAlignment="1">
      <alignment horizontal="left"/>
    </xf>
    <xf numFmtId="0" fontId="5" fillId="0" borderId="0" xfId="0" applyFont="1" applyFill="1" applyBorder="1" applyAlignment="1">
      <alignment horizontal="center"/>
    </xf>
    <xf numFmtId="1" fontId="8" fillId="0" borderId="0" xfId="0" applyNumberFormat="1" applyFont="1" applyFill="1" applyBorder="1" applyAlignment="1">
      <alignment horizontal="left"/>
    </xf>
    <xf numFmtId="164" fontId="9" fillId="0" borderId="0" xfId="0" applyNumberFormat="1" applyFont="1" applyFill="1" applyBorder="1" applyAlignment="1">
      <alignment horizontal="left"/>
    </xf>
    <xf numFmtId="2" fontId="5" fillId="0" borderId="0" xfId="0" applyNumberFormat="1" applyFont="1" applyFill="1" applyBorder="1" applyAlignment="1">
      <alignment horizontal="left"/>
    </xf>
    <xf numFmtId="165" fontId="5"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wrapText="1"/>
    </xf>
    <xf numFmtId="0" fontId="6" fillId="0" borderId="0" xfId="0" applyFont="1" applyFill="1" applyBorder="1" applyAlignment="1">
      <alignment horizontal="left" wrapText="1"/>
    </xf>
    <xf numFmtId="1" fontId="6" fillId="0" borderId="0" xfId="0" applyNumberFormat="1" applyFont="1" applyFill="1" applyBorder="1" applyAlignment="1">
      <alignment horizontal="left"/>
    </xf>
    <xf numFmtId="0" fontId="6" fillId="0" borderId="0" xfId="0" applyFont="1" applyFill="1" applyBorder="1" applyAlignment="1">
      <alignment horizontal="center"/>
    </xf>
    <xf numFmtId="2" fontId="6" fillId="0" borderId="0" xfId="0" applyNumberFormat="1" applyFont="1" applyFill="1" applyBorder="1" applyAlignment="1">
      <alignment horizontal="left"/>
    </xf>
    <xf numFmtId="2" fontId="8" fillId="0" borderId="0" xfId="0" applyNumberFormat="1" applyFont="1" applyFill="1" applyBorder="1" applyAlignment="1">
      <alignment horizontal="left"/>
    </xf>
    <xf numFmtId="0" fontId="4" fillId="0" borderId="0" xfId="0" applyFont="1" applyFill="1" applyBorder="1" applyAlignment="1"/>
    <xf numFmtId="0" fontId="6" fillId="0" borderId="0" xfId="0" applyFont="1" applyFill="1" applyBorder="1" applyAlignment="1">
      <alignment wrapText="1"/>
    </xf>
    <xf numFmtId="0" fontId="6" fillId="0" borderId="0" xfId="0" applyNumberFormat="1" applyFont="1" applyFill="1" applyBorder="1" applyAlignment="1">
      <alignment vertical="center"/>
    </xf>
    <xf numFmtId="0" fontId="7" fillId="0" borderId="0" xfId="0" applyFont="1" applyFill="1" applyBorder="1" applyAlignment="1"/>
    <xf numFmtId="165" fontId="0" fillId="0" borderId="0" xfId="0" applyNumberFormat="1" applyFill="1" applyBorder="1"/>
    <xf numFmtId="0" fontId="0" fillId="0" borderId="158" xfId="0" applyBorder="1"/>
    <xf numFmtId="0" fontId="0" fillId="0" borderId="158" xfId="0" applyFill="1" applyBorder="1"/>
    <xf numFmtId="165" fontId="0" fillId="0" borderId="36" xfId="0" applyNumberFormat="1" applyBorder="1"/>
    <xf numFmtId="165" fontId="0" fillId="0" borderId="34" xfId="0" applyNumberFormat="1" applyBorder="1"/>
    <xf numFmtId="1" fontId="0" fillId="2" borderId="0" xfId="0" applyNumberFormat="1" applyFill="1" applyBorder="1"/>
    <xf numFmtId="0" fontId="0" fillId="0" borderId="159" xfId="0" applyBorder="1"/>
    <xf numFmtId="0" fontId="0" fillId="0" borderId="144" xfId="0" applyBorder="1"/>
    <xf numFmtId="0" fontId="20" fillId="2" borderId="160" xfId="0" applyFont="1" applyFill="1" applyBorder="1" applyAlignment="1"/>
    <xf numFmtId="0" fontId="20" fillId="2" borderId="107" xfId="0" applyFont="1" applyFill="1" applyBorder="1" applyAlignment="1"/>
    <xf numFmtId="0" fontId="20" fillId="2" borderId="161" xfId="0" applyFont="1" applyFill="1" applyBorder="1" applyAlignment="1"/>
    <xf numFmtId="0" fontId="0" fillId="2" borderId="80" xfId="0" applyFill="1" applyBorder="1"/>
    <xf numFmtId="0" fontId="0" fillId="2" borderId="81" xfId="0" applyFill="1" applyBorder="1"/>
    <xf numFmtId="0" fontId="11" fillId="2" borderId="0" xfId="0" applyFont="1" applyFill="1"/>
    <xf numFmtId="0" fontId="11" fillId="2" borderId="0" xfId="0" applyFont="1" applyFill="1" applyAlignment="1">
      <alignment horizontal="center"/>
    </xf>
    <xf numFmtId="0" fontId="11" fillId="2" borderId="162" xfId="0" applyFont="1" applyFill="1" applyBorder="1"/>
    <xf numFmtId="0" fontId="11" fillId="2" borderId="143" xfId="0" applyFont="1" applyFill="1" applyBorder="1"/>
    <xf numFmtId="0" fontId="0" fillId="2" borderId="12" xfId="0" applyFill="1" applyBorder="1"/>
    <xf numFmtId="165" fontId="0" fillId="2" borderId="17" xfId="0" applyNumberFormat="1" applyFill="1" applyBorder="1"/>
    <xf numFmtId="0" fontId="13" fillId="0" borderId="19" xfId="0" applyFont="1" applyBorder="1"/>
    <xf numFmtId="0" fontId="0" fillId="0" borderId="21" xfId="0" applyBorder="1"/>
    <xf numFmtId="165" fontId="0" fillId="2" borderId="21" xfId="0" applyNumberFormat="1" applyFill="1" applyBorder="1"/>
    <xf numFmtId="165" fontId="0" fillId="2" borderId="20" xfId="0" applyNumberFormat="1" applyFill="1" applyBorder="1"/>
    <xf numFmtId="165" fontId="0" fillId="2" borderId="26" xfId="0" applyNumberFormat="1" applyFill="1" applyBorder="1"/>
    <xf numFmtId="0" fontId="11" fillId="2" borderId="25" xfId="0" applyFont="1" applyFill="1" applyBorder="1"/>
    <xf numFmtId="0" fontId="0" fillId="2" borderId="16" xfId="0" applyFill="1" applyBorder="1"/>
    <xf numFmtId="165" fontId="0" fillId="2" borderId="18" xfId="0" applyNumberFormat="1" applyFill="1" applyBorder="1"/>
    <xf numFmtId="0" fontId="0" fillId="2" borderId="25" xfId="0" applyFill="1" applyBorder="1" applyAlignment="1">
      <alignment horizontal="right"/>
    </xf>
    <xf numFmtId="0" fontId="0" fillId="2" borderId="25" xfId="0" applyFont="1" applyFill="1" applyBorder="1"/>
    <xf numFmtId="2" fontId="0" fillId="2" borderId="0" xfId="0" applyNumberFormat="1" applyFill="1" applyBorder="1" applyAlignment="1">
      <alignment horizontal="right"/>
    </xf>
    <xf numFmtId="0" fontId="0" fillId="2" borderId="0" xfId="0" applyFont="1" applyFill="1" applyBorder="1" applyAlignment="1">
      <alignment horizontal="right"/>
    </xf>
    <xf numFmtId="0" fontId="22" fillId="0" borderId="48" xfId="0" applyFont="1" applyBorder="1"/>
    <xf numFmtId="0" fontId="0" fillId="0" borderId="48" xfId="0" applyBorder="1" applyAlignment="1">
      <alignment horizontal="right"/>
    </xf>
    <xf numFmtId="0" fontId="0" fillId="2" borderId="56" xfId="0" applyFill="1" applyBorder="1" applyAlignment="1">
      <alignment horizontal="right"/>
    </xf>
    <xf numFmtId="0" fontId="23" fillId="2" borderId="56" xfId="0" applyFont="1" applyFill="1" applyBorder="1" applyAlignment="1">
      <alignment horizontal="right"/>
    </xf>
    <xf numFmtId="0" fontId="0" fillId="2" borderId="56" xfId="0" applyFill="1" applyBorder="1"/>
    <xf numFmtId="0" fontId="0" fillId="0" borderId="163" xfId="0" applyBorder="1"/>
    <xf numFmtId="165" fontId="0" fillId="0" borderId="164" xfId="0" applyNumberFormat="1" applyBorder="1"/>
    <xf numFmtId="165" fontId="0" fillId="0" borderId="35" xfId="0" applyNumberFormat="1" applyBorder="1"/>
    <xf numFmtId="168" fontId="14" fillId="2" borderId="166" xfId="0" applyNumberFormat="1" applyFont="1" applyFill="1" applyBorder="1" applyAlignment="1"/>
    <xf numFmtId="168" fontId="14" fillId="2" borderId="167" xfId="0" applyNumberFormat="1" applyFont="1" applyFill="1" applyBorder="1" applyAlignment="1"/>
    <xf numFmtId="0" fontId="0" fillId="2" borderId="123" xfId="0" applyFill="1" applyBorder="1"/>
    <xf numFmtId="0" fontId="48" fillId="2" borderId="140" xfId="0" applyFont="1" applyFill="1" applyBorder="1" applyAlignment="1">
      <alignment horizontal="right"/>
    </xf>
    <xf numFmtId="165" fontId="14" fillId="2" borderId="125" xfId="0" applyNumberFormat="1" applyFont="1" applyFill="1" applyBorder="1" applyAlignment="1"/>
    <xf numFmtId="165" fontId="14" fillId="2" borderId="165" xfId="0" applyNumberFormat="1" applyFont="1" applyFill="1" applyBorder="1" applyAlignment="1"/>
    <xf numFmtId="0" fontId="0" fillId="2" borderId="139" xfId="0" applyFill="1" applyBorder="1"/>
    <xf numFmtId="165" fontId="14" fillId="2" borderId="115" xfId="0" applyNumberFormat="1" applyFont="1" applyFill="1" applyBorder="1" applyAlignment="1"/>
    <xf numFmtId="165" fontId="14" fillId="2" borderId="166" xfId="0" applyNumberFormat="1" applyFont="1" applyFill="1" applyBorder="1" applyAlignment="1"/>
    <xf numFmtId="165" fontId="14" fillId="2" borderId="47" xfId="0" applyNumberFormat="1" applyFont="1" applyFill="1" applyBorder="1" applyAlignment="1"/>
    <xf numFmtId="165" fontId="14" fillId="2" borderId="121" xfId="0" applyNumberFormat="1" applyFont="1" applyFill="1" applyBorder="1" applyAlignment="1"/>
    <xf numFmtId="165" fontId="14" fillId="0" borderId="0" xfId="0" applyNumberFormat="1" applyFont="1" applyFill="1" applyBorder="1" applyAlignment="1"/>
    <xf numFmtId="168" fontId="14" fillId="0" borderId="0" xfId="0" applyNumberFormat="1" applyFont="1" applyFill="1" applyBorder="1" applyAlignment="1"/>
    <xf numFmtId="0" fontId="48" fillId="0" borderId="0" xfId="0" applyFont="1" applyFill="1" applyBorder="1" applyAlignment="1">
      <alignment horizontal="right"/>
    </xf>
    <xf numFmtId="10" fontId="0" fillId="0" borderId="0" xfId="1" applyNumberFormat="1" applyFont="1" applyFill="1" applyBorder="1"/>
    <xf numFmtId="2" fontId="14" fillId="0" borderId="0" xfId="0" applyNumberFormat="1" applyFont="1" applyFill="1" applyBorder="1" applyAlignment="1"/>
    <xf numFmtId="0" fontId="23" fillId="0" borderId="0" xfId="0" applyFont="1" applyFill="1" applyBorder="1" applyAlignment="1">
      <alignment horizontal="right"/>
    </xf>
    <xf numFmtId="0" fontId="11" fillId="0" borderId="0" xfId="0" applyFont="1" applyFill="1"/>
    <xf numFmtId="0" fontId="11" fillId="0" borderId="36" xfId="0" applyFont="1" applyFill="1" applyBorder="1"/>
    <xf numFmtId="0" fontId="11" fillId="0" borderId="35" xfId="0" applyFont="1" applyFill="1" applyBorder="1"/>
    <xf numFmtId="0" fontId="0" fillId="7" borderId="17" xfId="0" applyFill="1" applyBorder="1" applyAlignment="1"/>
    <xf numFmtId="0" fontId="0" fillId="7" borderId="92" xfId="0" applyFill="1" applyBorder="1" applyAlignment="1"/>
    <xf numFmtId="0" fontId="0" fillId="7" borderId="0" xfId="0" applyFill="1" applyAlignment="1"/>
    <xf numFmtId="164" fontId="0" fillId="5" borderId="0" xfId="0" applyNumberFormat="1" applyFont="1" applyFill="1" applyBorder="1" applyAlignment="1">
      <alignment horizontal="center"/>
    </xf>
    <xf numFmtId="0" fontId="35" fillId="2" borderId="76" xfId="0" applyFont="1" applyFill="1" applyBorder="1"/>
    <xf numFmtId="164" fontId="14" fillId="2" borderId="4" xfId="0" applyNumberFormat="1" applyFont="1" applyFill="1" applyBorder="1"/>
    <xf numFmtId="1" fontId="14" fillId="5" borderId="25" xfId="0" applyNumberFormat="1" applyFont="1" applyFill="1" applyBorder="1" applyAlignment="1" applyProtection="1"/>
    <xf numFmtId="165" fontId="18" fillId="0" borderId="132" xfId="0" applyNumberFormat="1" applyFont="1" applyBorder="1" applyAlignment="1">
      <alignment horizontal="center" vertical="center" wrapText="1"/>
    </xf>
    <xf numFmtId="1" fontId="18" fillId="0" borderId="132" xfId="0" applyNumberFormat="1" applyFont="1" applyBorder="1" applyAlignment="1">
      <alignment horizontal="center" vertical="top" wrapText="1"/>
    </xf>
    <xf numFmtId="0" fontId="0" fillId="2" borderId="3" xfId="0" applyFill="1" applyBorder="1" applyAlignment="1">
      <alignment horizontal="center" wrapText="1"/>
    </xf>
    <xf numFmtId="0" fontId="54" fillId="0" borderId="0" xfId="0" applyFont="1" applyFill="1" applyBorder="1"/>
    <xf numFmtId="0" fontId="33" fillId="0" borderId="0" xfId="0" applyFont="1" applyFill="1" applyBorder="1" applyAlignment="1">
      <alignment horizontal="left" vertical="top"/>
    </xf>
    <xf numFmtId="166" fontId="0" fillId="2" borderId="0" xfId="0" applyNumberFormat="1" applyFill="1" applyBorder="1"/>
    <xf numFmtId="165" fontId="0" fillId="2" borderId="0" xfId="0" applyNumberFormat="1" applyFont="1" applyFill="1" applyBorder="1"/>
    <xf numFmtId="0" fontId="0" fillId="2" borderId="0" xfId="0" applyFont="1" applyFill="1" applyBorder="1"/>
    <xf numFmtId="0" fontId="35" fillId="0" borderId="48" xfId="0" applyFont="1" applyBorder="1"/>
    <xf numFmtId="0" fontId="0" fillId="0" borderId="41" xfId="0" applyFont="1" applyBorder="1"/>
    <xf numFmtId="0" fontId="0" fillId="2" borderId="25" xfId="0" applyFont="1" applyFill="1" applyBorder="1" applyAlignment="1">
      <alignment horizontal="right"/>
    </xf>
    <xf numFmtId="0" fontId="0" fillId="0" borderId="48" xfId="0" applyFont="1" applyBorder="1" applyAlignment="1">
      <alignment horizontal="right"/>
    </xf>
    <xf numFmtId="2" fontId="0" fillId="2" borderId="0" xfId="0" applyNumberFormat="1" applyFont="1" applyFill="1" applyBorder="1" applyAlignment="1">
      <alignment horizontal="right"/>
    </xf>
    <xf numFmtId="0" fontId="0" fillId="0" borderId="48" xfId="0" applyFont="1" applyBorder="1"/>
    <xf numFmtId="1" fontId="0" fillId="2" borderId="0" xfId="0" applyNumberFormat="1" applyFont="1" applyFill="1" applyBorder="1"/>
    <xf numFmtId="0" fontId="0" fillId="2" borderId="56" xfId="0" applyFont="1" applyFill="1" applyBorder="1" applyAlignment="1">
      <alignment horizontal="right"/>
    </xf>
    <xf numFmtId="0" fontId="0" fillId="2" borderId="56" xfId="0" applyFont="1" applyFill="1" applyBorder="1"/>
    <xf numFmtId="0" fontId="0" fillId="2" borderId="0" xfId="0" applyFont="1" applyFill="1"/>
    <xf numFmtId="0" fontId="0" fillId="0" borderId="0" xfId="0" applyFill="1" applyBorder="1" applyAlignment="1">
      <alignment horizontal="left" vertical="center"/>
    </xf>
    <xf numFmtId="0" fontId="0" fillId="0" borderId="13" xfId="0" applyBorder="1"/>
    <xf numFmtId="0" fontId="0" fillId="0" borderId="14" xfId="0" applyBorder="1"/>
    <xf numFmtId="0" fontId="0" fillId="0" borderId="15" xfId="0" applyBorder="1"/>
    <xf numFmtId="0" fontId="0" fillId="0" borderId="25" xfId="0" applyBorder="1"/>
    <xf numFmtId="0" fontId="0" fillId="0" borderId="26" xfId="0" applyBorder="1"/>
    <xf numFmtId="0" fontId="0" fillId="0" borderId="25" xfId="0" applyFill="1" applyBorder="1"/>
    <xf numFmtId="0" fontId="0" fillId="0" borderId="0" xfId="0" applyBorder="1" applyAlignment="1">
      <alignment horizontal="center"/>
    </xf>
    <xf numFmtId="0" fontId="0" fillId="0" borderId="0" xfId="0" quotePrefix="1" applyBorder="1" applyAlignment="1">
      <alignment horizontal="center"/>
    </xf>
    <xf numFmtId="0" fontId="0" fillId="0" borderId="26" xfId="0" applyBorder="1" applyAlignment="1">
      <alignment horizontal="center"/>
    </xf>
    <xf numFmtId="0" fontId="0" fillId="13" borderId="0" xfId="0" applyFill="1" applyBorder="1"/>
    <xf numFmtId="0" fontId="0" fillId="0" borderId="0" xfId="0" quotePrefix="1" applyBorder="1" applyAlignment="1">
      <alignment horizontal="right"/>
    </xf>
    <xf numFmtId="0" fontId="0" fillId="0" borderId="16" xfId="0" applyBorder="1"/>
    <xf numFmtId="0" fontId="0" fillId="0" borderId="17" xfId="0" applyBorder="1"/>
    <xf numFmtId="0" fontId="0" fillId="0" borderId="17" xfId="0" applyBorder="1" applyAlignment="1">
      <alignment horizontal="right"/>
    </xf>
    <xf numFmtId="0" fontId="0" fillId="13" borderId="17" xfId="0" applyFill="1" applyBorder="1"/>
    <xf numFmtId="0" fontId="0" fillId="0" borderId="18" xfId="0" applyBorder="1"/>
    <xf numFmtId="0" fontId="24" fillId="0" borderId="41" xfId="0" applyFont="1" applyBorder="1"/>
    <xf numFmtId="2" fontId="20" fillId="2" borderId="41" xfId="0" applyNumberFormat="1" applyFont="1" applyFill="1" applyBorder="1"/>
    <xf numFmtId="165" fontId="20" fillId="2" borderId="41" xfId="0" applyNumberFormat="1" applyFont="1" applyFill="1" applyBorder="1"/>
    <xf numFmtId="2" fontId="18" fillId="0" borderId="132" xfId="0" applyNumberFormat="1" applyFont="1" applyBorder="1" applyAlignment="1">
      <alignment horizontal="center" vertical="center" wrapText="1"/>
    </xf>
    <xf numFmtId="0" fontId="0" fillId="13" borderId="0" xfId="0" applyFill="1"/>
    <xf numFmtId="171" fontId="18" fillId="0" borderId="39" xfId="0" applyNumberFormat="1" applyFont="1" applyBorder="1" applyAlignment="1">
      <alignment horizontal="center" vertical="center" wrapText="1"/>
    </xf>
    <xf numFmtId="0" fontId="0" fillId="2" borderId="0" xfId="0" applyNumberFormat="1" applyFill="1" applyBorder="1"/>
    <xf numFmtId="0" fontId="0" fillId="2" borderId="6" xfId="0" applyNumberFormat="1" applyFill="1" applyBorder="1"/>
    <xf numFmtId="0" fontId="0" fillId="14" borderId="0" xfId="0" applyFill="1" applyBorder="1"/>
    <xf numFmtId="1" fontId="11" fillId="14" borderId="64" xfId="0" applyNumberFormat="1" applyFont="1" applyFill="1" applyBorder="1"/>
    <xf numFmtId="1" fontId="11" fillId="14" borderId="59" xfId="0" applyNumberFormat="1" applyFont="1" applyFill="1" applyBorder="1"/>
    <xf numFmtId="0" fontId="11" fillId="14" borderId="35" xfId="0" applyFont="1" applyFill="1" applyBorder="1"/>
    <xf numFmtId="0" fontId="11" fillId="14" borderId="36" xfId="0" applyFont="1" applyFill="1" applyBorder="1"/>
    <xf numFmtId="0" fontId="0" fillId="14" borderId="13" xfId="0" applyFill="1" applyBorder="1"/>
    <xf numFmtId="0" fontId="0" fillId="14" borderId="14" xfId="0" applyFill="1" applyBorder="1"/>
    <xf numFmtId="1" fontId="0" fillId="14" borderId="14" xfId="0" applyNumberFormat="1" applyFill="1" applyBorder="1"/>
    <xf numFmtId="0" fontId="0" fillId="14" borderId="15" xfId="0" applyFill="1" applyBorder="1"/>
    <xf numFmtId="0" fontId="0" fillId="14" borderId="25" xfId="0" applyFill="1" applyBorder="1"/>
    <xf numFmtId="0" fontId="0" fillId="14" borderId="26" xfId="0" applyFill="1" applyBorder="1"/>
    <xf numFmtId="1" fontId="0" fillId="14" borderId="0" xfId="0" applyNumberFormat="1" applyFill="1" applyBorder="1"/>
    <xf numFmtId="164" fontId="0" fillId="14" borderId="0" xfId="0" applyNumberFormat="1" applyFill="1" applyBorder="1"/>
    <xf numFmtId="0" fontId="23" fillId="14" borderId="25" xfId="0" applyFont="1" applyFill="1" applyBorder="1"/>
    <xf numFmtId="2" fontId="23" fillId="14" borderId="0" xfId="0" applyNumberFormat="1" applyFont="1" applyFill="1" applyBorder="1"/>
    <xf numFmtId="0" fontId="0" fillId="14" borderId="16" xfId="0" applyFill="1" applyBorder="1"/>
    <xf numFmtId="0" fontId="0" fillId="14" borderId="17" xfId="0" applyFill="1" applyBorder="1"/>
    <xf numFmtId="0" fontId="0" fillId="14" borderId="18" xfId="0" applyFill="1" applyBorder="1"/>
    <xf numFmtId="0" fontId="11" fillId="14" borderId="168" xfId="0" applyFont="1" applyFill="1" applyBorder="1"/>
    <xf numFmtId="2" fontId="0" fillId="14" borderId="0" xfId="0" applyNumberFormat="1" applyFill="1" applyBorder="1"/>
    <xf numFmtId="0" fontId="0" fillId="14" borderId="25" xfId="0" applyFill="1" applyBorder="1" applyAlignment="1">
      <alignment horizontal="left"/>
    </xf>
    <xf numFmtId="2" fontId="0" fillId="14" borderId="14" xfId="0" applyNumberFormat="1" applyFill="1" applyBorder="1"/>
    <xf numFmtId="0" fontId="11" fillId="14" borderId="169" xfId="0" applyFont="1" applyFill="1" applyBorder="1"/>
    <xf numFmtId="0" fontId="11" fillId="14" borderId="170" xfId="0" applyFont="1" applyFill="1" applyBorder="1"/>
    <xf numFmtId="164" fontId="0" fillId="14" borderId="17" xfId="0" applyNumberFormat="1" applyFill="1" applyBorder="1"/>
    <xf numFmtId="2" fontId="0" fillId="14" borderId="17" xfId="0" applyNumberFormat="1" applyFill="1" applyBorder="1"/>
    <xf numFmtId="0" fontId="0" fillId="0" borderId="0" xfId="0" applyAlignment="1">
      <alignment wrapText="1"/>
    </xf>
    <xf numFmtId="14" fontId="0" fillId="0" borderId="0" xfId="0" applyNumberFormat="1" applyAlignment="1">
      <alignment horizontal="right"/>
    </xf>
    <xf numFmtId="2" fontId="14" fillId="6" borderId="0" xfId="0" applyNumberFormat="1" applyFont="1" applyFill="1" applyBorder="1" applyAlignment="1" applyProtection="1">
      <alignment horizontal="right"/>
      <protection locked="0"/>
    </xf>
    <xf numFmtId="0" fontId="2" fillId="7" borderId="16" xfId="0" applyFont="1" applyFill="1" applyBorder="1" applyAlignment="1" applyProtection="1">
      <alignment horizontal="left"/>
    </xf>
    <xf numFmtId="0" fontId="2" fillId="7" borderId="17" xfId="0" applyFont="1" applyFill="1" applyBorder="1" applyAlignment="1" applyProtection="1">
      <alignment horizontal="left"/>
    </xf>
    <xf numFmtId="0" fontId="18" fillId="0" borderId="132" xfId="0" applyFont="1" applyBorder="1" applyAlignment="1">
      <alignment horizontal="center" vertical="center" wrapText="1"/>
    </xf>
    <xf numFmtId="0" fontId="18" fillId="0" borderId="39" xfId="0" applyFont="1" applyBorder="1" applyAlignment="1">
      <alignment horizontal="center" vertical="center" wrapText="1"/>
    </xf>
    <xf numFmtId="170" fontId="18" fillId="0" borderId="16" xfId="0" applyNumberFormat="1" applyFont="1" applyBorder="1" applyAlignment="1">
      <alignment horizontal="center" vertical="top" wrapText="1"/>
    </xf>
    <xf numFmtId="170" fontId="18" fillId="0" borderId="18" xfId="0" applyNumberFormat="1" applyFont="1" applyBorder="1" applyAlignment="1">
      <alignment horizontal="center" vertical="top" wrapText="1"/>
    </xf>
    <xf numFmtId="171" fontId="18" fillId="0" borderId="16" xfId="0" applyNumberFormat="1" applyFont="1" applyBorder="1" applyAlignment="1">
      <alignment horizontal="center" vertical="top" wrapText="1"/>
    </xf>
    <xf numFmtId="171" fontId="18" fillId="0" borderId="18" xfId="0" applyNumberFormat="1" applyFont="1" applyBorder="1" applyAlignment="1">
      <alignment horizontal="center" vertical="top" wrapText="1"/>
    </xf>
    <xf numFmtId="1" fontId="5" fillId="0" borderId="42" xfId="0" applyNumberFormat="1" applyFont="1" applyBorder="1" applyAlignment="1">
      <alignment horizontal="left" vertical="center" wrapText="1"/>
    </xf>
    <xf numFmtId="1" fontId="5" fillId="0" borderId="87" xfId="0" applyNumberFormat="1" applyFont="1" applyBorder="1" applyAlignment="1">
      <alignment horizontal="left" vertical="center" wrapText="1"/>
    </xf>
    <xf numFmtId="1" fontId="5" fillId="0" borderId="56" xfId="0" applyNumberFormat="1" applyFont="1" applyBorder="1" applyAlignment="1">
      <alignment horizontal="left" vertical="center" wrapText="1"/>
    </xf>
    <xf numFmtId="1" fontId="5" fillId="0" borderId="88" xfId="0" applyNumberFormat="1" applyFont="1" applyBorder="1" applyAlignment="1">
      <alignment horizontal="left" vertical="center" wrapText="1"/>
    </xf>
    <xf numFmtId="1" fontId="5" fillId="0" borderId="43" xfId="0" applyNumberFormat="1" applyFont="1" applyBorder="1" applyAlignment="1">
      <alignment horizontal="left" vertical="center" wrapText="1"/>
    </xf>
    <xf numFmtId="1" fontId="5" fillId="0" borderId="44" xfId="0" applyNumberFormat="1" applyFont="1" applyBorder="1" applyAlignment="1">
      <alignment horizontal="left" vertical="center" wrapText="1"/>
    </xf>
    <xf numFmtId="1" fontId="18" fillId="0" borderId="16" xfId="0" applyNumberFormat="1" applyFont="1" applyBorder="1" applyAlignment="1">
      <alignment horizontal="center" vertical="top" wrapText="1"/>
    </xf>
    <xf numFmtId="1" fontId="18" fillId="0" borderId="18" xfId="0" applyNumberFormat="1" applyFont="1" applyBorder="1" applyAlignment="1">
      <alignment horizontal="center" vertical="top" wrapText="1"/>
    </xf>
    <xf numFmtId="0" fontId="19" fillId="8" borderId="19" xfId="0" applyFont="1" applyFill="1" applyBorder="1" applyAlignment="1">
      <alignment horizontal="center" vertical="top" wrapText="1"/>
    </xf>
    <xf numFmtId="0" fontId="19" fillId="8" borderId="21" xfId="0" applyFont="1" applyFill="1" applyBorder="1" applyAlignment="1">
      <alignment horizontal="center" vertical="top" wrapText="1"/>
    </xf>
    <xf numFmtId="164" fontId="18" fillId="0" borderId="132" xfId="0" applyNumberFormat="1" applyFont="1" applyBorder="1" applyAlignment="1">
      <alignment horizontal="center" vertical="top" wrapText="1"/>
    </xf>
    <xf numFmtId="0" fontId="19" fillId="8" borderId="20" xfId="0" applyFont="1" applyFill="1" applyBorder="1" applyAlignment="1">
      <alignment horizontal="center" vertical="top" wrapText="1"/>
    </xf>
    <xf numFmtId="2" fontId="18" fillId="0" borderId="132" xfId="0" applyNumberFormat="1" applyFont="1" applyBorder="1" applyAlignment="1">
      <alignment horizontal="center" vertical="top" wrapText="1"/>
    </xf>
    <xf numFmtId="1" fontId="18" fillId="0" borderId="132" xfId="0" applyNumberFormat="1" applyFont="1" applyBorder="1" applyAlignment="1">
      <alignment horizontal="center" vertical="center"/>
    </xf>
    <xf numFmtId="1" fontId="18" fillId="0" borderId="39" xfId="0" applyNumberFormat="1" applyFont="1" applyBorder="1" applyAlignment="1">
      <alignment horizontal="center" vertical="center"/>
    </xf>
    <xf numFmtId="0" fontId="5" fillId="0" borderId="47" xfId="0" applyFont="1" applyBorder="1" applyAlignment="1">
      <alignment horizontal="right"/>
    </xf>
    <xf numFmtId="0" fontId="5" fillId="0" borderId="48" xfId="0" applyFont="1" applyBorder="1" applyAlignment="1">
      <alignment horizontal="right"/>
    </xf>
    <xf numFmtId="1" fontId="18" fillId="0" borderId="0" xfId="0" applyNumberFormat="1" applyFont="1" applyBorder="1" applyAlignment="1">
      <alignment horizontal="center" vertical="top" wrapText="1"/>
    </xf>
    <xf numFmtId="0" fontId="19" fillId="2" borderId="0" xfId="0" applyFont="1" applyFill="1" applyBorder="1" applyAlignment="1">
      <alignment horizontal="center" vertical="top" wrapText="1"/>
    </xf>
    <xf numFmtId="0" fontId="15" fillId="8" borderId="3" xfId="0" applyFont="1" applyFill="1" applyBorder="1" applyAlignment="1">
      <alignment horizontal="center"/>
    </xf>
    <xf numFmtId="0" fontId="15" fillId="8" borderId="4" xfId="0" applyFont="1" applyFill="1" applyBorder="1" applyAlignment="1">
      <alignment horizontal="center"/>
    </xf>
    <xf numFmtId="0" fontId="0" fillId="2" borderId="40" xfId="0" applyFill="1" applyBorder="1" applyAlignment="1">
      <alignment horizontal="center" wrapText="1"/>
    </xf>
    <xf numFmtId="0" fontId="0" fillId="2" borderId="76" xfId="0" applyFill="1" applyBorder="1" applyAlignment="1">
      <alignment horizontal="center" wrapText="1"/>
    </xf>
    <xf numFmtId="0" fontId="0" fillId="0" borderId="40" xfId="0" applyBorder="1" applyAlignment="1" applyProtection="1">
      <alignment horizontal="center" wrapText="1"/>
    </xf>
    <xf numFmtId="0" fontId="0" fillId="0" borderId="76" xfId="0" applyBorder="1" applyAlignment="1" applyProtection="1">
      <alignment horizontal="center" wrapText="1"/>
    </xf>
    <xf numFmtId="0" fontId="20" fillId="0" borderId="62" xfId="0" applyFont="1" applyBorder="1" applyAlignment="1" applyProtection="1">
      <alignment horizontal="center"/>
    </xf>
    <xf numFmtId="0" fontId="20" fillId="0" borderId="63" xfId="0" applyFont="1" applyBorder="1" applyAlignment="1" applyProtection="1">
      <alignment horizontal="center"/>
    </xf>
    <xf numFmtId="0" fontId="20" fillId="0" borderId="64" xfId="0" applyFont="1" applyBorder="1" applyAlignment="1" applyProtection="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6" fillId="2" borderId="13" xfId="0" applyFont="1" applyFill="1" applyBorder="1" applyAlignment="1">
      <alignment horizontal="center" wrapText="1"/>
    </xf>
    <xf numFmtId="0" fontId="6" fillId="2" borderId="15" xfId="0" applyFont="1" applyFill="1" applyBorder="1" applyAlignment="1">
      <alignment horizontal="center" wrapText="1"/>
    </xf>
    <xf numFmtId="0" fontId="6" fillId="2" borderId="25" xfId="0" applyFont="1" applyFill="1" applyBorder="1" applyAlignment="1">
      <alignment horizontal="center" wrapText="1"/>
    </xf>
    <xf numFmtId="0" fontId="6" fillId="2" borderId="26" xfId="0" applyFont="1" applyFill="1" applyBorder="1" applyAlignment="1">
      <alignment horizontal="center" wrapText="1"/>
    </xf>
    <xf numFmtId="0" fontId="6" fillId="2" borderId="16" xfId="0" applyFont="1" applyFill="1" applyBorder="1" applyAlignment="1">
      <alignment horizontal="center" wrapText="1"/>
    </xf>
    <xf numFmtId="0" fontId="6" fillId="2" borderId="18" xfId="0" applyFont="1" applyFill="1" applyBorder="1" applyAlignment="1">
      <alignment horizontal="center" wrapText="1"/>
    </xf>
    <xf numFmtId="0" fontId="6" fillId="2" borderId="13" xfId="0" applyNumberFormat="1" applyFont="1" applyFill="1" applyBorder="1" applyAlignment="1">
      <alignment horizontal="center" vertical="center"/>
    </xf>
    <xf numFmtId="0" fontId="6" fillId="2" borderId="14" xfId="0" applyNumberFormat="1" applyFont="1" applyFill="1" applyBorder="1" applyAlignment="1">
      <alignment horizontal="center" vertical="center"/>
    </xf>
    <xf numFmtId="0" fontId="6" fillId="2" borderId="16"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7" fillId="2" borderId="19"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0" fillId="0" borderId="40" xfId="0" applyBorder="1" applyAlignment="1">
      <alignment horizontal="center" wrapText="1"/>
    </xf>
    <xf numFmtId="0" fontId="0" fillId="0" borderId="76" xfId="0" applyBorder="1" applyAlignment="1">
      <alignment horizontal="center" wrapText="1"/>
    </xf>
    <xf numFmtId="0" fontId="0" fillId="2" borderId="1" xfId="0" applyFill="1" applyBorder="1" applyAlignment="1">
      <alignment horizontal="center" wrapText="1"/>
    </xf>
    <xf numFmtId="0" fontId="0" fillId="2" borderId="3" xfId="0" applyFill="1" applyBorder="1" applyAlignment="1">
      <alignment horizontal="center" wrapText="1"/>
    </xf>
    <xf numFmtId="0" fontId="20" fillId="0" borderId="62" xfId="0" applyFont="1" applyBorder="1" applyAlignment="1">
      <alignment horizontal="center"/>
    </xf>
    <xf numFmtId="0" fontId="20" fillId="0" borderId="63" xfId="0" applyFont="1" applyBorder="1" applyAlignment="1">
      <alignment horizontal="center"/>
    </xf>
    <xf numFmtId="0" fontId="20" fillId="0" borderId="64" xfId="0" applyFont="1" applyBorder="1" applyAlignment="1">
      <alignment horizontal="center"/>
    </xf>
    <xf numFmtId="0" fontId="11" fillId="2" borderId="0" xfId="0" applyFont="1" applyFill="1" applyAlignment="1">
      <alignment horizontal="center" vertical="top" wrapText="1"/>
    </xf>
    <xf numFmtId="0" fontId="11" fillId="2" borderId="0" xfId="0" applyFont="1" applyFill="1" applyAlignment="1">
      <alignment horizontal="center" wrapText="1"/>
    </xf>
  </cellXfs>
  <cellStyles count="3">
    <cellStyle name="Comma" xfId="2" builtinId="3"/>
    <cellStyle name="Normal" xfId="0" builtinId="0"/>
    <cellStyle name="Percent" xfId="1" builtinId="5"/>
  </cellStyles>
  <dxfs count="39">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9"/>
        </patternFill>
      </fill>
    </dxf>
    <dxf>
      <numFmt numFmtId="171" formatCode="\(0.00\)"/>
    </dxf>
    <dxf>
      <numFmt numFmtId="1" formatCode="0"/>
    </dxf>
    <dxf>
      <numFmt numFmtId="171" formatCode="\(0.00\)"/>
    </dxf>
    <dxf>
      <numFmt numFmtId="1" formatCode="0"/>
    </dxf>
    <dxf>
      <fill>
        <patternFill>
          <bgColor rgb="FFFFFF00"/>
        </patternFill>
      </fill>
    </dxf>
    <dxf>
      <font>
        <color rgb="FF9C0006"/>
      </font>
      <fill>
        <patternFill>
          <bgColor rgb="FFFFC7CE"/>
        </patternFill>
      </fill>
    </dxf>
    <dxf>
      <font>
        <color rgb="FF9C0006"/>
      </font>
      <fill>
        <patternFill>
          <bgColor rgb="FFFFC2CE"/>
        </patternFill>
      </fill>
    </dxf>
    <dxf>
      <font>
        <color rgb="FF9C0006"/>
      </font>
      <fill>
        <patternFill>
          <bgColor rgb="FFFFC2CE"/>
        </patternFill>
      </fill>
    </dxf>
    <dxf>
      <font>
        <color rgb="FF9C0006"/>
      </font>
      <fill>
        <patternFill>
          <bgColor rgb="FFFFC2CE"/>
        </patternFill>
      </fill>
    </dxf>
    <dxf>
      <font>
        <color rgb="FF9C0006"/>
      </font>
      <fill>
        <patternFill>
          <bgColor rgb="FFFFC2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499984740745262"/>
      </font>
      <fill>
        <patternFill>
          <bgColor rgb="FFF5C565"/>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theme="5" tint="-0.499984740745262"/>
      </font>
      <fill>
        <patternFill>
          <bgColor rgb="FFF5C565"/>
        </patternFill>
      </fill>
    </dxf>
    <dxf>
      <font>
        <color rgb="FF9C0006"/>
      </font>
      <fill>
        <patternFill>
          <bgColor rgb="FFFFC2CE"/>
        </patternFill>
      </fill>
    </dxf>
    <dxf>
      <font>
        <color rgb="FF9C0006"/>
      </font>
      <fill>
        <patternFill>
          <bgColor rgb="FFFFC2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5C565"/>
      <color rgb="FFFCE7D8"/>
      <color rgb="FFB5520F"/>
      <color rgb="FF9C0006"/>
      <color rgb="FFFFC7CE"/>
      <color rgb="FFFF6D80"/>
      <color rgb="FFC70006"/>
      <color rgb="FFFF0006"/>
      <color rgb="FFFF7C80"/>
      <color rgb="FFFFC2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646.69999999999993</c:v>
              </c:pt>
              <c:pt idx="1">
                <c:v>674.13999999999987</c:v>
              </c:pt>
              <c:pt idx="2">
                <c:v>701.57999999999993</c:v>
              </c:pt>
              <c:pt idx="3">
                <c:v>729.06</c:v>
              </c:pt>
              <c:pt idx="4">
                <c:v>756.49999999999989</c:v>
              </c:pt>
              <c:pt idx="5">
                <c:v>797.95999999999992</c:v>
              </c:pt>
              <c:pt idx="6">
                <c:v>825.39999999999986</c:v>
              </c:pt>
              <c:pt idx="7">
                <c:v>852.92</c:v>
              </c:pt>
              <c:pt idx="8">
                <c:v>880.3599999999999</c:v>
              </c:pt>
              <c:pt idx="9">
                <c:v>907.8</c:v>
              </c:pt>
            </c:numLit>
          </c:yVal>
          <c:smooth val="0"/>
          <c:extLst>
            <c:ext xmlns:c16="http://schemas.microsoft.com/office/drawing/2014/chart" uri="{C3380CC4-5D6E-409C-BE32-E72D297353CC}">
              <c16:uniqueId val="{00000000-E5E7-4722-AAAF-5C5F5A59A9B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6.5701000000000001</c:v>
              </c:pt>
              <c:pt idx="1">
                <c:v>8.3125</c:v>
              </c:pt>
              <c:pt idx="2">
                <c:v>10.0549</c:v>
              </c:pt>
              <c:pt idx="3">
                <c:v>11.7973</c:v>
              </c:pt>
              <c:pt idx="4">
                <c:v>13.5397</c:v>
              </c:pt>
              <c:pt idx="5">
                <c:v>15.2821</c:v>
              </c:pt>
              <c:pt idx="6">
                <c:v>17.0245</c:v>
              </c:pt>
              <c:pt idx="7">
                <c:v>18.7669</c:v>
              </c:pt>
              <c:pt idx="8">
                <c:v>29.621200000000002</c:v>
              </c:pt>
              <c:pt idx="9">
                <c:v>31.594000000000001</c:v>
              </c:pt>
              <c:pt idx="10">
                <c:v>33.566800000000001</c:v>
              </c:pt>
              <c:pt idx="11">
                <c:v>35.5396</c:v>
              </c:pt>
              <c:pt idx="12">
                <c:v>37.5124</c:v>
              </c:pt>
              <c:pt idx="13">
                <c:v>39.485199999999999</c:v>
              </c:pt>
              <c:pt idx="14">
                <c:v>41.457999999999998</c:v>
              </c:pt>
              <c:pt idx="15">
                <c:v>43.430800000000005</c:v>
              </c:pt>
              <c:pt idx="16">
                <c:v>45.403599999999997</c:v>
              </c:pt>
              <c:pt idx="17">
                <c:v>47.376400000000004</c:v>
              </c:pt>
              <c:pt idx="18">
                <c:v>49.349200000000003</c:v>
              </c:pt>
              <c:pt idx="19">
                <c:v>51.322000000000003</c:v>
              </c:pt>
            </c:numLit>
          </c:yVal>
          <c:smooth val="0"/>
          <c:extLst>
            <c:ext xmlns:c16="http://schemas.microsoft.com/office/drawing/2014/chart" uri="{C3380CC4-5D6E-409C-BE32-E72D297353CC}">
              <c16:uniqueId val="{00000000-255E-43EF-9216-B940A83E488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100.08000000000003</c:v>
              </c:pt>
              <c:pt idx="1">
                <c:v>133.28000000000003</c:v>
              </c:pt>
              <c:pt idx="2">
                <c:v>166.48000000000002</c:v>
              </c:pt>
              <c:pt idx="3">
                <c:v>199.68</c:v>
              </c:pt>
              <c:pt idx="4">
                <c:v>232.88</c:v>
              </c:pt>
              <c:pt idx="5">
                <c:v>282.92</c:v>
              </c:pt>
              <c:pt idx="6">
                <c:v>316.12</c:v>
              </c:pt>
              <c:pt idx="7">
                <c:v>349.32</c:v>
              </c:pt>
              <c:pt idx="8">
                <c:v>382.52</c:v>
              </c:pt>
              <c:pt idx="9">
                <c:v>415.71999999999997</c:v>
              </c:pt>
              <c:pt idx="10">
                <c:v>465.76</c:v>
              </c:pt>
              <c:pt idx="11">
                <c:v>498.96</c:v>
              </c:pt>
              <c:pt idx="12">
                <c:v>532.16</c:v>
              </c:pt>
              <c:pt idx="13">
                <c:v>565.3599999999999</c:v>
              </c:pt>
              <c:pt idx="14">
                <c:v>598.55999999999995</c:v>
              </c:pt>
              <c:pt idx="15">
                <c:v>648.59999999999991</c:v>
              </c:pt>
              <c:pt idx="16">
                <c:v>681.8</c:v>
              </c:pt>
              <c:pt idx="17">
                <c:v>714.99999999999989</c:v>
              </c:pt>
              <c:pt idx="18">
                <c:v>748.19999999999982</c:v>
              </c:pt>
              <c:pt idx="19">
                <c:v>781.39999999999986</c:v>
              </c:pt>
            </c:numLit>
          </c:yVal>
          <c:smooth val="0"/>
          <c:extLst>
            <c:ext xmlns:c16="http://schemas.microsoft.com/office/drawing/2014/chart" uri="{C3380CC4-5D6E-409C-BE32-E72D297353CC}">
              <c16:uniqueId val="{00000000-825B-4ACD-A37B-F9E33982A174}"/>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46.08</c:v>
              </c:pt>
              <c:pt idx="1">
                <c:v>46.08</c:v>
              </c:pt>
              <c:pt idx="2">
                <c:v>46.08</c:v>
              </c:pt>
              <c:pt idx="3">
                <c:v>46.08</c:v>
              </c:pt>
              <c:pt idx="4">
                <c:v>46.08</c:v>
              </c:pt>
              <c:pt idx="5">
                <c:v>46.08</c:v>
              </c:pt>
              <c:pt idx="6">
                <c:v>46.08</c:v>
              </c:pt>
              <c:pt idx="7">
                <c:v>46.08</c:v>
              </c:pt>
              <c:pt idx="8">
                <c:v>46.08</c:v>
              </c:pt>
              <c:pt idx="9">
                <c:v>46.08</c:v>
              </c:pt>
              <c:pt idx="10">
                <c:v>46.08</c:v>
              </c:pt>
              <c:pt idx="11">
                <c:v>46.08</c:v>
              </c:pt>
              <c:pt idx="12">
                <c:v>46.08</c:v>
              </c:pt>
              <c:pt idx="13">
                <c:v>46.08</c:v>
              </c:pt>
              <c:pt idx="14">
                <c:v>46.08</c:v>
              </c:pt>
              <c:pt idx="15">
                <c:v>46.08</c:v>
              </c:pt>
              <c:pt idx="16">
                <c:v>46.08</c:v>
              </c:pt>
              <c:pt idx="17">
                <c:v>46.08</c:v>
              </c:pt>
              <c:pt idx="18">
                <c:v>46.08</c:v>
              </c:pt>
              <c:pt idx="19">
                <c:v>46.08</c:v>
              </c:pt>
            </c:numLit>
          </c:yVal>
          <c:smooth val="0"/>
          <c:extLst>
            <c:ext xmlns:c16="http://schemas.microsoft.com/office/drawing/2014/chart" uri="{C3380CC4-5D6E-409C-BE32-E72D297353CC}">
              <c16:uniqueId val="{00000000-A429-4946-88EC-D4BC11C8ED5D}"/>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3.1103999999999998</c:v>
              </c:pt>
              <c:pt idx="1">
                <c:v>4.6655999999999995</c:v>
              </c:pt>
              <c:pt idx="2">
                <c:v>6.2207999999999997</c:v>
              </c:pt>
              <c:pt idx="3">
                <c:v>7.7759999999999998</c:v>
              </c:pt>
              <c:pt idx="4">
                <c:v>9.3311999999999991</c:v>
              </c:pt>
              <c:pt idx="5">
                <c:v>10.8864</c:v>
              </c:pt>
              <c:pt idx="6">
                <c:v>12.441599999999999</c:v>
              </c:pt>
              <c:pt idx="7">
                <c:v>13.9968</c:v>
              </c:pt>
              <c:pt idx="8">
                <c:v>15.552</c:v>
              </c:pt>
              <c:pt idx="9">
                <c:v>17.107199999999999</c:v>
              </c:pt>
              <c:pt idx="10">
                <c:v>18.662399999999998</c:v>
              </c:pt>
              <c:pt idx="11">
                <c:v>20.217600000000001</c:v>
              </c:pt>
              <c:pt idx="12">
                <c:v>21.7728</c:v>
              </c:pt>
              <c:pt idx="13">
                <c:v>23.327999999999999</c:v>
              </c:pt>
              <c:pt idx="14">
                <c:v>24.883199999999999</c:v>
              </c:pt>
              <c:pt idx="15">
                <c:v>26.438399999999998</c:v>
              </c:pt>
              <c:pt idx="16">
                <c:v>27.993600000000001</c:v>
              </c:pt>
              <c:pt idx="17">
                <c:v>29.5488</c:v>
              </c:pt>
              <c:pt idx="18">
                <c:v>31.103999999999999</c:v>
              </c:pt>
              <c:pt idx="19">
                <c:v>32.659199999999998</c:v>
              </c:pt>
            </c:numLit>
          </c:yVal>
          <c:smooth val="0"/>
          <c:extLst>
            <c:ext xmlns:c16="http://schemas.microsoft.com/office/drawing/2014/chart" uri="{C3380CC4-5D6E-409C-BE32-E72D297353CC}">
              <c16:uniqueId val="{00000001-A429-4946-88EC-D4BC11C8ED5D}"/>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c:v>
              </c:pt>
              <c:pt idx="1">
                <c:v>4</c:v>
              </c:pt>
              <c:pt idx="2">
                <c:v>4</c:v>
              </c:pt>
              <c:pt idx="3">
                <c:v>4</c:v>
              </c:pt>
              <c:pt idx="4">
                <c:v>4</c:v>
              </c:pt>
              <c:pt idx="5">
                <c:v>6</c:v>
              </c:pt>
              <c:pt idx="6">
                <c:v>6</c:v>
              </c:pt>
              <c:pt idx="7">
                <c:v>6</c:v>
              </c:pt>
              <c:pt idx="8">
                <c:v>6</c:v>
              </c:pt>
              <c:pt idx="9">
                <c:v>6</c:v>
              </c:pt>
              <c:pt idx="10">
                <c:v>8</c:v>
              </c:pt>
              <c:pt idx="11">
                <c:v>8</c:v>
              </c:pt>
              <c:pt idx="12">
                <c:v>8</c:v>
              </c:pt>
              <c:pt idx="13">
                <c:v>8</c:v>
              </c:pt>
              <c:pt idx="14">
                <c:v>8</c:v>
              </c:pt>
              <c:pt idx="15">
                <c:v>10</c:v>
              </c:pt>
              <c:pt idx="16">
                <c:v>10</c:v>
              </c:pt>
              <c:pt idx="17">
                <c:v>10</c:v>
              </c:pt>
              <c:pt idx="18">
                <c:v>10</c:v>
              </c:pt>
              <c:pt idx="19">
                <c:v>10</c:v>
              </c:pt>
            </c:numLit>
          </c:yVal>
          <c:smooth val="0"/>
          <c:extLst>
            <c:ext xmlns:c16="http://schemas.microsoft.com/office/drawing/2014/chart" uri="{C3380CC4-5D6E-409C-BE32-E72D297353CC}">
              <c16:uniqueId val="{00000002-A429-4946-88EC-D4BC11C8ED5D}"/>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31.31999999999999</c:v>
              </c:pt>
              <c:pt idx="11">
                <c:v>31.31999999999999</c:v>
              </c:pt>
              <c:pt idx="12">
                <c:v>31.31999999999999</c:v>
              </c:pt>
              <c:pt idx="13">
                <c:v>31.31999999999999</c:v>
              </c:pt>
              <c:pt idx="14">
                <c:v>31.31999999999999</c:v>
              </c:pt>
              <c:pt idx="15">
                <c:v>46.979999999999983</c:v>
              </c:pt>
              <c:pt idx="16">
                <c:v>46.979999999999983</c:v>
              </c:pt>
              <c:pt idx="17">
                <c:v>46.979999999999983</c:v>
              </c:pt>
              <c:pt idx="18">
                <c:v>46.979999999999983</c:v>
              </c:pt>
              <c:pt idx="19">
                <c:v>46.979999999999983</c:v>
              </c:pt>
            </c:numLit>
          </c:yVal>
          <c:smooth val="0"/>
          <c:extLst>
            <c:ext xmlns:c16="http://schemas.microsoft.com/office/drawing/2014/chart" uri="{C3380CC4-5D6E-409C-BE32-E72D297353CC}">
              <c16:uniqueId val="{00000003-A429-4946-88EC-D4BC11C8ED5D}"/>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1.1640000000000001</c:v>
              </c:pt>
              <c:pt idx="11">
                <c:v>1.1640000000000001</c:v>
              </c:pt>
              <c:pt idx="12">
                <c:v>1.1640000000000001</c:v>
              </c:pt>
              <c:pt idx="13">
                <c:v>1.1640000000000001</c:v>
              </c:pt>
              <c:pt idx="14">
                <c:v>1.1640000000000001</c:v>
              </c:pt>
              <c:pt idx="15">
                <c:v>1.7460000000000002</c:v>
              </c:pt>
              <c:pt idx="16">
                <c:v>1.7460000000000002</c:v>
              </c:pt>
              <c:pt idx="17">
                <c:v>1.7460000000000002</c:v>
              </c:pt>
              <c:pt idx="18">
                <c:v>1.7460000000000002</c:v>
              </c:pt>
              <c:pt idx="19">
                <c:v>1.7460000000000002</c:v>
              </c:pt>
            </c:numLit>
          </c:yVal>
          <c:smooth val="0"/>
          <c:extLst>
            <c:ext xmlns:c16="http://schemas.microsoft.com/office/drawing/2014/chart" uri="{C3380CC4-5D6E-409C-BE32-E72D297353CC}">
              <c16:uniqueId val="{00000004-A429-4946-88EC-D4BC11C8ED5D}"/>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781.39999999999986</c:v>
              </c:pt>
              <c:pt idx="1">
                <c:v>814.59999999999991</c:v>
              </c:pt>
              <c:pt idx="2">
                <c:v>847.8</c:v>
              </c:pt>
              <c:pt idx="3">
                <c:v>880.99999999999989</c:v>
              </c:pt>
              <c:pt idx="4">
                <c:v>914.19999999999982</c:v>
              </c:pt>
              <c:pt idx="5">
                <c:v>964.2399999999999</c:v>
              </c:pt>
              <c:pt idx="6">
                <c:v>997.43999999999983</c:v>
              </c:pt>
              <c:pt idx="7">
                <c:v>1030.6399999999999</c:v>
              </c:pt>
              <c:pt idx="8">
                <c:v>1063.8399999999999</c:v>
              </c:pt>
              <c:pt idx="9">
                <c:v>1097.04</c:v>
              </c:pt>
            </c:numLit>
          </c:yVal>
          <c:smooth val="0"/>
          <c:extLst>
            <c:ext xmlns:c16="http://schemas.microsoft.com/office/drawing/2014/chart" uri="{C3380CC4-5D6E-409C-BE32-E72D297353CC}">
              <c16:uniqueId val="{00000000-2631-4F2D-A6B1-363F2A92ECA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51.322000000000003</c:v>
              </c:pt>
              <c:pt idx="1">
                <c:v>90.778000000000006</c:v>
              </c:pt>
              <c:pt idx="2">
                <c:v>130.23400000000001</c:v>
              </c:pt>
              <c:pt idx="3">
                <c:v>169.69</c:v>
              </c:pt>
              <c:pt idx="4">
                <c:v>209.14600000000002</c:v>
              </c:pt>
              <c:pt idx="5">
                <c:v>248.60200000000003</c:v>
              </c:pt>
              <c:pt idx="6">
                <c:v>288.05799999999999</c:v>
              </c:pt>
              <c:pt idx="7">
                <c:v>327.51400000000001</c:v>
              </c:pt>
              <c:pt idx="8">
                <c:v>443.24400000000003</c:v>
              </c:pt>
              <c:pt idx="9">
                <c:v>489.036</c:v>
              </c:pt>
            </c:numLit>
          </c:yVal>
          <c:smooth val="0"/>
          <c:extLst>
            <c:ext xmlns:c16="http://schemas.microsoft.com/office/drawing/2014/chart" uri="{C3380CC4-5D6E-409C-BE32-E72D297353CC}">
              <c16:uniqueId val="{00000000-E8D2-474E-8108-FE08C83B5A5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46.08</c:v>
              </c:pt>
              <c:pt idx="1">
                <c:v>46.08</c:v>
              </c:pt>
              <c:pt idx="2">
                <c:v>46.08</c:v>
              </c:pt>
              <c:pt idx="3">
                <c:v>46.08</c:v>
              </c:pt>
              <c:pt idx="4">
                <c:v>46.08</c:v>
              </c:pt>
              <c:pt idx="5">
                <c:v>46.08</c:v>
              </c:pt>
              <c:pt idx="6">
                <c:v>46.08</c:v>
              </c:pt>
              <c:pt idx="7">
                <c:v>46.08</c:v>
              </c:pt>
              <c:pt idx="8">
                <c:v>46.08</c:v>
              </c:pt>
              <c:pt idx="9">
                <c:v>46.08</c:v>
              </c:pt>
            </c:numLit>
          </c:yVal>
          <c:smooth val="0"/>
          <c:extLst>
            <c:ext xmlns:c16="http://schemas.microsoft.com/office/drawing/2014/chart" uri="{C3380CC4-5D6E-409C-BE32-E72D297353CC}">
              <c16:uniqueId val="{00000000-C3E3-4197-9C88-D8310DF48C4F}"/>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32.659199999999998</c:v>
              </c:pt>
              <c:pt idx="1">
                <c:v>34.214399999999998</c:v>
              </c:pt>
              <c:pt idx="2">
                <c:v>35.769599999999997</c:v>
              </c:pt>
              <c:pt idx="3">
                <c:v>37.324799999999996</c:v>
              </c:pt>
              <c:pt idx="4">
                <c:v>38.879999999999995</c:v>
              </c:pt>
              <c:pt idx="5">
                <c:v>40.435200000000002</c:v>
              </c:pt>
              <c:pt idx="6">
                <c:v>41.990400000000001</c:v>
              </c:pt>
              <c:pt idx="7">
                <c:v>43.5456</c:v>
              </c:pt>
              <c:pt idx="8">
                <c:v>45.1008</c:v>
              </c:pt>
              <c:pt idx="9">
                <c:v>46.655999999999999</c:v>
              </c:pt>
            </c:numLit>
          </c:yVal>
          <c:smooth val="0"/>
          <c:extLst>
            <c:ext xmlns:c16="http://schemas.microsoft.com/office/drawing/2014/chart" uri="{C3380CC4-5D6E-409C-BE32-E72D297353CC}">
              <c16:uniqueId val="{00000001-C3E3-4197-9C88-D8310DF48C4F}"/>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10</c:v>
              </c:pt>
              <c:pt idx="1">
                <c:v>10</c:v>
              </c:pt>
              <c:pt idx="2">
                <c:v>10</c:v>
              </c:pt>
              <c:pt idx="3">
                <c:v>10</c:v>
              </c:pt>
              <c:pt idx="4">
                <c:v>10</c:v>
              </c:pt>
              <c:pt idx="5">
                <c:v>12</c:v>
              </c:pt>
              <c:pt idx="6">
                <c:v>12</c:v>
              </c:pt>
              <c:pt idx="7">
                <c:v>12</c:v>
              </c:pt>
              <c:pt idx="8">
                <c:v>12</c:v>
              </c:pt>
              <c:pt idx="9">
                <c:v>12</c:v>
              </c:pt>
            </c:numLit>
          </c:yVal>
          <c:smooth val="0"/>
          <c:extLst>
            <c:ext xmlns:c16="http://schemas.microsoft.com/office/drawing/2014/chart" uri="{C3380CC4-5D6E-409C-BE32-E72D297353CC}">
              <c16:uniqueId val="{00000002-C3E3-4197-9C88-D8310DF48C4F}"/>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46.979999999999983</c:v>
              </c:pt>
              <c:pt idx="1">
                <c:v>46.979999999999983</c:v>
              </c:pt>
              <c:pt idx="2">
                <c:v>46.979999999999983</c:v>
              </c:pt>
              <c:pt idx="3">
                <c:v>46.979999999999983</c:v>
              </c:pt>
              <c:pt idx="4">
                <c:v>46.979999999999983</c:v>
              </c:pt>
              <c:pt idx="5">
                <c:v>46.979999999999983</c:v>
              </c:pt>
              <c:pt idx="6">
                <c:v>46.979999999999983</c:v>
              </c:pt>
              <c:pt idx="7">
                <c:v>46.979999999999983</c:v>
              </c:pt>
              <c:pt idx="8">
                <c:v>46.979999999999983</c:v>
              </c:pt>
              <c:pt idx="9">
                <c:v>46.979999999999983</c:v>
              </c:pt>
            </c:numLit>
          </c:yVal>
          <c:smooth val="0"/>
          <c:extLst>
            <c:ext xmlns:c16="http://schemas.microsoft.com/office/drawing/2014/chart" uri="{C3380CC4-5D6E-409C-BE32-E72D297353CC}">
              <c16:uniqueId val="{00000003-C3E3-4197-9C88-D8310DF48C4F}"/>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1.7460000000000002</c:v>
              </c:pt>
              <c:pt idx="1">
                <c:v>3.4920000000000004</c:v>
              </c:pt>
              <c:pt idx="2">
                <c:v>5.2379999999999995</c:v>
              </c:pt>
              <c:pt idx="3">
                <c:v>6.9840000000000009</c:v>
              </c:pt>
              <c:pt idx="4">
                <c:v>8.73</c:v>
              </c:pt>
              <c:pt idx="5">
                <c:v>10.475999999999999</c:v>
              </c:pt>
              <c:pt idx="6">
                <c:v>12.222</c:v>
              </c:pt>
              <c:pt idx="7">
                <c:v>13.968000000000002</c:v>
              </c:pt>
              <c:pt idx="8">
                <c:v>15.714000000000002</c:v>
              </c:pt>
              <c:pt idx="9">
                <c:v>17.46</c:v>
              </c:pt>
            </c:numLit>
          </c:yVal>
          <c:smooth val="0"/>
          <c:extLst>
            <c:ext xmlns:c16="http://schemas.microsoft.com/office/drawing/2014/chart" uri="{C3380CC4-5D6E-409C-BE32-E72D297353CC}">
              <c16:uniqueId val="{00000004-C3E3-4197-9C88-D8310DF48C4F}"/>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263.88</c:v>
              </c:pt>
              <c:pt idx="1">
                <c:v>452.28</c:v>
              </c:pt>
              <c:pt idx="2">
                <c:v>586.31999999999994</c:v>
              </c:pt>
              <c:pt idx="3">
                <c:v>774.72</c:v>
              </c:pt>
              <c:pt idx="4">
                <c:v>963.11999999999989</c:v>
              </c:pt>
              <c:pt idx="5">
                <c:v>1097.04</c:v>
              </c:pt>
            </c:numLit>
          </c:yVal>
          <c:smooth val="0"/>
          <c:extLst>
            <c:ext xmlns:c16="http://schemas.microsoft.com/office/drawing/2014/chart" uri="{C3380CC4-5D6E-409C-BE32-E72D297353CC}">
              <c16:uniqueId val="{00000000-16BD-45EB-8D26-2DEA3A3C464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489.036</c:v>
              </c:pt>
              <c:pt idx="1">
                <c:v>489.036</c:v>
              </c:pt>
              <c:pt idx="2">
                <c:v>489.036</c:v>
              </c:pt>
              <c:pt idx="3">
                <c:v>489.036</c:v>
              </c:pt>
              <c:pt idx="4">
                <c:v>489.036</c:v>
              </c:pt>
              <c:pt idx="5">
                <c:v>489.036</c:v>
              </c:pt>
            </c:numLit>
          </c:yVal>
          <c:smooth val="0"/>
          <c:extLst>
            <c:ext xmlns:c16="http://schemas.microsoft.com/office/drawing/2014/chart" uri="{C3380CC4-5D6E-409C-BE32-E72D297353CC}">
              <c16:uniqueId val="{00000000-C304-4017-AF5B-328C8DC35549}"/>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7.68</c:v>
              </c:pt>
              <c:pt idx="1">
                <c:v>15.36</c:v>
              </c:pt>
              <c:pt idx="2">
                <c:v>23.04</c:v>
              </c:pt>
              <c:pt idx="3">
                <c:v>30.72</c:v>
              </c:pt>
              <c:pt idx="4">
                <c:v>38.4</c:v>
              </c:pt>
              <c:pt idx="5">
                <c:v>46.08</c:v>
              </c:pt>
            </c:numLit>
          </c:yVal>
          <c:smooth val="0"/>
          <c:extLst>
            <c:ext xmlns:c16="http://schemas.microsoft.com/office/drawing/2014/chart" uri="{C3380CC4-5D6E-409C-BE32-E72D297353CC}">
              <c16:uniqueId val="{00000000-9F7D-4290-8CA1-BCFFDD60048D}"/>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7.7759999999999998</c:v>
              </c:pt>
              <c:pt idx="1">
                <c:v>15.552</c:v>
              </c:pt>
              <c:pt idx="2">
                <c:v>23.327999999999999</c:v>
              </c:pt>
              <c:pt idx="3">
                <c:v>31.103999999999999</c:v>
              </c:pt>
              <c:pt idx="4">
                <c:v>38.879999999999995</c:v>
              </c:pt>
              <c:pt idx="5">
                <c:v>46.655999999999999</c:v>
              </c:pt>
            </c:numLit>
          </c:yVal>
          <c:smooth val="0"/>
          <c:extLst>
            <c:ext xmlns:c16="http://schemas.microsoft.com/office/drawing/2014/chart" uri="{C3380CC4-5D6E-409C-BE32-E72D297353CC}">
              <c16:uniqueId val="{00000001-9F7D-4290-8CA1-BCFFDD60048D}"/>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c:v>
              </c:pt>
              <c:pt idx="1">
                <c:v>12</c:v>
              </c:pt>
              <c:pt idx="2">
                <c:v>12</c:v>
              </c:pt>
              <c:pt idx="3">
                <c:v>12</c:v>
              </c:pt>
              <c:pt idx="4">
                <c:v>12</c:v>
              </c:pt>
              <c:pt idx="5">
                <c:v>12</c:v>
              </c:pt>
            </c:numLit>
          </c:yVal>
          <c:smooth val="0"/>
          <c:extLst>
            <c:ext xmlns:c16="http://schemas.microsoft.com/office/drawing/2014/chart" uri="{C3380CC4-5D6E-409C-BE32-E72D297353CC}">
              <c16:uniqueId val="{00000002-9F7D-4290-8CA1-BCFFDD60048D}"/>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12.479999999999997</c:v>
              </c:pt>
              <c:pt idx="1">
                <c:v>19.379999999999995</c:v>
              </c:pt>
              <c:pt idx="2">
                <c:v>26.279999999999994</c:v>
              </c:pt>
              <c:pt idx="3">
                <c:v>33.179999999999986</c:v>
              </c:pt>
              <c:pt idx="4">
                <c:v>40.079999999999984</c:v>
              </c:pt>
              <c:pt idx="5">
                <c:v>46.979999999999983</c:v>
              </c:pt>
            </c:numLit>
          </c:yVal>
          <c:smooth val="0"/>
          <c:extLst>
            <c:ext xmlns:c16="http://schemas.microsoft.com/office/drawing/2014/chart" uri="{C3380CC4-5D6E-409C-BE32-E72D297353CC}">
              <c16:uniqueId val="{00000003-9F7D-4290-8CA1-BCFFDD60048D}"/>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17.46</c:v>
              </c:pt>
              <c:pt idx="1">
                <c:v>17.46</c:v>
              </c:pt>
              <c:pt idx="2">
                <c:v>17.46</c:v>
              </c:pt>
              <c:pt idx="3">
                <c:v>17.46</c:v>
              </c:pt>
              <c:pt idx="4">
                <c:v>17.46</c:v>
              </c:pt>
              <c:pt idx="5">
                <c:v>17.46</c:v>
              </c:pt>
            </c:numLit>
          </c:yVal>
          <c:smooth val="0"/>
          <c:extLst>
            <c:ext xmlns:c16="http://schemas.microsoft.com/office/drawing/2014/chart" uri="{C3380CC4-5D6E-409C-BE32-E72D297353CC}">
              <c16:uniqueId val="{00000004-9F7D-4290-8CA1-BCFFDD60048D}"/>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5.0708000000000002</c:v>
              </c:pt>
              <c:pt idx="1">
                <c:v>6.6115999999999993</c:v>
              </c:pt>
              <c:pt idx="2">
                <c:v>8.1524000000000001</c:v>
              </c:pt>
              <c:pt idx="3">
                <c:v>9.6931999999999992</c:v>
              </c:pt>
              <c:pt idx="4">
                <c:v>11.234</c:v>
              </c:pt>
              <c:pt idx="5">
                <c:v>12.774799999999999</c:v>
              </c:pt>
              <c:pt idx="6">
                <c:v>14.315599999999998</c:v>
              </c:pt>
              <c:pt idx="7">
                <c:v>15.856399999999999</c:v>
              </c:pt>
              <c:pt idx="8">
                <c:v>24.765499999999999</c:v>
              </c:pt>
              <c:pt idx="9">
                <c:v>26.680699999999998</c:v>
              </c:pt>
              <c:pt idx="10">
                <c:v>28.5959</c:v>
              </c:pt>
              <c:pt idx="11">
                <c:v>30.511099999999999</c:v>
              </c:pt>
              <c:pt idx="12">
                <c:v>32.426299999999998</c:v>
              </c:pt>
              <c:pt idx="13">
                <c:v>34.341499999999996</c:v>
              </c:pt>
              <c:pt idx="14">
                <c:v>36.256699999999995</c:v>
              </c:pt>
              <c:pt idx="15">
                <c:v>38.171900000000001</c:v>
              </c:pt>
              <c:pt idx="16">
                <c:v>40.0871</c:v>
              </c:pt>
              <c:pt idx="17">
                <c:v>42.002299999999998</c:v>
              </c:pt>
              <c:pt idx="18">
                <c:v>43.917499999999997</c:v>
              </c:pt>
              <c:pt idx="19">
                <c:v>45.832699999999996</c:v>
              </c:pt>
            </c:numLit>
          </c:yVal>
          <c:smooth val="0"/>
          <c:extLst>
            <c:ext xmlns:c16="http://schemas.microsoft.com/office/drawing/2014/chart" uri="{C3380CC4-5D6E-409C-BE32-E72D297353CC}">
              <c16:uniqueId val="{00000000-FB1F-43DA-B2C8-07903CF13964}"/>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45.832699999999996</c:v>
              </c:pt>
              <c:pt idx="1">
                <c:v>84.13669999999999</c:v>
              </c:pt>
              <c:pt idx="2">
                <c:v>122.44069999999999</c:v>
              </c:pt>
              <c:pt idx="3">
                <c:v>160.74469999999997</c:v>
              </c:pt>
              <c:pt idx="4">
                <c:v>199.04869999999997</c:v>
              </c:pt>
              <c:pt idx="5">
                <c:v>237.35269999999997</c:v>
              </c:pt>
              <c:pt idx="6">
                <c:v>275.6567</c:v>
              </c:pt>
              <c:pt idx="7">
                <c:v>313.96069999999997</c:v>
              </c:pt>
              <c:pt idx="8">
                <c:v>419.31600000000003</c:v>
              </c:pt>
              <c:pt idx="9">
                <c:v>462.22800000000001</c:v>
              </c:pt>
            </c:numLit>
          </c:yVal>
          <c:smooth val="0"/>
          <c:extLst>
            <c:ext xmlns:c16="http://schemas.microsoft.com/office/drawing/2014/chart" uri="{C3380CC4-5D6E-409C-BE32-E72D297353CC}">
              <c16:uniqueId val="{00000000-816C-44CE-997B-5600A5AAC8F4}"/>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79.599999999999994</c:v>
              </c:pt>
              <c:pt idx="1">
                <c:v>104.8</c:v>
              </c:pt>
              <c:pt idx="2">
                <c:v>129.98000000000002</c:v>
              </c:pt>
              <c:pt idx="3">
                <c:v>155.18</c:v>
              </c:pt>
              <c:pt idx="4">
                <c:v>180.38</c:v>
              </c:pt>
              <c:pt idx="5">
                <c:v>220.16000000000003</c:v>
              </c:pt>
              <c:pt idx="6">
                <c:v>245.36</c:v>
              </c:pt>
              <c:pt idx="7">
                <c:v>270.56</c:v>
              </c:pt>
              <c:pt idx="8">
                <c:v>295.76</c:v>
              </c:pt>
              <c:pt idx="9">
                <c:v>320.95999999999998</c:v>
              </c:pt>
              <c:pt idx="10">
                <c:v>360.74</c:v>
              </c:pt>
              <c:pt idx="11">
                <c:v>385.94</c:v>
              </c:pt>
              <c:pt idx="12">
                <c:v>411.14</c:v>
              </c:pt>
              <c:pt idx="13">
                <c:v>436.34</c:v>
              </c:pt>
              <c:pt idx="14">
                <c:v>461.53999999999996</c:v>
              </c:pt>
              <c:pt idx="15">
                <c:v>501.32</c:v>
              </c:pt>
              <c:pt idx="16">
                <c:v>526.52</c:v>
              </c:pt>
              <c:pt idx="17">
                <c:v>551.71999999999991</c:v>
              </c:pt>
              <c:pt idx="18">
                <c:v>576.91999999999985</c:v>
              </c:pt>
              <c:pt idx="19">
                <c:v>602.11999999999989</c:v>
              </c:pt>
            </c:numLit>
          </c:yVal>
          <c:smooth val="0"/>
          <c:extLst>
            <c:ext xmlns:c16="http://schemas.microsoft.com/office/drawing/2014/chart" uri="{C3380CC4-5D6E-409C-BE32-E72D297353CC}">
              <c16:uniqueId val="{00000000-21C9-49BD-84A3-F28E39AB568B}"/>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39.2256</c:v>
              </c:pt>
              <c:pt idx="1">
                <c:v>39.2256</c:v>
              </c:pt>
              <c:pt idx="2">
                <c:v>39.2256</c:v>
              </c:pt>
              <c:pt idx="3">
                <c:v>39.2256</c:v>
              </c:pt>
              <c:pt idx="4">
                <c:v>39.2256</c:v>
              </c:pt>
              <c:pt idx="5">
                <c:v>39.2256</c:v>
              </c:pt>
              <c:pt idx="6">
                <c:v>39.2256</c:v>
              </c:pt>
              <c:pt idx="7">
                <c:v>39.2256</c:v>
              </c:pt>
              <c:pt idx="8">
                <c:v>39.2256</c:v>
              </c:pt>
              <c:pt idx="9">
                <c:v>39.2256</c:v>
              </c:pt>
              <c:pt idx="10">
                <c:v>39.2256</c:v>
              </c:pt>
              <c:pt idx="11">
                <c:v>39.2256</c:v>
              </c:pt>
              <c:pt idx="12">
                <c:v>39.2256</c:v>
              </c:pt>
              <c:pt idx="13">
                <c:v>39.2256</c:v>
              </c:pt>
              <c:pt idx="14">
                <c:v>39.2256</c:v>
              </c:pt>
              <c:pt idx="15">
                <c:v>39.2256</c:v>
              </c:pt>
              <c:pt idx="16">
                <c:v>39.2256</c:v>
              </c:pt>
              <c:pt idx="17">
                <c:v>39.2256</c:v>
              </c:pt>
              <c:pt idx="18">
                <c:v>39.2256</c:v>
              </c:pt>
              <c:pt idx="19">
                <c:v>39.2256</c:v>
              </c:pt>
            </c:numLit>
          </c:yVal>
          <c:smooth val="0"/>
          <c:extLst>
            <c:ext xmlns:c16="http://schemas.microsoft.com/office/drawing/2014/chart" uri="{C3380CC4-5D6E-409C-BE32-E72D297353CC}">
              <c16:uniqueId val="{00000000-4763-475A-9B2E-F62A812E951D}"/>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3.1103999999999998</c:v>
              </c:pt>
              <c:pt idx="1">
                <c:v>4.6655999999999995</c:v>
              </c:pt>
              <c:pt idx="2">
                <c:v>6.2207999999999997</c:v>
              </c:pt>
              <c:pt idx="3">
                <c:v>7.7759999999999998</c:v>
              </c:pt>
              <c:pt idx="4">
                <c:v>9.3311999999999991</c:v>
              </c:pt>
              <c:pt idx="5">
                <c:v>10.8864</c:v>
              </c:pt>
              <c:pt idx="6">
                <c:v>12.441599999999999</c:v>
              </c:pt>
              <c:pt idx="7">
                <c:v>13.9968</c:v>
              </c:pt>
              <c:pt idx="8">
                <c:v>15.552</c:v>
              </c:pt>
              <c:pt idx="9">
                <c:v>17.107199999999999</c:v>
              </c:pt>
              <c:pt idx="10">
                <c:v>18.662399999999998</c:v>
              </c:pt>
              <c:pt idx="11">
                <c:v>20.217600000000001</c:v>
              </c:pt>
              <c:pt idx="12">
                <c:v>21.7728</c:v>
              </c:pt>
              <c:pt idx="13">
                <c:v>23.327999999999999</c:v>
              </c:pt>
              <c:pt idx="14">
                <c:v>24.883199999999999</c:v>
              </c:pt>
              <c:pt idx="15">
                <c:v>26.438399999999998</c:v>
              </c:pt>
              <c:pt idx="16">
                <c:v>27.993600000000001</c:v>
              </c:pt>
              <c:pt idx="17">
                <c:v>29.5488</c:v>
              </c:pt>
              <c:pt idx="18">
                <c:v>31.103999999999999</c:v>
              </c:pt>
              <c:pt idx="19">
                <c:v>32.659199999999998</c:v>
              </c:pt>
            </c:numLit>
          </c:yVal>
          <c:smooth val="0"/>
          <c:extLst>
            <c:ext xmlns:c16="http://schemas.microsoft.com/office/drawing/2014/chart" uri="{C3380CC4-5D6E-409C-BE32-E72D297353CC}">
              <c16:uniqueId val="{00000001-4763-475A-9B2E-F62A812E951D}"/>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c:v>
              </c:pt>
              <c:pt idx="1">
                <c:v>4</c:v>
              </c:pt>
              <c:pt idx="2">
                <c:v>4</c:v>
              </c:pt>
              <c:pt idx="3">
                <c:v>4</c:v>
              </c:pt>
              <c:pt idx="4">
                <c:v>4</c:v>
              </c:pt>
              <c:pt idx="5">
                <c:v>6</c:v>
              </c:pt>
              <c:pt idx="6">
                <c:v>6</c:v>
              </c:pt>
              <c:pt idx="7">
                <c:v>6</c:v>
              </c:pt>
              <c:pt idx="8">
                <c:v>6</c:v>
              </c:pt>
              <c:pt idx="9">
                <c:v>6</c:v>
              </c:pt>
              <c:pt idx="10">
                <c:v>8</c:v>
              </c:pt>
              <c:pt idx="11">
                <c:v>8</c:v>
              </c:pt>
              <c:pt idx="12">
                <c:v>8</c:v>
              </c:pt>
              <c:pt idx="13">
                <c:v>8</c:v>
              </c:pt>
              <c:pt idx="14">
                <c:v>8</c:v>
              </c:pt>
              <c:pt idx="15">
                <c:v>10</c:v>
              </c:pt>
              <c:pt idx="16">
                <c:v>10</c:v>
              </c:pt>
              <c:pt idx="17">
                <c:v>10</c:v>
              </c:pt>
              <c:pt idx="18">
                <c:v>10</c:v>
              </c:pt>
              <c:pt idx="19">
                <c:v>10</c:v>
              </c:pt>
            </c:numLit>
          </c:yVal>
          <c:smooth val="0"/>
          <c:extLst>
            <c:ext xmlns:c16="http://schemas.microsoft.com/office/drawing/2014/chart" uri="{C3380CC4-5D6E-409C-BE32-E72D297353CC}">
              <c16:uniqueId val="{00000002-4763-475A-9B2E-F62A812E951D}"/>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31.31999999999999</c:v>
              </c:pt>
              <c:pt idx="11">
                <c:v>31.31999999999999</c:v>
              </c:pt>
              <c:pt idx="12">
                <c:v>31.31999999999999</c:v>
              </c:pt>
              <c:pt idx="13">
                <c:v>31.31999999999999</c:v>
              </c:pt>
              <c:pt idx="14">
                <c:v>31.31999999999999</c:v>
              </c:pt>
              <c:pt idx="15">
                <c:v>46.979999999999983</c:v>
              </c:pt>
              <c:pt idx="16">
                <c:v>46.979999999999983</c:v>
              </c:pt>
              <c:pt idx="17">
                <c:v>46.979999999999983</c:v>
              </c:pt>
              <c:pt idx="18">
                <c:v>46.979999999999983</c:v>
              </c:pt>
              <c:pt idx="19">
                <c:v>46.979999999999983</c:v>
              </c:pt>
            </c:numLit>
          </c:yVal>
          <c:smooth val="0"/>
          <c:extLst>
            <c:ext xmlns:c16="http://schemas.microsoft.com/office/drawing/2014/chart" uri="{C3380CC4-5D6E-409C-BE32-E72D297353CC}">
              <c16:uniqueId val="{00000003-4763-475A-9B2E-F62A812E951D}"/>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1.1640000000000001</c:v>
              </c:pt>
              <c:pt idx="11">
                <c:v>1.1640000000000001</c:v>
              </c:pt>
              <c:pt idx="12">
                <c:v>1.1640000000000001</c:v>
              </c:pt>
              <c:pt idx="13">
                <c:v>1.1640000000000001</c:v>
              </c:pt>
              <c:pt idx="14">
                <c:v>1.1640000000000001</c:v>
              </c:pt>
              <c:pt idx="15">
                <c:v>1.7460000000000002</c:v>
              </c:pt>
              <c:pt idx="16">
                <c:v>1.7460000000000002</c:v>
              </c:pt>
              <c:pt idx="17">
                <c:v>1.7460000000000002</c:v>
              </c:pt>
              <c:pt idx="18">
                <c:v>1.7460000000000002</c:v>
              </c:pt>
              <c:pt idx="19">
                <c:v>1.7460000000000002</c:v>
              </c:pt>
            </c:numLit>
          </c:yVal>
          <c:smooth val="0"/>
          <c:extLst>
            <c:ext xmlns:c16="http://schemas.microsoft.com/office/drawing/2014/chart" uri="{C3380CC4-5D6E-409C-BE32-E72D297353CC}">
              <c16:uniqueId val="{00000004-4763-475A-9B2E-F62A812E951D}"/>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602.11999999999989</c:v>
              </c:pt>
              <c:pt idx="1">
                <c:v>627.31999999999994</c:v>
              </c:pt>
              <c:pt idx="2">
                <c:v>652.5</c:v>
              </c:pt>
              <c:pt idx="3">
                <c:v>677.69999999999993</c:v>
              </c:pt>
              <c:pt idx="4">
                <c:v>702.89999999999986</c:v>
              </c:pt>
              <c:pt idx="5">
                <c:v>742.68</c:v>
              </c:pt>
              <c:pt idx="6">
                <c:v>767.87999999999988</c:v>
              </c:pt>
              <c:pt idx="7">
                <c:v>793.07999999999993</c:v>
              </c:pt>
              <c:pt idx="8">
                <c:v>818.28</c:v>
              </c:pt>
              <c:pt idx="9">
                <c:v>843.4799999999999</c:v>
              </c:pt>
            </c:numLit>
          </c:yVal>
          <c:smooth val="0"/>
          <c:extLst>
            <c:ext xmlns:c16="http://schemas.microsoft.com/office/drawing/2014/chart" uri="{C3380CC4-5D6E-409C-BE32-E72D297353CC}">
              <c16:uniqueId val="{00000000-9FBE-46B2-86BF-820783673201}"/>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45.832699999999996</c:v>
              </c:pt>
              <c:pt idx="1">
                <c:v>84.13669999999999</c:v>
              </c:pt>
              <c:pt idx="2">
                <c:v>122.44069999999999</c:v>
              </c:pt>
              <c:pt idx="3">
                <c:v>160.74469999999997</c:v>
              </c:pt>
              <c:pt idx="4">
                <c:v>199.04869999999997</c:v>
              </c:pt>
              <c:pt idx="5">
                <c:v>237.35269999999997</c:v>
              </c:pt>
              <c:pt idx="6">
                <c:v>275.6567</c:v>
              </c:pt>
              <c:pt idx="7">
                <c:v>313.96069999999997</c:v>
              </c:pt>
              <c:pt idx="8">
                <c:v>419.31600000000003</c:v>
              </c:pt>
              <c:pt idx="9">
                <c:v>462.22800000000001</c:v>
              </c:pt>
            </c:numLit>
          </c:yVal>
          <c:smooth val="0"/>
          <c:extLst>
            <c:ext xmlns:c16="http://schemas.microsoft.com/office/drawing/2014/chart" uri="{C3380CC4-5D6E-409C-BE32-E72D297353CC}">
              <c16:uniqueId val="{00000000-833C-46A9-801B-BA1B4985602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39.2256</c:v>
              </c:pt>
              <c:pt idx="1">
                <c:v>39.2256</c:v>
              </c:pt>
              <c:pt idx="2">
                <c:v>39.2256</c:v>
              </c:pt>
              <c:pt idx="3">
                <c:v>39.2256</c:v>
              </c:pt>
              <c:pt idx="4">
                <c:v>39.2256</c:v>
              </c:pt>
              <c:pt idx="5">
                <c:v>39.2256</c:v>
              </c:pt>
              <c:pt idx="6">
                <c:v>39.2256</c:v>
              </c:pt>
              <c:pt idx="7">
                <c:v>39.2256</c:v>
              </c:pt>
              <c:pt idx="8">
                <c:v>39.2256</c:v>
              </c:pt>
              <c:pt idx="9">
                <c:v>39.2256</c:v>
              </c:pt>
            </c:numLit>
          </c:yVal>
          <c:smooth val="0"/>
          <c:extLst>
            <c:ext xmlns:c16="http://schemas.microsoft.com/office/drawing/2014/chart" uri="{C3380CC4-5D6E-409C-BE32-E72D297353CC}">
              <c16:uniqueId val="{00000000-9005-4257-9D84-242C40F4596E}"/>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32.659199999999998</c:v>
              </c:pt>
              <c:pt idx="1">
                <c:v>34.214399999999998</c:v>
              </c:pt>
              <c:pt idx="2">
                <c:v>35.769599999999997</c:v>
              </c:pt>
              <c:pt idx="3">
                <c:v>37.324799999999996</c:v>
              </c:pt>
              <c:pt idx="4">
                <c:v>38.879999999999995</c:v>
              </c:pt>
              <c:pt idx="5">
                <c:v>40.435200000000002</c:v>
              </c:pt>
              <c:pt idx="6">
                <c:v>41.990400000000001</c:v>
              </c:pt>
              <c:pt idx="7">
                <c:v>43.5456</c:v>
              </c:pt>
              <c:pt idx="8">
                <c:v>45.1008</c:v>
              </c:pt>
              <c:pt idx="9">
                <c:v>46.655999999999999</c:v>
              </c:pt>
            </c:numLit>
          </c:yVal>
          <c:smooth val="0"/>
          <c:extLst>
            <c:ext xmlns:c16="http://schemas.microsoft.com/office/drawing/2014/chart" uri="{C3380CC4-5D6E-409C-BE32-E72D297353CC}">
              <c16:uniqueId val="{00000001-9005-4257-9D84-242C40F4596E}"/>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10</c:v>
              </c:pt>
              <c:pt idx="1">
                <c:v>10</c:v>
              </c:pt>
              <c:pt idx="2">
                <c:v>10</c:v>
              </c:pt>
              <c:pt idx="3">
                <c:v>10</c:v>
              </c:pt>
              <c:pt idx="4">
                <c:v>10</c:v>
              </c:pt>
              <c:pt idx="5">
                <c:v>12</c:v>
              </c:pt>
              <c:pt idx="6">
                <c:v>12</c:v>
              </c:pt>
              <c:pt idx="7">
                <c:v>12</c:v>
              </c:pt>
              <c:pt idx="8">
                <c:v>12</c:v>
              </c:pt>
              <c:pt idx="9">
                <c:v>12</c:v>
              </c:pt>
            </c:numLit>
          </c:yVal>
          <c:smooth val="0"/>
          <c:extLst>
            <c:ext xmlns:c16="http://schemas.microsoft.com/office/drawing/2014/chart" uri="{C3380CC4-5D6E-409C-BE32-E72D297353CC}">
              <c16:uniqueId val="{00000002-9005-4257-9D84-242C40F4596E}"/>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46.979999999999983</c:v>
              </c:pt>
              <c:pt idx="1">
                <c:v>46.979999999999983</c:v>
              </c:pt>
              <c:pt idx="2">
                <c:v>46.979999999999983</c:v>
              </c:pt>
              <c:pt idx="3">
                <c:v>46.979999999999983</c:v>
              </c:pt>
              <c:pt idx="4">
                <c:v>46.979999999999983</c:v>
              </c:pt>
              <c:pt idx="5">
                <c:v>46.979999999999983</c:v>
              </c:pt>
              <c:pt idx="6">
                <c:v>46.979999999999983</c:v>
              </c:pt>
              <c:pt idx="7">
                <c:v>46.979999999999983</c:v>
              </c:pt>
              <c:pt idx="8">
                <c:v>46.979999999999983</c:v>
              </c:pt>
              <c:pt idx="9">
                <c:v>46.979999999999983</c:v>
              </c:pt>
            </c:numLit>
          </c:yVal>
          <c:smooth val="0"/>
          <c:extLst>
            <c:ext xmlns:c16="http://schemas.microsoft.com/office/drawing/2014/chart" uri="{C3380CC4-5D6E-409C-BE32-E72D297353CC}">
              <c16:uniqueId val="{00000003-9005-4257-9D84-242C40F4596E}"/>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1.7460000000000002</c:v>
              </c:pt>
              <c:pt idx="1">
                <c:v>3.4920000000000004</c:v>
              </c:pt>
              <c:pt idx="2">
                <c:v>5.2379999999999995</c:v>
              </c:pt>
              <c:pt idx="3">
                <c:v>6.9840000000000009</c:v>
              </c:pt>
              <c:pt idx="4">
                <c:v>8.73</c:v>
              </c:pt>
              <c:pt idx="5">
                <c:v>10.475999999999999</c:v>
              </c:pt>
              <c:pt idx="6">
                <c:v>12.222</c:v>
              </c:pt>
              <c:pt idx="7">
                <c:v>13.968000000000002</c:v>
              </c:pt>
              <c:pt idx="8">
                <c:v>15.714000000000002</c:v>
              </c:pt>
              <c:pt idx="9">
                <c:v>17.46</c:v>
              </c:pt>
            </c:numLit>
          </c:yVal>
          <c:smooth val="0"/>
          <c:extLst>
            <c:ext xmlns:c16="http://schemas.microsoft.com/office/drawing/2014/chart" uri="{C3380CC4-5D6E-409C-BE32-E72D297353CC}">
              <c16:uniqueId val="{00000004-9005-4257-9D84-242C40F4596E}"/>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198.35999999999993</c:v>
              </c:pt>
              <c:pt idx="1">
                <c:v>327.48000000000008</c:v>
              </c:pt>
              <c:pt idx="2">
                <c:v>456.6</c:v>
              </c:pt>
              <c:pt idx="3">
                <c:v>585.7199999999998</c:v>
              </c:pt>
              <c:pt idx="4">
                <c:v>714.3599999999999</c:v>
              </c:pt>
              <c:pt idx="5">
                <c:v>843.4799999999999</c:v>
              </c:pt>
            </c:numLit>
          </c:yVal>
          <c:smooth val="0"/>
          <c:extLst>
            <c:ext xmlns:c16="http://schemas.microsoft.com/office/drawing/2014/chart" uri="{C3380CC4-5D6E-409C-BE32-E72D297353CC}">
              <c16:uniqueId val="{00000000-BAA5-4829-9408-C2DF0E5ECCC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462.22800000000001</c:v>
              </c:pt>
              <c:pt idx="1">
                <c:v>462.22800000000001</c:v>
              </c:pt>
              <c:pt idx="2">
                <c:v>462.22800000000001</c:v>
              </c:pt>
              <c:pt idx="3">
                <c:v>462.22800000000001</c:v>
              </c:pt>
              <c:pt idx="4">
                <c:v>462.22800000000001</c:v>
              </c:pt>
              <c:pt idx="5">
                <c:v>462.22800000000001</c:v>
              </c:pt>
            </c:numLit>
          </c:yVal>
          <c:smooth val="0"/>
          <c:extLst>
            <c:ext xmlns:c16="http://schemas.microsoft.com/office/drawing/2014/chart" uri="{C3380CC4-5D6E-409C-BE32-E72D297353CC}">
              <c16:uniqueId val="{00000000-034C-4421-BEFE-9D17EC4313C4}"/>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6.5375999999999994</c:v>
              </c:pt>
              <c:pt idx="1">
                <c:v>13.075199999999999</c:v>
              </c:pt>
              <c:pt idx="2">
                <c:v>19.6128</c:v>
              </c:pt>
              <c:pt idx="3">
                <c:v>26.150399999999998</c:v>
              </c:pt>
              <c:pt idx="4">
                <c:v>32.687999999999995</c:v>
              </c:pt>
              <c:pt idx="5">
                <c:v>39.2256</c:v>
              </c:pt>
            </c:numLit>
          </c:yVal>
          <c:smooth val="0"/>
          <c:extLst>
            <c:ext xmlns:c16="http://schemas.microsoft.com/office/drawing/2014/chart" uri="{C3380CC4-5D6E-409C-BE32-E72D297353CC}">
              <c16:uniqueId val="{00000000-6560-46FF-B8AE-D04433C929A0}"/>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7.7759999999999998</c:v>
              </c:pt>
              <c:pt idx="1">
                <c:v>15.552</c:v>
              </c:pt>
              <c:pt idx="2">
                <c:v>23.327999999999999</c:v>
              </c:pt>
              <c:pt idx="3">
                <c:v>31.103999999999999</c:v>
              </c:pt>
              <c:pt idx="4">
                <c:v>38.879999999999995</c:v>
              </c:pt>
              <c:pt idx="5">
                <c:v>46.655999999999999</c:v>
              </c:pt>
            </c:numLit>
          </c:yVal>
          <c:smooth val="0"/>
          <c:extLst>
            <c:ext xmlns:c16="http://schemas.microsoft.com/office/drawing/2014/chart" uri="{C3380CC4-5D6E-409C-BE32-E72D297353CC}">
              <c16:uniqueId val="{00000001-6560-46FF-B8AE-D04433C929A0}"/>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c:v>
              </c:pt>
              <c:pt idx="1">
                <c:v>12</c:v>
              </c:pt>
              <c:pt idx="2">
                <c:v>12</c:v>
              </c:pt>
              <c:pt idx="3">
                <c:v>12</c:v>
              </c:pt>
              <c:pt idx="4">
                <c:v>12</c:v>
              </c:pt>
              <c:pt idx="5">
                <c:v>12</c:v>
              </c:pt>
            </c:numLit>
          </c:yVal>
          <c:smooth val="0"/>
          <c:extLst>
            <c:ext xmlns:c16="http://schemas.microsoft.com/office/drawing/2014/chart" uri="{C3380CC4-5D6E-409C-BE32-E72D297353CC}">
              <c16:uniqueId val="{00000002-6560-46FF-B8AE-D04433C929A0}"/>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12.479999999999997</c:v>
              </c:pt>
              <c:pt idx="1">
                <c:v>19.379999999999995</c:v>
              </c:pt>
              <c:pt idx="2">
                <c:v>26.279999999999994</c:v>
              </c:pt>
              <c:pt idx="3">
                <c:v>33.179999999999986</c:v>
              </c:pt>
              <c:pt idx="4">
                <c:v>40.079999999999984</c:v>
              </c:pt>
              <c:pt idx="5">
                <c:v>46.979999999999983</c:v>
              </c:pt>
            </c:numLit>
          </c:yVal>
          <c:smooth val="0"/>
          <c:extLst>
            <c:ext xmlns:c16="http://schemas.microsoft.com/office/drawing/2014/chart" uri="{C3380CC4-5D6E-409C-BE32-E72D297353CC}">
              <c16:uniqueId val="{00000003-6560-46FF-B8AE-D04433C929A0}"/>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17.46</c:v>
              </c:pt>
              <c:pt idx="1">
                <c:v>17.46</c:v>
              </c:pt>
              <c:pt idx="2">
                <c:v>17.46</c:v>
              </c:pt>
              <c:pt idx="3">
                <c:v>17.46</c:v>
              </c:pt>
              <c:pt idx="4">
                <c:v>17.46</c:v>
              </c:pt>
              <c:pt idx="5">
                <c:v>17.46</c:v>
              </c:pt>
            </c:numLit>
          </c:yVal>
          <c:smooth val="0"/>
          <c:extLst>
            <c:ext xmlns:c16="http://schemas.microsoft.com/office/drawing/2014/chart" uri="{C3380CC4-5D6E-409C-BE32-E72D297353CC}">
              <c16:uniqueId val="{00000004-6560-46FF-B8AE-D04433C929A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5.0708000000000002</c:v>
              </c:pt>
              <c:pt idx="1">
                <c:v>6.6115999999999993</c:v>
              </c:pt>
              <c:pt idx="2">
                <c:v>8.1524000000000001</c:v>
              </c:pt>
              <c:pt idx="3">
                <c:v>9.6931999999999992</c:v>
              </c:pt>
              <c:pt idx="4">
                <c:v>11.234</c:v>
              </c:pt>
              <c:pt idx="5">
                <c:v>12.774799999999999</c:v>
              </c:pt>
              <c:pt idx="6">
                <c:v>14.315599999999998</c:v>
              </c:pt>
              <c:pt idx="7">
                <c:v>15.856399999999999</c:v>
              </c:pt>
              <c:pt idx="8">
                <c:v>24.765499999999999</c:v>
              </c:pt>
              <c:pt idx="9">
                <c:v>26.680699999999998</c:v>
              </c:pt>
              <c:pt idx="10">
                <c:v>28.5959</c:v>
              </c:pt>
              <c:pt idx="11">
                <c:v>30.511099999999999</c:v>
              </c:pt>
              <c:pt idx="12">
                <c:v>32.426299999999998</c:v>
              </c:pt>
              <c:pt idx="13">
                <c:v>34.341499999999996</c:v>
              </c:pt>
              <c:pt idx="14">
                <c:v>36.256699999999995</c:v>
              </c:pt>
              <c:pt idx="15">
                <c:v>38.171900000000001</c:v>
              </c:pt>
              <c:pt idx="16">
                <c:v>40.0871</c:v>
              </c:pt>
              <c:pt idx="17">
                <c:v>42.002299999999998</c:v>
              </c:pt>
              <c:pt idx="18">
                <c:v>43.917499999999997</c:v>
              </c:pt>
              <c:pt idx="19">
                <c:v>45.832699999999996</c:v>
              </c:pt>
            </c:numLit>
          </c:yVal>
          <c:smooth val="0"/>
          <c:extLst>
            <c:ext xmlns:c16="http://schemas.microsoft.com/office/drawing/2014/chart" uri="{C3380CC4-5D6E-409C-BE32-E72D297353CC}">
              <c16:uniqueId val="{00000000-22DB-44A3-9736-DDB629FD0114}"/>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74.319999999999993</c:v>
              </c:pt>
              <c:pt idx="1">
                <c:v>98.539999999999992</c:v>
              </c:pt>
              <c:pt idx="2">
                <c:v>122.78</c:v>
              </c:pt>
              <c:pt idx="3">
                <c:v>147.02000000000001</c:v>
              </c:pt>
              <c:pt idx="4">
                <c:v>171.26000000000002</c:v>
              </c:pt>
              <c:pt idx="5">
                <c:v>208.4</c:v>
              </c:pt>
              <c:pt idx="6">
                <c:v>232.64000000000001</c:v>
              </c:pt>
              <c:pt idx="7">
                <c:v>256.88</c:v>
              </c:pt>
              <c:pt idx="8">
                <c:v>281.12</c:v>
              </c:pt>
              <c:pt idx="9">
                <c:v>305.36</c:v>
              </c:pt>
              <c:pt idx="10">
                <c:v>342.5</c:v>
              </c:pt>
              <c:pt idx="11">
                <c:v>366.74</c:v>
              </c:pt>
              <c:pt idx="12">
                <c:v>390.98</c:v>
              </c:pt>
              <c:pt idx="13">
                <c:v>415.22</c:v>
              </c:pt>
              <c:pt idx="14">
                <c:v>439.46000000000004</c:v>
              </c:pt>
              <c:pt idx="15">
                <c:v>476.6</c:v>
              </c:pt>
              <c:pt idx="16">
                <c:v>500.84000000000003</c:v>
              </c:pt>
              <c:pt idx="17">
                <c:v>525.08000000000004</c:v>
              </c:pt>
              <c:pt idx="18">
                <c:v>549.32000000000005</c:v>
              </c:pt>
              <c:pt idx="19">
                <c:v>573.56000000000006</c:v>
              </c:pt>
            </c:numLit>
          </c:yVal>
          <c:smooth val="0"/>
          <c:extLst>
            <c:ext xmlns:c16="http://schemas.microsoft.com/office/drawing/2014/chart" uri="{C3380CC4-5D6E-409C-BE32-E72D297353CC}">
              <c16:uniqueId val="{00000000-F399-4E59-9F19-06440F013F9E}"/>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39.2256</c:v>
              </c:pt>
              <c:pt idx="1">
                <c:v>39.2256</c:v>
              </c:pt>
              <c:pt idx="2">
                <c:v>39.2256</c:v>
              </c:pt>
              <c:pt idx="3">
                <c:v>39.2256</c:v>
              </c:pt>
              <c:pt idx="4">
                <c:v>39.2256</c:v>
              </c:pt>
              <c:pt idx="5">
                <c:v>39.2256</c:v>
              </c:pt>
              <c:pt idx="6">
                <c:v>39.2256</c:v>
              </c:pt>
              <c:pt idx="7">
                <c:v>39.2256</c:v>
              </c:pt>
              <c:pt idx="8">
                <c:v>39.2256</c:v>
              </c:pt>
              <c:pt idx="9">
                <c:v>39.2256</c:v>
              </c:pt>
            </c:numLit>
          </c:yVal>
          <c:smooth val="0"/>
          <c:extLst>
            <c:ext xmlns:c16="http://schemas.microsoft.com/office/drawing/2014/chart" uri="{C3380CC4-5D6E-409C-BE32-E72D297353CC}">
              <c16:uniqueId val="{00000000-8335-4432-8132-6E1F944A9F99}"/>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32.659199999999998</c:v>
              </c:pt>
              <c:pt idx="1">
                <c:v>34.214399999999998</c:v>
              </c:pt>
              <c:pt idx="2">
                <c:v>35.769599999999997</c:v>
              </c:pt>
              <c:pt idx="3">
                <c:v>37.324799999999996</c:v>
              </c:pt>
              <c:pt idx="4">
                <c:v>38.879999999999995</c:v>
              </c:pt>
              <c:pt idx="5">
                <c:v>40.435200000000002</c:v>
              </c:pt>
              <c:pt idx="6">
                <c:v>41.990400000000001</c:v>
              </c:pt>
              <c:pt idx="7">
                <c:v>43.5456</c:v>
              </c:pt>
              <c:pt idx="8">
                <c:v>45.1008</c:v>
              </c:pt>
              <c:pt idx="9">
                <c:v>46.655999999999999</c:v>
              </c:pt>
            </c:numLit>
          </c:yVal>
          <c:smooth val="0"/>
          <c:extLst>
            <c:ext xmlns:c16="http://schemas.microsoft.com/office/drawing/2014/chart" uri="{C3380CC4-5D6E-409C-BE32-E72D297353CC}">
              <c16:uniqueId val="{00000001-8335-4432-8132-6E1F944A9F99}"/>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10</c:v>
              </c:pt>
              <c:pt idx="1">
                <c:v>10</c:v>
              </c:pt>
              <c:pt idx="2">
                <c:v>10</c:v>
              </c:pt>
              <c:pt idx="3">
                <c:v>10</c:v>
              </c:pt>
              <c:pt idx="4">
                <c:v>10</c:v>
              </c:pt>
              <c:pt idx="5">
                <c:v>12</c:v>
              </c:pt>
              <c:pt idx="6">
                <c:v>12</c:v>
              </c:pt>
              <c:pt idx="7">
                <c:v>12</c:v>
              </c:pt>
              <c:pt idx="8">
                <c:v>12</c:v>
              </c:pt>
              <c:pt idx="9">
                <c:v>12</c:v>
              </c:pt>
            </c:numLit>
          </c:yVal>
          <c:smooth val="0"/>
          <c:extLst>
            <c:ext xmlns:c16="http://schemas.microsoft.com/office/drawing/2014/chart" uri="{C3380CC4-5D6E-409C-BE32-E72D297353CC}">
              <c16:uniqueId val="{00000002-8335-4432-8132-6E1F944A9F99}"/>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46.979999999999983</c:v>
              </c:pt>
              <c:pt idx="1">
                <c:v>46.979999999999983</c:v>
              </c:pt>
              <c:pt idx="2">
                <c:v>46.979999999999983</c:v>
              </c:pt>
              <c:pt idx="3">
                <c:v>46.979999999999983</c:v>
              </c:pt>
              <c:pt idx="4">
                <c:v>46.979999999999983</c:v>
              </c:pt>
              <c:pt idx="5">
                <c:v>46.979999999999983</c:v>
              </c:pt>
              <c:pt idx="6">
                <c:v>46.979999999999983</c:v>
              </c:pt>
              <c:pt idx="7">
                <c:v>46.979999999999983</c:v>
              </c:pt>
              <c:pt idx="8">
                <c:v>46.979999999999983</c:v>
              </c:pt>
              <c:pt idx="9">
                <c:v>46.979999999999983</c:v>
              </c:pt>
            </c:numLit>
          </c:yVal>
          <c:smooth val="0"/>
          <c:extLst>
            <c:ext xmlns:c16="http://schemas.microsoft.com/office/drawing/2014/chart" uri="{C3380CC4-5D6E-409C-BE32-E72D297353CC}">
              <c16:uniqueId val="{00000003-8335-4432-8132-6E1F944A9F99}"/>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1.7460000000000002</c:v>
              </c:pt>
              <c:pt idx="1">
                <c:v>3.4920000000000004</c:v>
              </c:pt>
              <c:pt idx="2">
                <c:v>5.2379999999999995</c:v>
              </c:pt>
              <c:pt idx="3">
                <c:v>6.9840000000000009</c:v>
              </c:pt>
              <c:pt idx="4">
                <c:v>8.73</c:v>
              </c:pt>
              <c:pt idx="5">
                <c:v>10.475999999999999</c:v>
              </c:pt>
              <c:pt idx="6">
                <c:v>12.222</c:v>
              </c:pt>
              <c:pt idx="7">
                <c:v>13.968000000000002</c:v>
              </c:pt>
              <c:pt idx="8">
                <c:v>15.714000000000002</c:v>
              </c:pt>
              <c:pt idx="9">
                <c:v>17.46</c:v>
              </c:pt>
            </c:numLit>
          </c:yVal>
          <c:smooth val="0"/>
          <c:extLst>
            <c:ext xmlns:c16="http://schemas.microsoft.com/office/drawing/2014/chart" uri="{C3380CC4-5D6E-409C-BE32-E72D297353CC}">
              <c16:uniqueId val="{00000004-8335-4432-8132-6E1F944A9F99}"/>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39.2256</c:v>
              </c:pt>
              <c:pt idx="1">
                <c:v>39.2256</c:v>
              </c:pt>
              <c:pt idx="2">
                <c:v>39.2256</c:v>
              </c:pt>
              <c:pt idx="3">
                <c:v>39.2256</c:v>
              </c:pt>
              <c:pt idx="4">
                <c:v>39.2256</c:v>
              </c:pt>
              <c:pt idx="5">
                <c:v>39.2256</c:v>
              </c:pt>
              <c:pt idx="6">
                <c:v>39.2256</c:v>
              </c:pt>
              <c:pt idx="7">
                <c:v>39.2256</c:v>
              </c:pt>
              <c:pt idx="8">
                <c:v>39.2256</c:v>
              </c:pt>
              <c:pt idx="9">
                <c:v>39.2256</c:v>
              </c:pt>
              <c:pt idx="10">
                <c:v>39.2256</c:v>
              </c:pt>
              <c:pt idx="11">
                <c:v>39.2256</c:v>
              </c:pt>
              <c:pt idx="12">
                <c:v>39.2256</c:v>
              </c:pt>
              <c:pt idx="13">
                <c:v>39.2256</c:v>
              </c:pt>
              <c:pt idx="14">
                <c:v>39.2256</c:v>
              </c:pt>
              <c:pt idx="15">
                <c:v>39.2256</c:v>
              </c:pt>
              <c:pt idx="16">
                <c:v>39.2256</c:v>
              </c:pt>
              <c:pt idx="17">
                <c:v>39.2256</c:v>
              </c:pt>
              <c:pt idx="18">
                <c:v>39.2256</c:v>
              </c:pt>
              <c:pt idx="19">
                <c:v>39.2256</c:v>
              </c:pt>
            </c:numLit>
          </c:yVal>
          <c:smooth val="0"/>
          <c:extLst>
            <c:ext xmlns:c16="http://schemas.microsoft.com/office/drawing/2014/chart" uri="{C3380CC4-5D6E-409C-BE32-E72D297353CC}">
              <c16:uniqueId val="{00000000-9ADC-43FF-AEA5-293DDE747603}"/>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3.1103999999999998</c:v>
              </c:pt>
              <c:pt idx="1">
                <c:v>4.6655999999999995</c:v>
              </c:pt>
              <c:pt idx="2">
                <c:v>6.2207999999999997</c:v>
              </c:pt>
              <c:pt idx="3">
                <c:v>7.7759999999999998</c:v>
              </c:pt>
              <c:pt idx="4">
                <c:v>9.3311999999999991</c:v>
              </c:pt>
              <c:pt idx="5">
                <c:v>10.8864</c:v>
              </c:pt>
              <c:pt idx="6">
                <c:v>12.441599999999999</c:v>
              </c:pt>
              <c:pt idx="7">
                <c:v>13.9968</c:v>
              </c:pt>
              <c:pt idx="8">
                <c:v>15.552</c:v>
              </c:pt>
              <c:pt idx="9">
                <c:v>17.107199999999999</c:v>
              </c:pt>
              <c:pt idx="10">
                <c:v>18.662399999999998</c:v>
              </c:pt>
              <c:pt idx="11">
                <c:v>20.217600000000001</c:v>
              </c:pt>
              <c:pt idx="12">
                <c:v>21.7728</c:v>
              </c:pt>
              <c:pt idx="13">
                <c:v>23.327999999999999</c:v>
              </c:pt>
              <c:pt idx="14">
                <c:v>24.883199999999999</c:v>
              </c:pt>
              <c:pt idx="15">
                <c:v>26.438399999999998</c:v>
              </c:pt>
              <c:pt idx="16">
                <c:v>27.993600000000001</c:v>
              </c:pt>
              <c:pt idx="17">
                <c:v>29.5488</c:v>
              </c:pt>
              <c:pt idx="18">
                <c:v>31.103999999999999</c:v>
              </c:pt>
              <c:pt idx="19">
                <c:v>32.659199999999998</c:v>
              </c:pt>
            </c:numLit>
          </c:yVal>
          <c:smooth val="0"/>
          <c:extLst>
            <c:ext xmlns:c16="http://schemas.microsoft.com/office/drawing/2014/chart" uri="{C3380CC4-5D6E-409C-BE32-E72D297353CC}">
              <c16:uniqueId val="{00000001-9ADC-43FF-AEA5-293DDE747603}"/>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c:v>
              </c:pt>
              <c:pt idx="1">
                <c:v>4</c:v>
              </c:pt>
              <c:pt idx="2">
                <c:v>4</c:v>
              </c:pt>
              <c:pt idx="3">
                <c:v>4</c:v>
              </c:pt>
              <c:pt idx="4">
                <c:v>4</c:v>
              </c:pt>
              <c:pt idx="5">
                <c:v>6</c:v>
              </c:pt>
              <c:pt idx="6">
                <c:v>6</c:v>
              </c:pt>
              <c:pt idx="7">
                <c:v>6</c:v>
              </c:pt>
              <c:pt idx="8">
                <c:v>6</c:v>
              </c:pt>
              <c:pt idx="9">
                <c:v>6</c:v>
              </c:pt>
              <c:pt idx="10">
                <c:v>8</c:v>
              </c:pt>
              <c:pt idx="11">
                <c:v>8</c:v>
              </c:pt>
              <c:pt idx="12">
                <c:v>8</c:v>
              </c:pt>
              <c:pt idx="13">
                <c:v>8</c:v>
              </c:pt>
              <c:pt idx="14">
                <c:v>8</c:v>
              </c:pt>
              <c:pt idx="15">
                <c:v>10</c:v>
              </c:pt>
              <c:pt idx="16">
                <c:v>10</c:v>
              </c:pt>
              <c:pt idx="17">
                <c:v>10</c:v>
              </c:pt>
              <c:pt idx="18">
                <c:v>10</c:v>
              </c:pt>
              <c:pt idx="19">
                <c:v>10</c:v>
              </c:pt>
            </c:numLit>
          </c:yVal>
          <c:smooth val="0"/>
          <c:extLst>
            <c:ext xmlns:c16="http://schemas.microsoft.com/office/drawing/2014/chart" uri="{C3380CC4-5D6E-409C-BE32-E72D297353CC}">
              <c16:uniqueId val="{00000002-9ADC-43FF-AEA5-293DDE747603}"/>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31.31999999999999</c:v>
              </c:pt>
              <c:pt idx="11">
                <c:v>31.31999999999999</c:v>
              </c:pt>
              <c:pt idx="12">
                <c:v>31.31999999999999</c:v>
              </c:pt>
              <c:pt idx="13">
                <c:v>31.31999999999999</c:v>
              </c:pt>
              <c:pt idx="14">
                <c:v>31.31999999999999</c:v>
              </c:pt>
              <c:pt idx="15">
                <c:v>46.979999999999983</c:v>
              </c:pt>
              <c:pt idx="16">
                <c:v>46.979999999999983</c:v>
              </c:pt>
              <c:pt idx="17">
                <c:v>46.979999999999983</c:v>
              </c:pt>
              <c:pt idx="18">
                <c:v>46.979999999999983</c:v>
              </c:pt>
              <c:pt idx="19">
                <c:v>46.979999999999983</c:v>
              </c:pt>
            </c:numLit>
          </c:yVal>
          <c:smooth val="0"/>
          <c:extLst>
            <c:ext xmlns:c16="http://schemas.microsoft.com/office/drawing/2014/chart" uri="{C3380CC4-5D6E-409C-BE32-E72D297353CC}">
              <c16:uniqueId val="{00000003-9ADC-43FF-AEA5-293DDE747603}"/>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1.1640000000000001</c:v>
              </c:pt>
              <c:pt idx="11">
                <c:v>1.1640000000000001</c:v>
              </c:pt>
              <c:pt idx="12">
                <c:v>1.1640000000000001</c:v>
              </c:pt>
              <c:pt idx="13">
                <c:v>1.1640000000000001</c:v>
              </c:pt>
              <c:pt idx="14">
                <c:v>1.1640000000000001</c:v>
              </c:pt>
              <c:pt idx="15">
                <c:v>1.7460000000000002</c:v>
              </c:pt>
              <c:pt idx="16">
                <c:v>1.7460000000000002</c:v>
              </c:pt>
              <c:pt idx="17">
                <c:v>1.7460000000000002</c:v>
              </c:pt>
              <c:pt idx="18">
                <c:v>1.7460000000000002</c:v>
              </c:pt>
              <c:pt idx="19">
                <c:v>1.7460000000000002</c:v>
              </c:pt>
            </c:numLit>
          </c:yVal>
          <c:smooth val="0"/>
          <c:extLst>
            <c:ext xmlns:c16="http://schemas.microsoft.com/office/drawing/2014/chart" uri="{C3380CC4-5D6E-409C-BE32-E72D297353CC}">
              <c16:uniqueId val="{00000004-9ADC-43FF-AEA5-293DDE747603}"/>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573.56000000000006</c:v>
              </c:pt>
              <c:pt idx="1">
                <c:v>597.78000000000009</c:v>
              </c:pt>
              <c:pt idx="2">
                <c:v>622.0200000000001</c:v>
              </c:pt>
              <c:pt idx="3">
                <c:v>646.2600000000001</c:v>
              </c:pt>
              <c:pt idx="4">
                <c:v>670.50000000000011</c:v>
              </c:pt>
              <c:pt idx="5">
                <c:v>707.6400000000001</c:v>
              </c:pt>
              <c:pt idx="6">
                <c:v>731.88000000000011</c:v>
              </c:pt>
              <c:pt idx="7">
                <c:v>756.12000000000012</c:v>
              </c:pt>
              <c:pt idx="8">
                <c:v>780.36000000000013</c:v>
              </c:pt>
              <c:pt idx="9">
                <c:v>804.60000000000014</c:v>
              </c:pt>
            </c:numLit>
          </c:yVal>
          <c:smooth val="0"/>
          <c:extLst>
            <c:ext xmlns:c16="http://schemas.microsoft.com/office/drawing/2014/chart" uri="{C3380CC4-5D6E-409C-BE32-E72D297353CC}">
              <c16:uniqueId val="{00000000-82F2-4549-A40E-22F92885845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45.832699999999996</c:v>
              </c:pt>
              <c:pt idx="1">
                <c:v>84.13669999999999</c:v>
              </c:pt>
              <c:pt idx="2">
                <c:v>122.44069999999999</c:v>
              </c:pt>
              <c:pt idx="3">
                <c:v>160.74469999999997</c:v>
              </c:pt>
              <c:pt idx="4">
                <c:v>199.04869999999997</c:v>
              </c:pt>
              <c:pt idx="5">
                <c:v>237.35269999999997</c:v>
              </c:pt>
              <c:pt idx="6">
                <c:v>275.6567</c:v>
              </c:pt>
              <c:pt idx="7">
                <c:v>313.96069999999997</c:v>
              </c:pt>
              <c:pt idx="8">
                <c:v>419.31600000000003</c:v>
              </c:pt>
              <c:pt idx="9">
                <c:v>462.22800000000001</c:v>
              </c:pt>
            </c:numLit>
          </c:yVal>
          <c:smooth val="0"/>
          <c:extLst>
            <c:ext xmlns:c16="http://schemas.microsoft.com/office/drawing/2014/chart" uri="{C3380CC4-5D6E-409C-BE32-E72D297353CC}">
              <c16:uniqueId val="{00000000-0FCC-45FD-BA64-81BE01141C6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39.2256</c:v>
              </c:pt>
              <c:pt idx="1">
                <c:v>39.2256</c:v>
              </c:pt>
              <c:pt idx="2">
                <c:v>39.2256</c:v>
              </c:pt>
              <c:pt idx="3">
                <c:v>39.2256</c:v>
              </c:pt>
              <c:pt idx="4">
                <c:v>39.2256</c:v>
              </c:pt>
              <c:pt idx="5">
                <c:v>39.2256</c:v>
              </c:pt>
              <c:pt idx="6">
                <c:v>39.2256</c:v>
              </c:pt>
              <c:pt idx="7">
                <c:v>39.2256</c:v>
              </c:pt>
              <c:pt idx="8">
                <c:v>39.2256</c:v>
              </c:pt>
              <c:pt idx="9">
                <c:v>39.2256</c:v>
              </c:pt>
            </c:numLit>
          </c:yVal>
          <c:smooth val="0"/>
          <c:extLst>
            <c:ext xmlns:c16="http://schemas.microsoft.com/office/drawing/2014/chart" uri="{C3380CC4-5D6E-409C-BE32-E72D297353CC}">
              <c16:uniqueId val="{00000000-191B-40A1-9D89-12035C862DA0}"/>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32.659199999999998</c:v>
              </c:pt>
              <c:pt idx="1">
                <c:v>34.214399999999998</c:v>
              </c:pt>
              <c:pt idx="2">
                <c:v>35.769599999999997</c:v>
              </c:pt>
              <c:pt idx="3">
                <c:v>37.324799999999996</c:v>
              </c:pt>
              <c:pt idx="4">
                <c:v>38.879999999999995</c:v>
              </c:pt>
              <c:pt idx="5">
                <c:v>40.435200000000002</c:v>
              </c:pt>
              <c:pt idx="6">
                <c:v>41.990400000000001</c:v>
              </c:pt>
              <c:pt idx="7">
                <c:v>43.5456</c:v>
              </c:pt>
              <c:pt idx="8">
                <c:v>45.1008</c:v>
              </c:pt>
              <c:pt idx="9">
                <c:v>46.655999999999999</c:v>
              </c:pt>
            </c:numLit>
          </c:yVal>
          <c:smooth val="0"/>
          <c:extLst>
            <c:ext xmlns:c16="http://schemas.microsoft.com/office/drawing/2014/chart" uri="{C3380CC4-5D6E-409C-BE32-E72D297353CC}">
              <c16:uniqueId val="{00000001-191B-40A1-9D89-12035C862DA0}"/>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10</c:v>
              </c:pt>
              <c:pt idx="1">
                <c:v>10</c:v>
              </c:pt>
              <c:pt idx="2">
                <c:v>10</c:v>
              </c:pt>
              <c:pt idx="3">
                <c:v>10</c:v>
              </c:pt>
              <c:pt idx="4">
                <c:v>10</c:v>
              </c:pt>
              <c:pt idx="5">
                <c:v>12</c:v>
              </c:pt>
              <c:pt idx="6">
                <c:v>12</c:v>
              </c:pt>
              <c:pt idx="7">
                <c:v>12</c:v>
              </c:pt>
              <c:pt idx="8">
                <c:v>12</c:v>
              </c:pt>
              <c:pt idx="9">
                <c:v>12</c:v>
              </c:pt>
            </c:numLit>
          </c:yVal>
          <c:smooth val="0"/>
          <c:extLst>
            <c:ext xmlns:c16="http://schemas.microsoft.com/office/drawing/2014/chart" uri="{C3380CC4-5D6E-409C-BE32-E72D297353CC}">
              <c16:uniqueId val="{00000002-191B-40A1-9D89-12035C862DA0}"/>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46.979999999999983</c:v>
              </c:pt>
              <c:pt idx="1">
                <c:v>46.979999999999983</c:v>
              </c:pt>
              <c:pt idx="2">
                <c:v>46.979999999999983</c:v>
              </c:pt>
              <c:pt idx="3">
                <c:v>46.979999999999983</c:v>
              </c:pt>
              <c:pt idx="4">
                <c:v>46.979999999999983</c:v>
              </c:pt>
              <c:pt idx="5">
                <c:v>46.979999999999983</c:v>
              </c:pt>
              <c:pt idx="6">
                <c:v>46.979999999999983</c:v>
              </c:pt>
              <c:pt idx="7">
                <c:v>46.979999999999983</c:v>
              </c:pt>
              <c:pt idx="8">
                <c:v>46.979999999999983</c:v>
              </c:pt>
              <c:pt idx="9">
                <c:v>46.979999999999983</c:v>
              </c:pt>
            </c:numLit>
          </c:yVal>
          <c:smooth val="0"/>
          <c:extLst>
            <c:ext xmlns:c16="http://schemas.microsoft.com/office/drawing/2014/chart" uri="{C3380CC4-5D6E-409C-BE32-E72D297353CC}">
              <c16:uniqueId val="{00000003-191B-40A1-9D89-12035C862DA0}"/>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1.7460000000000002</c:v>
              </c:pt>
              <c:pt idx="1">
                <c:v>3.4920000000000004</c:v>
              </c:pt>
              <c:pt idx="2">
                <c:v>5.2379999999999995</c:v>
              </c:pt>
              <c:pt idx="3">
                <c:v>6.9840000000000009</c:v>
              </c:pt>
              <c:pt idx="4">
                <c:v>8.73</c:v>
              </c:pt>
              <c:pt idx="5">
                <c:v>10.475999999999999</c:v>
              </c:pt>
              <c:pt idx="6">
                <c:v>12.222</c:v>
              </c:pt>
              <c:pt idx="7">
                <c:v>13.968000000000002</c:v>
              </c:pt>
              <c:pt idx="8">
                <c:v>15.714000000000002</c:v>
              </c:pt>
              <c:pt idx="9">
                <c:v>17.46</c:v>
              </c:pt>
            </c:numLit>
          </c:yVal>
          <c:smooth val="0"/>
          <c:extLst>
            <c:ext xmlns:c16="http://schemas.microsoft.com/office/drawing/2014/chart" uri="{C3380CC4-5D6E-409C-BE32-E72D297353CC}">
              <c16:uniqueId val="{00000004-191B-40A1-9D89-12035C862DA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197.64</c:v>
              </c:pt>
              <c:pt idx="1">
                <c:v>302.15999999999997</c:v>
              </c:pt>
              <c:pt idx="2">
                <c:v>448.92000000000007</c:v>
              </c:pt>
              <c:pt idx="3">
                <c:v>553.31999999999994</c:v>
              </c:pt>
              <c:pt idx="4">
                <c:v>700.2</c:v>
              </c:pt>
              <c:pt idx="5">
                <c:v>804.60000000000014</c:v>
              </c:pt>
            </c:numLit>
          </c:yVal>
          <c:smooth val="0"/>
          <c:extLst>
            <c:ext xmlns:c16="http://schemas.microsoft.com/office/drawing/2014/chart" uri="{C3380CC4-5D6E-409C-BE32-E72D297353CC}">
              <c16:uniqueId val="{00000000-C0B6-406F-B0F6-65C110A3D942}"/>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462.22800000000001</c:v>
              </c:pt>
              <c:pt idx="1">
                <c:v>462.22800000000001</c:v>
              </c:pt>
              <c:pt idx="2">
                <c:v>462.22800000000001</c:v>
              </c:pt>
              <c:pt idx="3">
                <c:v>462.22800000000001</c:v>
              </c:pt>
              <c:pt idx="4">
                <c:v>462.22800000000001</c:v>
              </c:pt>
              <c:pt idx="5">
                <c:v>462.22800000000001</c:v>
              </c:pt>
            </c:numLit>
          </c:yVal>
          <c:smooth val="0"/>
          <c:extLst>
            <c:ext xmlns:c16="http://schemas.microsoft.com/office/drawing/2014/chart" uri="{C3380CC4-5D6E-409C-BE32-E72D297353CC}">
              <c16:uniqueId val="{00000000-8147-413C-BE79-E35F37CACD2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6.5375999999999994</c:v>
              </c:pt>
              <c:pt idx="1">
                <c:v>13.075199999999999</c:v>
              </c:pt>
              <c:pt idx="2">
                <c:v>19.6128</c:v>
              </c:pt>
              <c:pt idx="3">
                <c:v>26.150399999999998</c:v>
              </c:pt>
              <c:pt idx="4">
                <c:v>32.687999999999995</c:v>
              </c:pt>
              <c:pt idx="5">
                <c:v>39.2256</c:v>
              </c:pt>
            </c:numLit>
          </c:yVal>
          <c:smooth val="0"/>
          <c:extLst>
            <c:ext xmlns:c16="http://schemas.microsoft.com/office/drawing/2014/chart" uri="{C3380CC4-5D6E-409C-BE32-E72D297353CC}">
              <c16:uniqueId val="{00000000-E3F6-4419-8AAA-1A8B2F1BB380}"/>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7.7759999999999998</c:v>
              </c:pt>
              <c:pt idx="1">
                <c:v>15.552</c:v>
              </c:pt>
              <c:pt idx="2">
                <c:v>23.327999999999999</c:v>
              </c:pt>
              <c:pt idx="3">
                <c:v>31.103999999999999</c:v>
              </c:pt>
              <c:pt idx="4">
                <c:v>38.879999999999995</c:v>
              </c:pt>
              <c:pt idx="5">
                <c:v>46.655999999999999</c:v>
              </c:pt>
            </c:numLit>
          </c:yVal>
          <c:smooth val="0"/>
          <c:extLst>
            <c:ext xmlns:c16="http://schemas.microsoft.com/office/drawing/2014/chart" uri="{C3380CC4-5D6E-409C-BE32-E72D297353CC}">
              <c16:uniqueId val="{00000001-E3F6-4419-8AAA-1A8B2F1BB380}"/>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c:v>
              </c:pt>
              <c:pt idx="1">
                <c:v>12</c:v>
              </c:pt>
              <c:pt idx="2">
                <c:v>12</c:v>
              </c:pt>
              <c:pt idx="3">
                <c:v>12</c:v>
              </c:pt>
              <c:pt idx="4">
                <c:v>12</c:v>
              </c:pt>
              <c:pt idx="5">
                <c:v>12</c:v>
              </c:pt>
            </c:numLit>
          </c:yVal>
          <c:smooth val="0"/>
          <c:extLst>
            <c:ext xmlns:c16="http://schemas.microsoft.com/office/drawing/2014/chart" uri="{C3380CC4-5D6E-409C-BE32-E72D297353CC}">
              <c16:uniqueId val="{00000002-E3F6-4419-8AAA-1A8B2F1BB380}"/>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12.479999999999997</c:v>
              </c:pt>
              <c:pt idx="1">
                <c:v>19.379999999999995</c:v>
              </c:pt>
              <c:pt idx="2">
                <c:v>26.279999999999994</c:v>
              </c:pt>
              <c:pt idx="3">
                <c:v>33.179999999999986</c:v>
              </c:pt>
              <c:pt idx="4">
                <c:v>40.079999999999984</c:v>
              </c:pt>
              <c:pt idx="5">
                <c:v>46.979999999999983</c:v>
              </c:pt>
            </c:numLit>
          </c:yVal>
          <c:smooth val="0"/>
          <c:extLst>
            <c:ext xmlns:c16="http://schemas.microsoft.com/office/drawing/2014/chart" uri="{C3380CC4-5D6E-409C-BE32-E72D297353CC}">
              <c16:uniqueId val="{00000003-E3F6-4419-8AAA-1A8B2F1BB380}"/>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17.46</c:v>
              </c:pt>
              <c:pt idx="1">
                <c:v>17.46</c:v>
              </c:pt>
              <c:pt idx="2">
                <c:v>17.46</c:v>
              </c:pt>
              <c:pt idx="3">
                <c:v>17.46</c:v>
              </c:pt>
              <c:pt idx="4">
                <c:v>17.46</c:v>
              </c:pt>
              <c:pt idx="5">
                <c:v>17.46</c:v>
              </c:pt>
            </c:numLit>
          </c:yVal>
          <c:smooth val="0"/>
          <c:extLst>
            <c:ext xmlns:c16="http://schemas.microsoft.com/office/drawing/2014/chart" uri="{C3380CC4-5D6E-409C-BE32-E72D297353CC}">
              <c16:uniqueId val="{00000004-E3F6-4419-8AAA-1A8B2F1BB38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5.0708000000000002</c:v>
              </c:pt>
              <c:pt idx="1">
                <c:v>6.6115999999999993</c:v>
              </c:pt>
              <c:pt idx="2">
                <c:v>8.1524000000000001</c:v>
              </c:pt>
              <c:pt idx="3">
                <c:v>9.6931999999999992</c:v>
              </c:pt>
              <c:pt idx="4">
                <c:v>11.234</c:v>
              </c:pt>
              <c:pt idx="5">
                <c:v>12.774799999999999</c:v>
              </c:pt>
              <c:pt idx="6">
                <c:v>14.315599999999998</c:v>
              </c:pt>
              <c:pt idx="7">
                <c:v>15.856399999999999</c:v>
              </c:pt>
              <c:pt idx="8">
                <c:v>24.765499999999999</c:v>
              </c:pt>
              <c:pt idx="9">
                <c:v>26.680699999999998</c:v>
              </c:pt>
              <c:pt idx="10">
                <c:v>28.5959</c:v>
              </c:pt>
              <c:pt idx="11">
                <c:v>30.511099999999999</c:v>
              </c:pt>
              <c:pt idx="12">
                <c:v>32.426299999999998</c:v>
              </c:pt>
              <c:pt idx="13">
                <c:v>34.341499999999996</c:v>
              </c:pt>
              <c:pt idx="14">
                <c:v>36.256699999999995</c:v>
              </c:pt>
              <c:pt idx="15">
                <c:v>38.171900000000001</c:v>
              </c:pt>
              <c:pt idx="16">
                <c:v>40.0871</c:v>
              </c:pt>
              <c:pt idx="17">
                <c:v>42.002299999999998</c:v>
              </c:pt>
              <c:pt idx="18">
                <c:v>43.917499999999997</c:v>
              </c:pt>
              <c:pt idx="19">
                <c:v>45.832699999999996</c:v>
              </c:pt>
            </c:numLit>
          </c:yVal>
          <c:smooth val="0"/>
          <c:extLst>
            <c:ext xmlns:c16="http://schemas.microsoft.com/office/drawing/2014/chart" uri="{C3380CC4-5D6E-409C-BE32-E72D297353CC}">
              <c16:uniqueId val="{00000000-8B50-42CF-B3DF-27CA7826B14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73.959999999999994</c:v>
              </c:pt>
              <c:pt idx="1">
                <c:v>97.94</c:v>
              </c:pt>
              <c:pt idx="2">
                <c:v>121.94</c:v>
              </c:pt>
              <c:pt idx="3">
                <c:v>145.94</c:v>
              </c:pt>
              <c:pt idx="4">
                <c:v>169.82</c:v>
              </c:pt>
              <c:pt idx="5">
                <c:v>206.9</c:v>
              </c:pt>
              <c:pt idx="6">
                <c:v>230.9</c:v>
              </c:pt>
              <c:pt idx="7">
                <c:v>254.9</c:v>
              </c:pt>
              <c:pt idx="8">
                <c:v>278.66000000000003</c:v>
              </c:pt>
              <c:pt idx="9">
                <c:v>302.66000000000003</c:v>
              </c:pt>
              <c:pt idx="10">
                <c:v>339.86</c:v>
              </c:pt>
              <c:pt idx="11">
                <c:v>363.86</c:v>
              </c:pt>
              <c:pt idx="12">
                <c:v>387.62000000000006</c:v>
              </c:pt>
              <c:pt idx="13">
                <c:v>411.5</c:v>
              </c:pt>
              <c:pt idx="14">
                <c:v>435.5</c:v>
              </c:pt>
              <c:pt idx="15">
                <c:v>472.82000000000005</c:v>
              </c:pt>
              <c:pt idx="16">
                <c:v>496.58000000000004</c:v>
              </c:pt>
              <c:pt idx="17">
                <c:v>520.34</c:v>
              </c:pt>
              <c:pt idx="18">
                <c:v>544.34</c:v>
              </c:pt>
              <c:pt idx="19">
                <c:v>568.34</c:v>
              </c:pt>
            </c:numLit>
          </c:yVal>
          <c:smooth val="0"/>
          <c:extLst>
            <c:ext xmlns:c16="http://schemas.microsoft.com/office/drawing/2014/chart" uri="{C3380CC4-5D6E-409C-BE32-E72D297353CC}">
              <c16:uniqueId val="{00000000-ED6F-4CAE-B10D-EEC4E15B9BE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39.2256</c:v>
              </c:pt>
              <c:pt idx="1">
                <c:v>39.2256</c:v>
              </c:pt>
              <c:pt idx="2">
                <c:v>39.2256</c:v>
              </c:pt>
              <c:pt idx="3">
                <c:v>39.2256</c:v>
              </c:pt>
              <c:pt idx="4">
                <c:v>39.2256</c:v>
              </c:pt>
              <c:pt idx="5">
                <c:v>39.2256</c:v>
              </c:pt>
              <c:pt idx="6">
                <c:v>39.2256</c:v>
              </c:pt>
              <c:pt idx="7">
                <c:v>39.2256</c:v>
              </c:pt>
              <c:pt idx="8">
                <c:v>39.2256</c:v>
              </c:pt>
              <c:pt idx="9">
                <c:v>39.2256</c:v>
              </c:pt>
              <c:pt idx="10">
                <c:v>39.2256</c:v>
              </c:pt>
              <c:pt idx="11">
                <c:v>39.2256</c:v>
              </c:pt>
              <c:pt idx="12">
                <c:v>39.2256</c:v>
              </c:pt>
              <c:pt idx="13">
                <c:v>39.2256</c:v>
              </c:pt>
              <c:pt idx="14">
                <c:v>39.2256</c:v>
              </c:pt>
              <c:pt idx="15">
                <c:v>39.2256</c:v>
              </c:pt>
              <c:pt idx="16">
                <c:v>39.2256</c:v>
              </c:pt>
              <c:pt idx="17">
                <c:v>39.2256</c:v>
              </c:pt>
              <c:pt idx="18">
                <c:v>39.2256</c:v>
              </c:pt>
              <c:pt idx="19">
                <c:v>39.2256</c:v>
              </c:pt>
            </c:numLit>
          </c:yVal>
          <c:smooth val="0"/>
          <c:extLst>
            <c:ext xmlns:c16="http://schemas.microsoft.com/office/drawing/2014/chart" uri="{C3380CC4-5D6E-409C-BE32-E72D297353CC}">
              <c16:uniqueId val="{00000000-A2A2-46B1-B101-C65B57DB7335}"/>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3.1103999999999998</c:v>
              </c:pt>
              <c:pt idx="1">
                <c:v>4.6655999999999995</c:v>
              </c:pt>
              <c:pt idx="2">
                <c:v>6.2207999999999997</c:v>
              </c:pt>
              <c:pt idx="3">
                <c:v>7.7759999999999998</c:v>
              </c:pt>
              <c:pt idx="4">
                <c:v>9.3311999999999991</c:v>
              </c:pt>
              <c:pt idx="5">
                <c:v>10.8864</c:v>
              </c:pt>
              <c:pt idx="6">
                <c:v>12.441599999999999</c:v>
              </c:pt>
              <c:pt idx="7">
                <c:v>13.9968</c:v>
              </c:pt>
              <c:pt idx="8">
                <c:v>15.552</c:v>
              </c:pt>
              <c:pt idx="9">
                <c:v>17.107199999999999</c:v>
              </c:pt>
              <c:pt idx="10">
                <c:v>18.662399999999998</c:v>
              </c:pt>
              <c:pt idx="11">
                <c:v>20.217600000000001</c:v>
              </c:pt>
              <c:pt idx="12">
                <c:v>21.7728</c:v>
              </c:pt>
              <c:pt idx="13">
                <c:v>23.327999999999999</c:v>
              </c:pt>
              <c:pt idx="14">
                <c:v>24.883199999999999</c:v>
              </c:pt>
              <c:pt idx="15">
                <c:v>26.438399999999998</c:v>
              </c:pt>
              <c:pt idx="16">
                <c:v>27.993600000000001</c:v>
              </c:pt>
              <c:pt idx="17">
                <c:v>29.5488</c:v>
              </c:pt>
              <c:pt idx="18">
                <c:v>31.103999999999999</c:v>
              </c:pt>
              <c:pt idx="19">
                <c:v>32.659199999999998</c:v>
              </c:pt>
            </c:numLit>
          </c:yVal>
          <c:smooth val="0"/>
          <c:extLst>
            <c:ext xmlns:c16="http://schemas.microsoft.com/office/drawing/2014/chart" uri="{C3380CC4-5D6E-409C-BE32-E72D297353CC}">
              <c16:uniqueId val="{00000001-A2A2-46B1-B101-C65B57DB7335}"/>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c:v>
              </c:pt>
              <c:pt idx="1">
                <c:v>4</c:v>
              </c:pt>
              <c:pt idx="2">
                <c:v>4</c:v>
              </c:pt>
              <c:pt idx="3">
                <c:v>4</c:v>
              </c:pt>
              <c:pt idx="4">
                <c:v>4</c:v>
              </c:pt>
              <c:pt idx="5">
                <c:v>6</c:v>
              </c:pt>
              <c:pt idx="6">
                <c:v>6</c:v>
              </c:pt>
              <c:pt idx="7">
                <c:v>6</c:v>
              </c:pt>
              <c:pt idx="8">
                <c:v>6</c:v>
              </c:pt>
              <c:pt idx="9">
                <c:v>6</c:v>
              </c:pt>
              <c:pt idx="10">
                <c:v>8</c:v>
              </c:pt>
              <c:pt idx="11">
                <c:v>8</c:v>
              </c:pt>
              <c:pt idx="12">
                <c:v>8</c:v>
              </c:pt>
              <c:pt idx="13">
                <c:v>8</c:v>
              </c:pt>
              <c:pt idx="14">
                <c:v>8</c:v>
              </c:pt>
              <c:pt idx="15">
                <c:v>10</c:v>
              </c:pt>
              <c:pt idx="16">
                <c:v>10</c:v>
              </c:pt>
              <c:pt idx="17">
                <c:v>10</c:v>
              </c:pt>
              <c:pt idx="18">
                <c:v>10</c:v>
              </c:pt>
              <c:pt idx="19">
                <c:v>10</c:v>
              </c:pt>
            </c:numLit>
          </c:yVal>
          <c:smooth val="0"/>
          <c:extLst>
            <c:ext xmlns:c16="http://schemas.microsoft.com/office/drawing/2014/chart" uri="{C3380CC4-5D6E-409C-BE32-E72D297353CC}">
              <c16:uniqueId val="{00000002-A2A2-46B1-B101-C65B57DB7335}"/>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31.31999999999999</c:v>
              </c:pt>
              <c:pt idx="11">
                <c:v>31.31999999999999</c:v>
              </c:pt>
              <c:pt idx="12">
                <c:v>31.31999999999999</c:v>
              </c:pt>
              <c:pt idx="13">
                <c:v>31.31999999999999</c:v>
              </c:pt>
              <c:pt idx="14">
                <c:v>31.31999999999999</c:v>
              </c:pt>
              <c:pt idx="15">
                <c:v>46.979999999999983</c:v>
              </c:pt>
              <c:pt idx="16">
                <c:v>46.979999999999983</c:v>
              </c:pt>
              <c:pt idx="17">
                <c:v>46.979999999999983</c:v>
              </c:pt>
              <c:pt idx="18">
                <c:v>46.979999999999983</c:v>
              </c:pt>
              <c:pt idx="19">
                <c:v>46.979999999999983</c:v>
              </c:pt>
            </c:numLit>
          </c:yVal>
          <c:smooth val="0"/>
          <c:extLst>
            <c:ext xmlns:c16="http://schemas.microsoft.com/office/drawing/2014/chart" uri="{C3380CC4-5D6E-409C-BE32-E72D297353CC}">
              <c16:uniqueId val="{00000003-A2A2-46B1-B101-C65B57DB7335}"/>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1.1640000000000001</c:v>
              </c:pt>
              <c:pt idx="11">
                <c:v>1.1640000000000001</c:v>
              </c:pt>
              <c:pt idx="12">
                <c:v>1.1640000000000001</c:v>
              </c:pt>
              <c:pt idx="13">
                <c:v>1.1640000000000001</c:v>
              </c:pt>
              <c:pt idx="14">
                <c:v>1.1640000000000001</c:v>
              </c:pt>
              <c:pt idx="15">
                <c:v>1.7460000000000002</c:v>
              </c:pt>
              <c:pt idx="16">
                <c:v>1.7460000000000002</c:v>
              </c:pt>
              <c:pt idx="17">
                <c:v>1.7460000000000002</c:v>
              </c:pt>
              <c:pt idx="18">
                <c:v>1.7460000000000002</c:v>
              </c:pt>
              <c:pt idx="19">
                <c:v>1.7460000000000002</c:v>
              </c:pt>
            </c:numLit>
          </c:yVal>
          <c:smooth val="0"/>
          <c:extLst>
            <c:ext xmlns:c16="http://schemas.microsoft.com/office/drawing/2014/chart" uri="{C3380CC4-5D6E-409C-BE32-E72D297353CC}">
              <c16:uniqueId val="{00000004-A2A2-46B1-B101-C65B57DB733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5.0708000000000002</c:v>
              </c:pt>
              <c:pt idx="1">
                <c:v>6.6115999999999993</c:v>
              </c:pt>
              <c:pt idx="2">
                <c:v>8.1524000000000001</c:v>
              </c:pt>
              <c:pt idx="3">
                <c:v>9.6931999999999992</c:v>
              </c:pt>
              <c:pt idx="4">
                <c:v>11.234</c:v>
              </c:pt>
              <c:pt idx="5">
                <c:v>12.774799999999999</c:v>
              </c:pt>
              <c:pt idx="6">
                <c:v>14.315599999999998</c:v>
              </c:pt>
              <c:pt idx="7">
                <c:v>15.856399999999999</c:v>
              </c:pt>
              <c:pt idx="8">
                <c:v>24.765499999999999</c:v>
              </c:pt>
              <c:pt idx="9">
                <c:v>26.680699999999998</c:v>
              </c:pt>
              <c:pt idx="10">
                <c:v>28.5959</c:v>
              </c:pt>
              <c:pt idx="11">
                <c:v>30.511099999999999</c:v>
              </c:pt>
              <c:pt idx="12">
                <c:v>32.426299999999998</c:v>
              </c:pt>
              <c:pt idx="13">
                <c:v>34.341499999999996</c:v>
              </c:pt>
              <c:pt idx="14">
                <c:v>36.256699999999995</c:v>
              </c:pt>
              <c:pt idx="15">
                <c:v>38.171900000000001</c:v>
              </c:pt>
              <c:pt idx="16">
                <c:v>40.0871</c:v>
              </c:pt>
              <c:pt idx="17">
                <c:v>42.002299999999998</c:v>
              </c:pt>
              <c:pt idx="18">
                <c:v>43.917499999999997</c:v>
              </c:pt>
              <c:pt idx="19">
                <c:v>45.832699999999996</c:v>
              </c:pt>
            </c:numLit>
          </c:yVal>
          <c:smooth val="0"/>
          <c:extLst>
            <c:ext xmlns:c16="http://schemas.microsoft.com/office/drawing/2014/chart" uri="{C3380CC4-5D6E-409C-BE32-E72D297353CC}">
              <c16:uniqueId val="{00000000-1DCB-40C5-A18E-3120CD03DF52}"/>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568.34</c:v>
              </c:pt>
              <c:pt idx="1">
                <c:v>592.32000000000005</c:v>
              </c:pt>
              <c:pt idx="2">
                <c:v>616.32000000000005</c:v>
              </c:pt>
              <c:pt idx="3">
                <c:v>640.32000000000005</c:v>
              </c:pt>
              <c:pt idx="4">
                <c:v>664.2</c:v>
              </c:pt>
              <c:pt idx="5">
                <c:v>701.28</c:v>
              </c:pt>
              <c:pt idx="6">
                <c:v>725.28</c:v>
              </c:pt>
              <c:pt idx="7">
                <c:v>749.28</c:v>
              </c:pt>
              <c:pt idx="8">
                <c:v>773.04</c:v>
              </c:pt>
              <c:pt idx="9">
                <c:v>797.04</c:v>
              </c:pt>
            </c:numLit>
          </c:yVal>
          <c:smooth val="0"/>
          <c:extLst>
            <c:ext xmlns:c16="http://schemas.microsoft.com/office/drawing/2014/chart" uri="{C3380CC4-5D6E-409C-BE32-E72D297353CC}">
              <c16:uniqueId val="{00000000-7AD1-4F28-9AF7-B101671AE0C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45.832699999999996</c:v>
              </c:pt>
              <c:pt idx="1">
                <c:v>84.13669999999999</c:v>
              </c:pt>
              <c:pt idx="2">
                <c:v>122.44069999999999</c:v>
              </c:pt>
              <c:pt idx="3">
                <c:v>160.74469999999997</c:v>
              </c:pt>
              <c:pt idx="4">
                <c:v>199.04869999999997</c:v>
              </c:pt>
              <c:pt idx="5">
                <c:v>237.35269999999997</c:v>
              </c:pt>
              <c:pt idx="6">
                <c:v>275.6567</c:v>
              </c:pt>
              <c:pt idx="7">
                <c:v>313.96069999999997</c:v>
              </c:pt>
              <c:pt idx="8">
                <c:v>419.31600000000003</c:v>
              </c:pt>
              <c:pt idx="9">
                <c:v>462.22800000000001</c:v>
              </c:pt>
            </c:numLit>
          </c:yVal>
          <c:smooth val="0"/>
          <c:extLst>
            <c:ext xmlns:c16="http://schemas.microsoft.com/office/drawing/2014/chart" uri="{C3380CC4-5D6E-409C-BE32-E72D297353CC}">
              <c16:uniqueId val="{00000000-C61B-4C24-8921-6A5E1EBB5D2B}"/>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39.2256</c:v>
              </c:pt>
              <c:pt idx="1">
                <c:v>39.2256</c:v>
              </c:pt>
              <c:pt idx="2">
                <c:v>39.2256</c:v>
              </c:pt>
              <c:pt idx="3">
                <c:v>39.2256</c:v>
              </c:pt>
              <c:pt idx="4">
                <c:v>39.2256</c:v>
              </c:pt>
              <c:pt idx="5">
                <c:v>39.2256</c:v>
              </c:pt>
              <c:pt idx="6">
                <c:v>39.2256</c:v>
              </c:pt>
              <c:pt idx="7">
                <c:v>39.2256</c:v>
              </c:pt>
              <c:pt idx="8">
                <c:v>39.2256</c:v>
              </c:pt>
              <c:pt idx="9">
                <c:v>39.2256</c:v>
              </c:pt>
            </c:numLit>
          </c:yVal>
          <c:smooth val="0"/>
          <c:extLst>
            <c:ext xmlns:c16="http://schemas.microsoft.com/office/drawing/2014/chart" uri="{C3380CC4-5D6E-409C-BE32-E72D297353CC}">
              <c16:uniqueId val="{00000000-5425-4BA0-9D5A-6E3A7766415C}"/>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32.659199999999998</c:v>
              </c:pt>
              <c:pt idx="1">
                <c:v>34.214399999999998</c:v>
              </c:pt>
              <c:pt idx="2">
                <c:v>35.769599999999997</c:v>
              </c:pt>
              <c:pt idx="3">
                <c:v>37.324799999999996</c:v>
              </c:pt>
              <c:pt idx="4">
                <c:v>38.879999999999995</c:v>
              </c:pt>
              <c:pt idx="5">
                <c:v>40.435200000000002</c:v>
              </c:pt>
              <c:pt idx="6">
                <c:v>41.990400000000001</c:v>
              </c:pt>
              <c:pt idx="7">
                <c:v>43.5456</c:v>
              </c:pt>
              <c:pt idx="8">
                <c:v>45.1008</c:v>
              </c:pt>
              <c:pt idx="9">
                <c:v>46.655999999999999</c:v>
              </c:pt>
            </c:numLit>
          </c:yVal>
          <c:smooth val="0"/>
          <c:extLst>
            <c:ext xmlns:c16="http://schemas.microsoft.com/office/drawing/2014/chart" uri="{C3380CC4-5D6E-409C-BE32-E72D297353CC}">
              <c16:uniqueId val="{00000001-5425-4BA0-9D5A-6E3A7766415C}"/>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10</c:v>
              </c:pt>
              <c:pt idx="1">
                <c:v>10</c:v>
              </c:pt>
              <c:pt idx="2">
                <c:v>10</c:v>
              </c:pt>
              <c:pt idx="3">
                <c:v>10</c:v>
              </c:pt>
              <c:pt idx="4">
                <c:v>10</c:v>
              </c:pt>
              <c:pt idx="5">
                <c:v>12</c:v>
              </c:pt>
              <c:pt idx="6">
                <c:v>12</c:v>
              </c:pt>
              <c:pt idx="7">
                <c:v>12</c:v>
              </c:pt>
              <c:pt idx="8">
                <c:v>12</c:v>
              </c:pt>
              <c:pt idx="9">
                <c:v>12</c:v>
              </c:pt>
            </c:numLit>
          </c:yVal>
          <c:smooth val="0"/>
          <c:extLst>
            <c:ext xmlns:c16="http://schemas.microsoft.com/office/drawing/2014/chart" uri="{C3380CC4-5D6E-409C-BE32-E72D297353CC}">
              <c16:uniqueId val="{00000002-5425-4BA0-9D5A-6E3A7766415C}"/>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46.979999999999983</c:v>
              </c:pt>
              <c:pt idx="1">
                <c:v>46.979999999999983</c:v>
              </c:pt>
              <c:pt idx="2">
                <c:v>46.979999999999983</c:v>
              </c:pt>
              <c:pt idx="3">
                <c:v>46.979999999999983</c:v>
              </c:pt>
              <c:pt idx="4">
                <c:v>46.979999999999983</c:v>
              </c:pt>
              <c:pt idx="5">
                <c:v>46.979999999999983</c:v>
              </c:pt>
              <c:pt idx="6">
                <c:v>46.979999999999983</c:v>
              </c:pt>
              <c:pt idx="7">
                <c:v>46.979999999999983</c:v>
              </c:pt>
              <c:pt idx="8">
                <c:v>46.979999999999983</c:v>
              </c:pt>
              <c:pt idx="9">
                <c:v>46.979999999999983</c:v>
              </c:pt>
            </c:numLit>
          </c:yVal>
          <c:smooth val="0"/>
          <c:extLst>
            <c:ext xmlns:c16="http://schemas.microsoft.com/office/drawing/2014/chart" uri="{C3380CC4-5D6E-409C-BE32-E72D297353CC}">
              <c16:uniqueId val="{00000003-5425-4BA0-9D5A-6E3A7766415C}"/>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pt idx="6">
                <c:v>84</c:v>
              </c:pt>
              <c:pt idx="7">
                <c:v>96</c:v>
              </c:pt>
              <c:pt idx="8">
                <c:v>108</c:v>
              </c:pt>
              <c:pt idx="9">
                <c:v>120</c:v>
              </c:pt>
            </c:numLit>
          </c:xVal>
          <c:yVal>
            <c:numLit>
              <c:formatCode>General</c:formatCode>
              <c:ptCount val="10"/>
              <c:pt idx="0">
                <c:v>1.7460000000000002</c:v>
              </c:pt>
              <c:pt idx="1">
                <c:v>3.4920000000000004</c:v>
              </c:pt>
              <c:pt idx="2">
                <c:v>5.2379999999999995</c:v>
              </c:pt>
              <c:pt idx="3">
                <c:v>6.9840000000000009</c:v>
              </c:pt>
              <c:pt idx="4">
                <c:v>8.73</c:v>
              </c:pt>
              <c:pt idx="5">
                <c:v>10.475999999999999</c:v>
              </c:pt>
              <c:pt idx="6">
                <c:v>12.222</c:v>
              </c:pt>
              <c:pt idx="7">
                <c:v>13.968000000000002</c:v>
              </c:pt>
              <c:pt idx="8">
                <c:v>15.714000000000002</c:v>
              </c:pt>
              <c:pt idx="9">
                <c:v>17.46</c:v>
              </c:pt>
            </c:numLit>
          </c:yVal>
          <c:smooth val="0"/>
          <c:extLst>
            <c:ext xmlns:c16="http://schemas.microsoft.com/office/drawing/2014/chart" uri="{C3380CC4-5D6E-409C-BE32-E72D297353CC}">
              <c16:uniqueId val="{00000004-5425-4BA0-9D5A-6E3A7766415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197.39999999999998</c:v>
              </c:pt>
              <c:pt idx="1">
                <c:v>300.00000000000006</c:v>
              </c:pt>
              <c:pt idx="2">
                <c:v>445.68</c:v>
              </c:pt>
              <c:pt idx="3">
                <c:v>548.87999999999988</c:v>
              </c:pt>
              <c:pt idx="4">
                <c:v>693.59999999999991</c:v>
              </c:pt>
              <c:pt idx="5">
                <c:v>797.04</c:v>
              </c:pt>
            </c:numLit>
          </c:yVal>
          <c:smooth val="0"/>
          <c:extLst>
            <c:ext xmlns:c16="http://schemas.microsoft.com/office/drawing/2014/chart" uri="{C3380CC4-5D6E-409C-BE32-E72D297353CC}">
              <c16:uniqueId val="{00000000-AA12-4AFD-AB77-CB6E6F2B63AA}"/>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462.22800000000001</c:v>
              </c:pt>
              <c:pt idx="1">
                <c:v>462.22800000000001</c:v>
              </c:pt>
              <c:pt idx="2">
                <c:v>462.22800000000001</c:v>
              </c:pt>
              <c:pt idx="3">
                <c:v>462.22800000000001</c:v>
              </c:pt>
              <c:pt idx="4">
                <c:v>462.22800000000001</c:v>
              </c:pt>
              <c:pt idx="5">
                <c:v>462.22800000000001</c:v>
              </c:pt>
            </c:numLit>
          </c:yVal>
          <c:smooth val="0"/>
          <c:extLst>
            <c:ext xmlns:c16="http://schemas.microsoft.com/office/drawing/2014/chart" uri="{C3380CC4-5D6E-409C-BE32-E72D297353CC}">
              <c16:uniqueId val="{00000000-0527-44DA-83D7-F56DEAC04E13}"/>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6.5375999999999994</c:v>
              </c:pt>
              <c:pt idx="1">
                <c:v>13.075199999999999</c:v>
              </c:pt>
              <c:pt idx="2">
                <c:v>19.6128</c:v>
              </c:pt>
              <c:pt idx="3">
                <c:v>26.150399999999998</c:v>
              </c:pt>
              <c:pt idx="4">
                <c:v>32.687999999999995</c:v>
              </c:pt>
              <c:pt idx="5">
                <c:v>39.2256</c:v>
              </c:pt>
            </c:numLit>
          </c:yVal>
          <c:smooth val="0"/>
          <c:extLst>
            <c:ext xmlns:c16="http://schemas.microsoft.com/office/drawing/2014/chart" uri="{C3380CC4-5D6E-409C-BE32-E72D297353CC}">
              <c16:uniqueId val="{00000000-DCE7-4669-885D-D107A69EDC66}"/>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7.7759999999999998</c:v>
              </c:pt>
              <c:pt idx="1">
                <c:v>15.552</c:v>
              </c:pt>
              <c:pt idx="2">
                <c:v>23.327999999999999</c:v>
              </c:pt>
              <c:pt idx="3">
                <c:v>31.103999999999999</c:v>
              </c:pt>
              <c:pt idx="4">
                <c:v>38.879999999999995</c:v>
              </c:pt>
              <c:pt idx="5">
                <c:v>46.655999999999999</c:v>
              </c:pt>
            </c:numLit>
          </c:yVal>
          <c:smooth val="0"/>
          <c:extLst>
            <c:ext xmlns:c16="http://schemas.microsoft.com/office/drawing/2014/chart" uri="{C3380CC4-5D6E-409C-BE32-E72D297353CC}">
              <c16:uniqueId val="{00000001-DCE7-4669-885D-D107A69EDC66}"/>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c:v>
              </c:pt>
              <c:pt idx="1">
                <c:v>12</c:v>
              </c:pt>
              <c:pt idx="2">
                <c:v>12</c:v>
              </c:pt>
              <c:pt idx="3">
                <c:v>12</c:v>
              </c:pt>
              <c:pt idx="4">
                <c:v>12</c:v>
              </c:pt>
              <c:pt idx="5">
                <c:v>12</c:v>
              </c:pt>
            </c:numLit>
          </c:yVal>
          <c:smooth val="0"/>
          <c:extLst>
            <c:ext xmlns:c16="http://schemas.microsoft.com/office/drawing/2014/chart" uri="{C3380CC4-5D6E-409C-BE32-E72D297353CC}">
              <c16:uniqueId val="{00000002-DCE7-4669-885D-D107A69EDC66}"/>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12.479999999999997</c:v>
              </c:pt>
              <c:pt idx="1">
                <c:v>19.379999999999995</c:v>
              </c:pt>
              <c:pt idx="2">
                <c:v>26.279999999999994</c:v>
              </c:pt>
              <c:pt idx="3">
                <c:v>33.179999999999986</c:v>
              </c:pt>
              <c:pt idx="4">
                <c:v>40.079999999999984</c:v>
              </c:pt>
              <c:pt idx="5">
                <c:v>46.979999999999983</c:v>
              </c:pt>
            </c:numLit>
          </c:yVal>
          <c:smooth val="0"/>
          <c:extLst>
            <c:ext xmlns:c16="http://schemas.microsoft.com/office/drawing/2014/chart" uri="{C3380CC4-5D6E-409C-BE32-E72D297353CC}">
              <c16:uniqueId val="{00000003-DCE7-4669-885D-D107A69EDC66}"/>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17.46</c:v>
              </c:pt>
              <c:pt idx="1">
                <c:v>17.46</c:v>
              </c:pt>
              <c:pt idx="2">
                <c:v>17.46</c:v>
              </c:pt>
              <c:pt idx="3">
                <c:v>17.46</c:v>
              </c:pt>
              <c:pt idx="4">
                <c:v>17.46</c:v>
              </c:pt>
              <c:pt idx="5">
                <c:v>17.46</c:v>
              </c:pt>
            </c:numLit>
          </c:yVal>
          <c:smooth val="0"/>
          <c:extLst>
            <c:ext xmlns:c16="http://schemas.microsoft.com/office/drawing/2014/chart" uri="{C3380CC4-5D6E-409C-BE32-E72D297353CC}">
              <c16:uniqueId val="{00000004-DCE7-4669-885D-D107A69EDC66}"/>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5.8521640000000001</c:v>
              </c:pt>
              <c:pt idx="1">
                <c:v>7.2049959999999995</c:v>
              </c:pt>
              <c:pt idx="2">
                <c:v>9.2342440000000003</c:v>
              </c:pt>
              <c:pt idx="3">
                <c:v>11.263491999999999</c:v>
              </c:pt>
              <c:pt idx="4">
                <c:v>13.29274</c:v>
              </c:pt>
              <c:pt idx="5">
                <c:v>15.321987999999999</c:v>
              </c:pt>
              <c:pt idx="6">
                <c:v>17.351236</c:v>
              </c:pt>
              <c:pt idx="7">
                <c:v>19.380483999999999</c:v>
              </c:pt>
              <c:pt idx="8">
                <c:v>21.409732000000002</c:v>
              </c:pt>
            </c:numLit>
          </c:yVal>
          <c:smooth val="0"/>
          <c:extLst>
            <c:ext xmlns:c16="http://schemas.microsoft.com/office/drawing/2014/chart" uri="{C3380CC4-5D6E-409C-BE32-E72D297353CC}">
              <c16:uniqueId val="{00000000-2AE1-46BD-82C1-68375D0C8FCC}"/>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110.0318</c:v>
              </c:pt>
              <c:pt idx="1">
                <c:v>128.67179999999999</c:v>
              </c:pt>
              <c:pt idx="2">
                <c:v>156.65180000000001</c:v>
              </c:pt>
              <c:pt idx="3">
                <c:v>184.61880000000002</c:v>
              </c:pt>
              <c:pt idx="4">
                <c:v>212.59179999999998</c:v>
              </c:pt>
              <c:pt idx="5">
                <c:v>240.55179999999996</c:v>
              </c:pt>
              <c:pt idx="6">
                <c:v>268.51179999999994</c:v>
              </c:pt>
              <c:pt idx="7">
                <c:v>296.47179999999992</c:v>
              </c:pt>
              <c:pt idx="8">
                <c:v>324.4317999999999</c:v>
              </c:pt>
            </c:numLit>
          </c:yVal>
          <c:smooth val="0"/>
          <c:extLst>
            <c:ext xmlns:c16="http://schemas.microsoft.com/office/drawing/2014/chart" uri="{C3380CC4-5D6E-409C-BE32-E72D297353CC}">
              <c16:uniqueId val="{00000000-61C1-4568-B1A9-1E56FE461D42}"/>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Bracket and Supports: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74.462752000000009</c:v>
              </c:pt>
              <c:pt idx="1">
                <c:v>111.69412800000001</c:v>
              </c:pt>
              <c:pt idx="2">
                <c:v>111.69412800000001</c:v>
              </c:pt>
              <c:pt idx="3">
                <c:v>130.30981600000001</c:v>
              </c:pt>
              <c:pt idx="4">
                <c:v>130.30981600000001</c:v>
              </c:pt>
              <c:pt idx="5">
                <c:v>130.30981600000001</c:v>
              </c:pt>
              <c:pt idx="6">
                <c:v>130.30981600000001</c:v>
              </c:pt>
              <c:pt idx="7">
                <c:v>130.30981600000001</c:v>
              </c:pt>
              <c:pt idx="8">
                <c:v>130.30981600000001</c:v>
              </c:pt>
            </c:numLit>
          </c:yVal>
          <c:smooth val="0"/>
          <c:extLst>
            <c:ext xmlns:c16="http://schemas.microsoft.com/office/drawing/2014/chart" uri="{C3380CC4-5D6E-409C-BE32-E72D297353CC}">
              <c16:uniqueId val="{00000000-3483-47F6-8FF4-EC65199150DF}"/>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4.24244808</c:v>
              </c:pt>
              <c:pt idx="1">
                <c:v>5.2945120800000005</c:v>
              </c:pt>
              <c:pt idx="2">
                <c:v>6.87260808</c:v>
              </c:pt>
              <c:pt idx="3">
                <c:v>8.4507040799999995</c:v>
              </c:pt>
              <c:pt idx="4">
                <c:v>10.028800080000002</c:v>
              </c:pt>
              <c:pt idx="5">
                <c:v>11.60689608</c:v>
              </c:pt>
              <c:pt idx="6">
                <c:v>13.184992080000001</c:v>
              </c:pt>
              <c:pt idx="7">
                <c:v>14.763088079999999</c:v>
              </c:pt>
              <c:pt idx="8">
                <c:v>16.341184080000001</c:v>
              </c:pt>
            </c:numLit>
          </c:yVal>
          <c:smooth val="0"/>
          <c:extLst>
            <c:ext xmlns:c16="http://schemas.microsoft.com/office/drawing/2014/chart" uri="{C3380CC4-5D6E-409C-BE32-E72D297353CC}">
              <c16:uniqueId val="{00000001-3483-47F6-8FF4-EC65199150DF}"/>
            </c:ext>
          </c:extLst>
        </c:ser>
        <c:ser>
          <c:idx val="3"/>
          <c:order val="2"/>
          <c:tx>
            <c:v>Clip Angle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2.2400000000000002</c:v>
              </c:pt>
              <c:pt idx="1">
                <c:v>3.3600000000000003</c:v>
              </c:pt>
              <c:pt idx="2">
                <c:v>3.3600000000000003</c:v>
              </c:pt>
              <c:pt idx="3">
                <c:v>3.9200000000000004</c:v>
              </c:pt>
              <c:pt idx="4">
                <c:v>3.9200000000000004</c:v>
              </c:pt>
              <c:pt idx="5">
                <c:v>3.9200000000000004</c:v>
              </c:pt>
              <c:pt idx="6">
                <c:v>3.9200000000000004</c:v>
              </c:pt>
              <c:pt idx="7">
                <c:v>3.9200000000000004</c:v>
              </c:pt>
              <c:pt idx="8">
                <c:v>3.9200000000000004</c:v>
              </c:pt>
            </c:numLit>
          </c:yVal>
          <c:smooth val="0"/>
          <c:extLst>
            <c:ext xmlns:c16="http://schemas.microsoft.com/office/drawing/2014/chart" uri="{C3380CC4-5D6E-409C-BE32-E72D297353CC}">
              <c16:uniqueId val="{00000002-3483-47F6-8FF4-EC65199150DF}"/>
            </c:ext>
          </c:extLst>
        </c:ser>
        <c:ser>
          <c:idx val="4"/>
          <c:order val="3"/>
          <c:tx>
            <c:v>Expansion Plate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16</c:v>
              </c:pt>
              <c:pt idx="1">
                <c:v>24</c:v>
              </c:pt>
              <c:pt idx="2">
                <c:v>36</c:v>
              </c:pt>
              <c:pt idx="3">
                <c:v>48</c:v>
              </c:pt>
              <c:pt idx="4">
                <c:v>60</c:v>
              </c:pt>
              <c:pt idx="5">
                <c:v>72</c:v>
              </c:pt>
              <c:pt idx="6">
                <c:v>84</c:v>
              </c:pt>
              <c:pt idx="7">
                <c:v>96</c:v>
              </c:pt>
              <c:pt idx="8">
                <c:v>108</c:v>
              </c:pt>
            </c:numLit>
          </c:xVal>
          <c:yVal>
            <c:numLit>
              <c:formatCode>General</c:formatCode>
              <c:ptCount val="20"/>
              <c:pt idx="0">
                <c:v>3.3026590581272659</c:v>
              </c:pt>
              <c:pt idx="1">
                <c:v>6.6053181162545318</c:v>
              </c:pt>
              <c:pt idx="2">
                <c:v>6.6053181162545318</c:v>
              </c:pt>
              <c:pt idx="3">
                <c:v>6.6053181162545318</c:v>
              </c:pt>
              <c:pt idx="4">
                <c:v>6.6053181162545318</c:v>
              </c:pt>
              <c:pt idx="5">
                <c:v>6.6053181162545318</c:v>
              </c:pt>
              <c:pt idx="6">
                <c:v>6.6053181162545318</c:v>
              </c:pt>
              <c:pt idx="7">
                <c:v>6.6053181162545318</c:v>
              </c:pt>
              <c:pt idx="8">
                <c:v>6.6053181162545318</c:v>
              </c:pt>
            </c:numLit>
          </c:yVal>
          <c:smooth val="0"/>
          <c:extLst>
            <c:ext xmlns:c16="http://schemas.microsoft.com/office/drawing/2014/chart" uri="{C3380CC4-5D6E-409C-BE32-E72D297353CC}">
              <c16:uniqueId val="{00000003-3483-47F6-8FF4-EC65199150DF}"/>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323.82599999999991</c:v>
              </c:pt>
              <c:pt idx="1">
                <c:v>342.46599999999989</c:v>
              </c:pt>
              <c:pt idx="2">
                <c:v>370.44599999999991</c:v>
              </c:pt>
              <c:pt idx="3">
                <c:v>398.4129999999999</c:v>
              </c:pt>
              <c:pt idx="4">
                <c:v>426.38599999999985</c:v>
              </c:pt>
              <c:pt idx="5">
                <c:v>454.34599999999983</c:v>
              </c:pt>
              <c:pt idx="6">
                <c:v>482.30599999999981</c:v>
              </c:pt>
              <c:pt idx="7">
                <c:v>510.26599999999979</c:v>
              </c:pt>
              <c:pt idx="8">
                <c:v>538.22599999999977</c:v>
              </c:pt>
            </c:numLit>
          </c:yVal>
          <c:smooth val="0"/>
          <c:extLst>
            <c:ext xmlns:c16="http://schemas.microsoft.com/office/drawing/2014/chart" uri="{C3380CC4-5D6E-409C-BE32-E72D297353CC}">
              <c16:uniqueId val="{00000000-CAD0-49DD-8F69-7F0FEDD5CB17}"/>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39.2256</c:v>
              </c:pt>
              <c:pt idx="1">
                <c:v>39.2256</c:v>
              </c:pt>
              <c:pt idx="2">
                <c:v>39.2256</c:v>
              </c:pt>
              <c:pt idx="3">
                <c:v>39.2256</c:v>
              </c:pt>
              <c:pt idx="4">
                <c:v>39.2256</c:v>
              </c:pt>
              <c:pt idx="5">
                <c:v>39.2256</c:v>
              </c:pt>
              <c:pt idx="6">
                <c:v>39.2256</c:v>
              </c:pt>
              <c:pt idx="7">
                <c:v>39.2256</c:v>
              </c:pt>
              <c:pt idx="8">
                <c:v>39.2256</c:v>
              </c:pt>
              <c:pt idx="9">
                <c:v>39.2256</c:v>
              </c:pt>
              <c:pt idx="10">
                <c:v>39.2256</c:v>
              </c:pt>
              <c:pt idx="11">
                <c:v>39.2256</c:v>
              </c:pt>
              <c:pt idx="12">
                <c:v>39.2256</c:v>
              </c:pt>
              <c:pt idx="13">
                <c:v>39.2256</c:v>
              </c:pt>
              <c:pt idx="14">
                <c:v>39.2256</c:v>
              </c:pt>
              <c:pt idx="15">
                <c:v>39.2256</c:v>
              </c:pt>
              <c:pt idx="16">
                <c:v>39.2256</c:v>
              </c:pt>
              <c:pt idx="17">
                <c:v>39.2256</c:v>
              </c:pt>
              <c:pt idx="18">
                <c:v>39.2256</c:v>
              </c:pt>
              <c:pt idx="19">
                <c:v>39.2256</c:v>
              </c:pt>
            </c:numLit>
          </c:yVal>
          <c:smooth val="0"/>
          <c:extLst>
            <c:ext xmlns:c16="http://schemas.microsoft.com/office/drawing/2014/chart" uri="{C3380CC4-5D6E-409C-BE32-E72D297353CC}">
              <c16:uniqueId val="{00000000-BE8C-4D9F-AABB-B2044DD91778}"/>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3.1103999999999998</c:v>
              </c:pt>
              <c:pt idx="1">
                <c:v>4.6655999999999995</c:v>
              </c:pt>
              <c:pt idx="2">
                <c:v>6.2207999999999997</c:v>
              </c:pt>
              <c:pt idx="3">
                <c:v>7.7759999999999998</c:v>
              </c:pt>
              <c:pt idx="4">
                <c:v>9.3311999999999991</c:v>
              </c:pt>
              <c:pt idx="5">
                <c:v>10.8864</c:v>
              </c:pt>
              <c:pt idx="6">
                <c:v>12.441599999999999</c:v>
              </c:pt>
              <c:pt idx="7">
                <c:v>13.9968</c:v>
              </c:pt>
              <c:pt idx="8">
                <c:v>15.552</c:v>
              </c:pt>
              <c:pt idx="9">
                <c:v>17.107199999999999</c:v>
              </c:pt>
              <c:pt idx="10">
                <c:v>18.662399999999998</c:v>
              </c:pt>
              <c:pt idx="11">
                <c:v>20.217600000000001</c:v>
              </c:pt>
              <c:pt idx="12">
                <c:v>21.7728</c:v>
              </c:pt>
              <c:pt idx="13">
                <c:v>23.327999999999999</c:v>
              </c:pt>
              <c:pt idx="14">
                <c:v>24.883199999999999</c:v>
              </c:pt>
              <c:pt idx="15">
                <c:v>26.438399999999998</c:v>
              </c:pt>
              <c:pt idx="16">
                <c:v>27.993600000000001</c:v>
              </c:pt>
              <c:pt idx="17">
                <c:v>29.5488</c:v>
              </c:pt>
              <c:pt idx="18">
                <c:v>31.103999999999999</c:v>
              </c:pt>
              <c:pt idx="19">
                <c:v>32.659199999999998</c:v>
              </c:pt>
            </c:numLit>
          </c:yVal>
          <c:smooth val="0"/>
          <c:extLst>
            <c:ext xmlns:c16="http://schemas.microsoft.com/office/drawing/2014/chart" uri="{C3380CC4-5D6E-409C-BE32-E72D297353CC}">
              <c16:uniqueId val="{00000001-BE8C-4D9F-AABB-B2044DD91778}"/>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4</c:v>
              </c:pt>
              <c:pt idx="1">
                <c:v>4</c:v>
              </c:pt>
              <c:pt idx="2">
                <c:v>4</c:v>
              </c:pt>
              <c:pt idx="3">
                <c:v>4</c:v>
              </c:pt>
              <c:pt idx="4">
                <c:v>4</c:v>
              </c:pt>
              <c:pt idx="5">
                <c:v>6</c:v>
              </c:pt>
              <c:pt idx="6">
                <c:v>6</c:v>
              </c:pt>
              <c:pt idx="7">
                <c:v>6</c:v>
              </c:pt>
              <c:pt idx="8">
                <c:v>6</c:v>
              </c:pt>
              <c:pt idx="9">
                <c:v>6</c:v>
              </c:pt>
              <c:pt idx="10">
                <c:v>8</c:v>
              </c:pt>
              <c:pt idx="11">
                <c:v>8</c:v>
              </c:pt>
              <c:pt idx="12">
                <c:v>8</c:v>
              </c:pt>
              <c:pt idx="13">
                <c:v>8</c:v>
              </c:pt>
              <c:pt idx="14">
                <c:v>8</c:v>
              </c:pt>
              <c:pt idx="15">
                <c:v>10</c:v>
              </c:pt>
              <c:pt idx="16">
                <c:v>10</c:v>
              </c:pt>
              <c:pt idx="17">
                <c:v>10</c:v>
              </c:pt>
              <c:pt idx="18">
                <c:v>10</c:v>
              </c:pt>
              <c:pt idx="19">
                <c:v>10</c:v>
              </c:pt>
            </c:numLit>
          </c:yVal>
          <c:smooth val="0"/>
          <c:extLst>
            <c:ext xmlns:c16="http://schemas.microsoft.com/office/drawing/2014/chart" uri="{C3380CC4-5D6E-409C-BE32-E72D297353CC}">
              <c16:uniqueId val="{00000002-BE8C-4D9F-AABB-B2044DD91778}"/>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31.31999999999999</c:v>
              </c:pt>
              <c:pt idx="11">
                <c:v>31.31999999999999</c:v>
              </c:pt>
              <c:pt idx="12">
                <c:v>31.31999999999999</c:v>
              </c:pt>
              <c:pt idx="13">
                <c:v>31.31999999999999</c:v>
              </c:pt>
              <c:pt idx="14">
                <c:v>31.31999999999999</c:v>
              </c:pt>
              <c:pt idx="15">
                <c:v>46.979999999999983</c:v>
              </c:pt>
              <c:pt idx="16">
                <c:v>46.979999999999983</c:v>
              </c:pt>
              <c:pt idx="17">
                <c:v>46.979999999999983</c:v>
              </c:pt>
              <c:pt idx="18">
                <c:v>46.979999999999983</c:v>
              </c:pt>
              <c:pt idx="19">
                <c:v>46.979999999999983</c:v>
              </c:pt>
            </c:numLit>
          </c:yVal>
          <c:smooth val="0"/>
          <c:extLst>
            <c:ext xmlns:c16="http://schemas.microsoft.com/office/drawing/2014/chart" uri="{C3380CC4-5D6E-409C-BE32-E72D297353CC}">
              <c16:uniqueId val="{00000003-BE8C-4D9F-AABB-B2044DD91778}"/>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0</c:v>
              </c:pt>
              <c:pt idx="1">
                <c:v>0</c:v>
              </c:pt>
              <c:pt idx="2">
                <c:v>0</c:v>
              </c:pt>
              <c:pt idx="3">
                <c:v>0</c:v>
              </c:pt>
              <c:pt idx="4">
                <c:v>0</c:v>
              </c:pt>
              <c:pt idx="5">
                <c:v>0</c:v>
              </c:pt>
              <c:pt idx="6">
                <c:v>0</c:v>
              </c:pt>
              <c:pt idx="7">
                <c:v>0</c:v>
              </c:pt>
              <c:pt idx="8">
                <c:v>0</c:v>
              </c:pt>
              <c:pt idx="9">
                <c:v>0</c:v>
              </c:pt>
              <c:pt idx="10">
                <c:v>1.1640000000000001</c:v>
              </c:pt>
              <c:pt idx="11">
                <c:v>1.1640000000000001</c:v>
              </c:pt>
              <c:pt idx="12">
                <c:v>1.1640000000000001</c:v>
              </c:pt>
              <c:pt idx="13">
                <c:v>1.1640000000000001</c:v>
              </c:pt>
              <c:pt idx="14">
                <c:v>1.1640000000000001</c:v>
              </c:pt>
              <c:pt idx="15">
                <c:v>1.7460000000000002</c:v>
              </c:pt>
              <c:pt idx="16">
                <c:v>1.7460000000000002</c:v>
              </c:pt>
              <c:pt idx="17">
                <c:v>1.7460000000000002</c:v>
              </c:pt>
              <c:pt idx="18">
                <c:v>1.7460000000000002</c:v>
              </c:pt>
              <c:pt idx="19">
                <c:v>1.7460000000000002</c:v>
              </c:pt>
            </c:numLit>
          </c:yVal>
          <c:smooth val="0"/>
          <c:extLst>
            <c:ext xmlns:c16="http://schemas.microsoft.com/office/drawing/2014/chart" uri="{C3380CC4-5D6E-409C-BE32-E72D297353CC}">
              <c16:uniqueId val="{00000004-BE8C-4D9F-AABB-B2044DD91778}"/>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#REF!</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21.117699999999999</c:v>
              </c:pt>
              <c:pt idx="1">
                <c:v>30.103299999999997</c:v>
              </c:pt>
              <c:pt idx="2">
                <c:v>43.581699999999998</c:v>
              </c:pt>
              <c:pt idx="3">
                <c:v>74.784900000000007</c:v>
              </c:pt>
              <c:pt idx="4">
                <c:v>91.762500000000003</c:v>
              </c:pt>
              <c:pt idx="5">
                <c:v>108.7401</c:v>
              </c:pt>
              <c:pt idx="6">
                <c:v>125.71770000000001</c:v>
              </c:pt>
              <c:pt idx="7">
                <c:v>142.69530000000003</c:v>
              </c:pt>
              <c:pt idx="8">
                <c:v>159.67290000000003</c:v>
              </c:pt>
            </c:numLit>
          </c:yVal>
          <c:smooth val="0"/>
          <c:extLst>
            <c:ext xmlns:c16="http://schemas.microsoft.com/office/drawing/2014/chart" uri="{C3380CC4-5D6E-409C-BE32-E72D297353CC}">
              <c16:uniqueId val="{00000000-9226-478F-B4D5-8FDC61A81406}"/>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Bracket and Supports: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130.30981600000001</c:v>
              </c:pt>
              <c:pt idx="1">
                <c:v>130.30981600000001</c:v>
              </c:pt>
              <c:pt idx="2">
                <c:v>130.30981600000001</c:v>
              </c:pt>
              <c:pt idx="3">
                <c:v>223.38825600000001</c:v>
              </c:pt>
              <c:pt idx="4">
                <c:v>223.38825600000001</c:v>
              </c:pt>
              <c:pt idx="5">
                <c:v>223.38825600000001</c:v>
              </c:pt>
              <c:pt idx="6">
                <c:v>223.38825600000001</c:v>
              </c:pt>
              <c:pt idx="7">
                <c:v>223.38825600000001</c:v>
              </c:pt>
              <c:pt idx="8">
                <c:v>223.38825600000001</c:v>
              </c:pt>
            </c:numLit>
          </c:yVal>
          <c:smooth val="0"/>
          <c:extLst>
            <c:ext xmlns:c16="http://schemas.microsoft.com/office/drawing/2014/chart" uri="{C3380CC4-5D6E-409C-BE32-E72D297353CC}">
              <c16:uniqueId val="{00000000-C305-4764-82AC-CB0BD39FE77A}"/>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16.306992000000001</c:v>
              </c:pt>
              <c:pt idx="1">
                <c:v>17.359055999999999</c:v>
              </c:pt>
              <c:pt idx="2">
                <c:v>18.937151999999998</c:v>
              </c:pt>
              <c:pt idx="3">
                <c:v>20.515248</c:v>
              </c:pt>
              <c:pt idx="4">
                <c:v>22.093344000000002</c:v>
              </c:pt>
              <c:pt idx="5">
                <c:v>23.671439999999997</c:v>
              </c:pt>
              <c:pt idx="6">
                <c:v>25.249535999999999</c:v>
              </c:pt>
              <c:pt idx="7">
                <c:v>26.827632000000001</c:v>
              </c:pt>
              <c:pt idx="8">
                <c:v>28.405728</c:v>
              </c:pt>
            </c:numLit>
          </c:yVal>
          <c:smooth val="0"/>
          <c:extLst>
            <c:ext xmlns:c16="http://schemas.microsoft.com/office/drawing/2014/chart" uri="{C3380CC4-5D6E-409C-BE32-E72D297353CC}">
              <c16:uniqueId val="{00000001-C305-4764-82AC-CB0BD39FE77A}"/>
            </c:ext>
          </c:extLst>
        </c:ser>
        <c:ser>
          <c:idx val="3"/>
          <c:order val="2"/>
          <c:tx>
            <c:v>Clip Angle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3.9200000000000004</c:v>
              </c:pt>
              <c:pt idx="1">
                <c:v>3.9200000000000004</c:v>
              </c:pt>
              <c:pt idx="2">
                <c:v>3.9200000000000004</c:v>
              </c:pt>
              <c:pt idx="3">
                <c:v>6.7200000000000006</c:v>
              </c:pt>
              <c:pt idx="4">
                <c:v>6.7200000000000006</c:v>
              </c:pt>
              <c:pt idx="5">
                <c:v>6.7200000000000006</c:v>
              </c:pt>
              <c:pt idx="6">
                <c:v>6.7200000000000006</c:v>
              </c:pt>
              <c:pt idx="7">
                <c:v>6.7200000000000006</c:v>
              </c:pt>
              <c:pt idx="8">
                <c:v>6.7200000000000006</c:v>
              </c:pt>
            </c:numLit>
          </c:yVal>
          <c:smooth val="0"/>
          <c:extLst>
            <c:ext xmlns:c16="http://schemas.microsoft.com/office/drawing/2014/chart" uri="{C3380CC4-5D6E-409C-BE32-E72D297353CC}">
              <c16:uniqueId val="{00000002-C305-4764-82AC-CB0BD39FE77A}"/>
            </c:ext>
          </c:extLst>
        </c:ser>
        <c:ser>
          <c:idx val="4"/>
          <c:order val="3"/>
          <c:tx>
            <c:v>Expansion Plate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16</c:v>
              </c:pt>
              <c:pt idx="1">
                <c:v>24</c:v>
              </c:pt>
              <c:pt idx="2">
                <c:v>36</c:v>
              </c:pt>
              <c:pt idx="3">
                <c:v>48</c:v>
              </c:pt>
              <c:pt idx="4">
                <c:v>60</c:v>
              </c:pt>
              <c:pt idx="5">
                <c:v>72</c:v>
              </c:pt>
              <c:pt idx="6">
                <c:v>84</c:v>
              </c:pt>
              <c:pt idx="7">
                <c:v>96</c:v>
              </c:pt>
              <c:pt idx="8">
                <c:v>108</c:v>
              </c:pt>
            </c:numLit>
          </c:xVal>
          <c:yVal>
            <c:numLit>
              <c:formatCode>General</c:formatCode>
              <c:ptCount val="10"/>
              <c:pt idx="0">
                <c:v>6.6053181162545318</c:v>
              </c:pt>
              <c:pt idx="1">
                <c:v>6.6053181162545318</c:v>
              </c:pt>
              <c:pt idx="2">
                <c:v>6.6053181162545318</c:v>
              </c:pt>
              <c:pt idx="3">
                <c:v>13.210636232509064</c:v>
              </c:pt>
              <c:pt idx="4">
                <c:v>13.210636232509064</c:v>
              </c:pt>
              <c:pt idx="5">
                <c:v>13.210636232509064</c:v>
              </c:pt>
              <c:pt idx="6">
                <c:v>13.210636232509064</c:v>
              </c:pt>
              <c:pt idx="7">
                <c:v>13.210636232509064</c:v>
              </c:pt>
              <c:pt idx="8">
                <c:v>13.210636232509064</c:v>
              </c:pt>
            </c:numLit>
          </c:yVal>
          <c:smooth val="0"/>
          <c:extLst>
            <c:ext xmlns:c16="http://schemas.microsoft.com/office/drawing/2014/chart" uri="{C3380CC4-5D6E-409C-BE32-E72D297353CC}">
              <c16:uniqueId val="{00000003-C305-4764-82AC-CB0BD39FE77A}"/>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130.822</c:v>
              </c:pt>
              <c:pt idx="1">
                <c:v>157.99199999999993</c:v>
              </c:pt>
              <c:pt idx="2">
                <c:v>185.12199999999999</c:v>
              </c:pt>
              <c:pt idx="3">
                <c:v>212.25200000000004</c:v>
              </c:pt>
              <c:pt idx="4">
                <c:v>239.38200000000009</c:v>
              </c:pt>
              <c:pt idx="5">
                <c:v>266.51199999999994</c:v>
              </c:pt>
              <c:pt idx="6">
                <c:v>293.6819999999999</c:v>
              </c:pt>
              <c:pt idx="7">
                <c:v>320.81200000000001</c:v>
              </c:pt>
              <c:pt idx="8">
                <c:v>348.27600000000007</c:v>
              </c:pt>
              <c:pt idx="9">
                <c:v>375.40600000000001</c:v>
              </c:pt>
              <c:pt idx="10">
                <c:v>402.57599999999985</c:v>
              </c:pt>
              <c:pt idx="11">
                <c:v>429.66600000000005</c:v>
              </c:pt>
              <c:pt idx="12">
                <c:v>456.8359999999999</c:v>
              </c:pt>
              <c:pt idx="13">
                <c:v>483.96600000000018</c:v>
              </c:pt>
              <c:pt idx="14">
                <c:v>511.096</c:v>
              </c:pt>
              <c:pt idx="15">
                <c:v>538.22599999999977</c:v>
              </c:pt>
            </c:numLit>
          </c:yVal>
          <c:smooth val="0"/>
          <c:extLst>
            <c:ext xmlns:c16="http://schemas.microsoft.com/office/drawing/2014/chart" uri="{C3380CC4-5D6E-409C-BE32-E72D297353CC}">
              <c16:uniqueId val="{00000000-56F2-4862-9994-647DED04A44E}"/>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#REF!</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159.67290000000003</c:v>
              </c:pt>
              <c:pt idx="1">
                <c:v>159.67290000000003</c:v>
              </c:pt>
              <c:pt idx="2">
                <c:v>159.67290000000003</c:v>
              </c:pt>
              <c:pt idx="3">
                <c:v>159.67290000000003</c:v>
              </c:pt>
              <c:pt idx="4">
                <c:v>159.67290000000003</c:v>
              </c:pt>
              <c:pt idx="5">
                <c:v>159.67290000000003</c:v>
              </c:pt>
              <c:pt idx="6">
                <c:v>159.67290000000003</c:v>
              </c:pt>
              <c:pt idx="7">
                <c:v>159.67290000000003</c:v>
              </c:pt>
              <c:pt idx="8">
                <c:v>159.67290000000003</c:v>
              </c:pt>
              <c:pt idx="9">
                <c:v>159.67290000000003</c:v>
              </c:pt>
              <c:pt idx="10">
                <c:v>159.67290000000003</c:v>
              </c:pt>
              <c:pt idx="11">
                <c:v>159.67290000000003</c:v>
              </c:pt>
              <c:pt idx="12">
                <c:v>159.67290000000003</c:v>
              </c:pt>
              <c:pt idx="13">
                <c:v>159.67290000000003</c:v>
              </c:pt>
              <c:pt idx="14">
                <c:v>159.67290000000003</c:v>
              </c:pt>
              <c:pt idx="15">
                <c:v>159.67290000000003</c:v>
              </c:pt>
            </c:numLit>
          </c:yVal>
          <c:smooth val="0"/>
          <c:extLst>
            <c:ext xmlns:c16="http://schemas.microsoft.com/office/drawing/2014/chart" uri="{C3380CC4-5D6E-409C-BE32-E72D297353CC}">
              <c16:uniqueId val="{00000000-4392-42CA-B63C-594FB41DCF1E}"/>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Bracket and Supports: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39.93225600000001</c:v>
              </c:pt>
              <c:pt idx="1">
                <c:v>52.162656000000013</c:v>
              </c:pt>
              <c:pt idx="2">
                <c:v>64.393056000000016</c:v>
              </c:pt>
              <c:pt idx="3">
                <c:v>76.623456000000004</c:v>
              </c:pt>
              <c:pt idx="4">
                <c:v>88.853856000000022</c:v>
              </c:pt>
              <c:pt idx="5">
                <c:v>101.08425600000002</c:v>
              </c:pt>
              <c:pt idx="6">
                <c:v>113.31465600000001</c:v>
              </c:pt>
              <c:pt idx="7">
                <c:v>125.54505600000002</c:v>
              </c:pt>
              <c:pt idx="8">
                <c:v>137.77545600000002</c:v>
              </c:pt>
              <c:pt idx="9">
                <c:v>150.00585600000002</c:v>
              </c:pt>
              <c:pt idx="10">
                <c:v>162.23625600000003</c:v>
              </c:pt>
              <c:pt idx="11">
                <c:v>174.46665600000003</c:v>
              </c:pt>
              <c:pt idx="12">
                <c:v>186.69705600000003</c:v>
              </c:pt>
              <c:pt idx="13">
                <c:v>198.92745600000003</c:v>
              </c:pt>
              <c:pt idx="14">
                <c:v>211.15785600000001</c:v>
              </c:pt>
              <c:pt idx="15">
                <c:v>223.38825600000001</c:v>
              </c:pt>
            </c:numLit>
          </c:yVal>
          <c:smooth val="0"/>
          <c:extLst>
            <c:ext xmlns:c16="http://schemas.microsoft.com/office/drawing/2014/chart" uri="{C3380CC4-5D6E-409C-BE32-E72D297353CC}">
              <c16:uniqueId val="{00000000-C23B-44F5-8FF0-5214AECAA020}"/>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5.0777279999999996</c:v>
              </c:pt>
              <c:pt idx="1">
                <c:v>6.6329280000000006</c:v>
              </c:pt>
              <c:pt idx="2">
                <c:v>8.1881280000000007</c:v>
              </c:pt>
              <c:pt idx="3">
                <c:v>9.7433280000000018</c:v>
              </c:pt>
              <c:pt idx="4">
                <c:v>11.298528000000001</c:v>
              </c:pt>
              <c:pt idx="5">
                <c:v>12.853728000000002</c:v>
              </c:pt>
              <c:pt idx="6">
                <c:v>14.408928000000001</c:v>
              </c:pt>
              <c:pt idx="7">
                <c:v>15.964128000000001</c:v>
              </c:pt>
              <c:pt idx="8">
                <c:v>17.519328000000002</c:v>
              </c:pt>
              <c:pt idx="9">
                <c:v>19.074528000000001</c:v>
              </c:pt>
              <c:pt idx="10">
                <c:v>20.629728</c:v>
              </c:pt>
              <c:pt idx="11">
                <c:v>22.184928000000003</c:v>
              </c:pt>
              <c:pt idx="12">
                <c:v>23.740128000000002</c:v>
              </c:pt>
              <c:pt idx="13">
                <c:v>25.295328000000001</c:v>
              </c:pt>
              <c:pt idx="14">
                <c:v>26.850528000000001</c:v>
              </c:pt>
              <c:pt idx="15">
                <c:v>28.405728</c:v>
              </c:pt>
            </c:numLit>
          </c:yVal>
          <c:smooth val="0"/>
          <c:extLst>
            <c:ext xmlns:c16="http://schemas.microsoft.com/office/drawing/2014/chart" uri="{C3380CC4-5D6E-409C-BE32-E72D297353CC}">
              <c16:uniqueId val="{00000001-C23B-44F5-8FF0-5214AECAA020}"/>
            </c:ext>
          </c:extLst>
        </c:ser>
        <c:ser>
          <c:idx val="3"/>
          <c:order val="2"/>
          <c:tx>
            <c:v>Clip Angle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6.7200000000000006</c:v>
              </c:pt>
              <c:pt idx="1">
                <c:v>6.7200000000000006</c:v>
              </c:pt>
              <c:pt idx="2">
                <c:v>6.7200000000000006</c:v>
              </c:pt>
              <c:pt idx="3">
                <c:v>6.7200000000000006</c:v>
              </c:pt>
              <c:pt idx="4">
                <c:v>6.7200000000000006</c:v>
              </c:pt>
              <c:pt idx="5">
                <c:v>6.7200000000000006</c:v>
              </c:pt>
              <c:pt idx="6">
                <c:v>6.7200000000000006</c:v>
              </c:pt>
              <c:pt idx="7">
                <c:v>6.7200000000000006</c:v>
              </c:pt>
              <c:pt idx="8">
                <c:v>6.7200000000000006</c:v>
              </c:pt>
              <c:pt idx="9">
                <c:v>6.7200000000000006</c:v>
              </c:pt>
              <c:pt idx="10">
                <c:v>6.7200000000000006</c:v>
              </c:pt>
              <c:pt idx="11">
                <c:v>6.7200000000000006</c:v>
              </c:pt>
              <c:pt idx="12">
                <c:v>6.7200000000000006</c:v>
              </c:pt>
              <c:pt idx="13">
                <c:v>6.7200000000000006</c:v>
              </c:pt>
              <c:pt idx="14">
                <c:v>6.7200000000000006</c:v>
              </c:pt>
              <c:pt idx="15">
                <c:v>6.7200000000000006</c:v>
              </c:pt>
            </c:numLit>
          </c:yVal>
          <c:smooth val="0"/>
          <c:extLst>
            <c:ext xmlns:c16="http://schemas.microsoft.com/office/drawing/2014/chart" uri="{C3380CC4-5D6E-409C-BE32-E72D297353CC}">
              <c16:uniqueId val="{00000002-C23B-44F5-8FF0-5214AECAA020}"/>
            </c:ext>
          </c:extLst>
        </c:ser>
        <c:ser>
          <c:idx val="4"/>
          <c:order val="3"/>
          <c:tx>
            <c:v>Expansion Plate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6"/>
              <c:pt idx="0">
                <c:v>13.06</c:v>
              </c:pt>
              <c:pt idx="1">
                <c:v>17.060000000000002</c:v>
              </c:pt>
              <c:pt idx="2">
                <c:v>21.060000000000002</c:v>
              </c:pt>
              <c:pt idx="3">
                <c:v>25.060000000000002</c:v>
              </c:pt>
              <c:pt idx="4">
                <c:v>29.060000000000002</c:v>
              </c:pt>
              <c:pt idx="5">
                <c:v>33.06</c:v>
              </c:pt>
              <c:pt idx="6">
                <c:v>37.06</c:v>
              </c:pt>
              <c:pt idx="7">
                <c:v>41.06</c:v>
              </c:pt>
              <c:pt idx="8">
                <c:v>45.06</c:v>
              </c:pt>
              <c:pt idx="9">
                <c:v>49.06</c:v>
              </c:pt>
              <c:pt idx="10">
                <c:v>53.06</c:v>
              </c:pt>
              <c:pt idx="11">
                <c:v>57.06</c:v>
              </c:pt>
              <c:pt idx="12">
                <c:v>61.06</c:v>
              </c:pt>
              <c:pt idx="13">
                <c:v>65.06</c:v>
              </c:pt>
              <c:pt idx="14">
                <c:v>69.06</c:v>
              </c:pt>
              <c:pt idx="15">
                <c:v>73.06</c:v>
              </c:pt>
            </c:numLit>
          </c:xVal>
          <c:yVal>
            <c:numLit>
              <c:formatCode>General</c:formatCode>
              <c:ptCount val="16"/>
              <c:pt idx="0">
                <c:v>2.3614961565366599</c:v>
              </c:pt>
              <c:pt idx="1">
                <c:v>3.0847721616014874</c:v>
              </c:pt>
              <c:pt idx="2">
                <c:v>3.808048166666314</c:v>
              </c:pt>
              <c:pt idx="3">
                <c:v>4.531324171731141</c:v>
              </c:pt>
              <c:pt idx="4">
                <c:v>5.254600176795968</c:v>
              </c:pt>
              <c:pt idx="5">
                <c:v>5.9778761818607951</c:v>
              </c:pt>
              <c:pt idx="6">
                <c:v>6.7011521869256221</c:v>
              </c:pt>
              <c:pt idx="7">
                <c:v>7.4244281919904491</c:v>
              </c:pt>
              <c:pt idx="8">
                <c:v>8.1477041970552762</c:v>
              </c:pt>
              <c:pt idx="9">
                <c:v>8.8709802021201032</c:v>
              </c:pt>
              <c:pt idx="10">
                <c:v>9.5942562071849302</c:v>
              </c:pt>
              <c:pt idx="11">
                <c:v>10.317532212249757</c:v>
              </c:pt>
              <c:pt idx="12">
                <c:v>11.040808217314583</c:v>
              </c:pt>
              <c:pt idx="13">
                <c:v>11.76408422237941</c:v>
              </c:pt>
              <c:pt idx="14">
                <c:v>12.487360227444237</c:v>
              </c:pt>
              <c:pt idx="15">
                <c:v>13.210636232509064</c:v>
              </c:pt>
            </c:numLit>
          </c:yVal>
          <c:smooth val="0"/>
          <c:extLst>
            <c:ext xmlns:c16="http://schemas.microsoft.com/office/drawing/2014/chart" uri="{C3380CC4-5D6E-409C-BE32-E72D297353CC}">
              <c16:uniqueId val="{00000003-C23B-44F5-8FF0-5214AECAA02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3.7255957659609158E-2"/>
                  <c:y val="-9.9831271091113614E-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BC_ROOF!$D$14:$D$19</c:f>
              <c:numCache>
                <c:formatCode>General</c:formatCode>
                <c:ptCount val="6"/>
                <c:pt idx="0">
                  <c:v>144</c:v>
                </c:pt>
                <c:pt idx="1">
                  <c:v>864</c:v>
                </c:pt>
                <c:pt idx="2">
                  <c:v>1440</c:v>
                </c:pt>
                <c:pt idx="3">
                  <c:v>1920</c:v>
                </c:pt>
                <c:pt idx="4">
                  <c:v>2578.6799999999998</c:v>
                </c:pt>
                <c:pt idx="5">
                  <c:v>3861.3942249999996</c:v>
                </c:pt>
              </c:numCache>
            </c:numRef>
          </c:xVal>
          <c:yVal>
            <c:numRef>
              <c:f>BC_ROOF!$E$14:$E$19</c:f>
              <c:numCache>
                <c:formatCode>General</c:formatCode>
                <c:ptCount val="6"/>
                <c:pt idx="0">
                  <c:v>4.26</c:v>
                </c:pt>
                <c:pt idx="1">
                  <c:v>13.21</c:v>
                </c:pt>
                <c:pt idx="2">
                  <c:v>19.41</c:v>
                </c:pt>
                <c:pt idx="3">
                  <c:v>24.48</c:v>
                </c:pt>
                <c:pt idx="4">
                  <c:v>31.12</c:v>
                </c:pt>
                <c:pt idx="5">
                  <c:v>44.52</c:v>
                </c:pt>
              </c:numCache>
            </c:numRef>
          </c:yVal>
          <c:smooth val="0"/>
          <c:extLst>
            <c:ext xmlns:c16="http://schemas.microsoft.com/office/drawing/2014/chart" uri="{C3380CC4-5D6E-409C-BE32-E72D297353CC}">
              <c16:uniqueId val="{00000000-044E-4E8B-84FB-4D4D672B4BE2}"/>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101737833431614"/>
                  <c:y val="1.179941551084268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BC_ROOF!$D$27:$D$32</c:f>
              <c:numCache>
                <c:formatCode>General</c:formatCode>
                <c:ptCount val="6"/>
                <c:pt idx="0">
                  <c:v>144</c:v>
                </c:pt>
                <c:pt idx="1">
                  <c:v>864</c:v>
                </c:pt>
                <c:pt idx="2">
                  <c:v>1440</c:v>
                </c:pt>
                <c:pt idx="3">
                  <c:v>1860</c:v>
                </c:pt>
                <c:pt idx="4">
                  <c:v>2290.6800000000003</c:v>
                </c:pt>
                <c:pt idx="5">
                  <c:v>3302.874225</c:v>
                </c:pt>
              </c:numCache>
            </c:numRef>
          </c:xVal>
          <c:yVal>
            <c:numRef>
              <c:f>BC_ROOF!$E$27:$E$32</c:f>
              <c:numCache>
                <c:formatCode>General</c:formatCode>
                <c:ptCount val="6"/>
                <c:pt idx="0">
                  <c:v>5.86</c:v>
                </c:pt>
                <c:pt idx="1">
                  <c:v>15.96</c:v>
                </c:pt>
                <c:pt idx="2">
                  <c:v>22.73</c:v>
                </c:pt>
                <c:pt idx="3">
                  <c:v>27.04</c:v>
                </c:pt>
                <c:pt idx="4">
                  <c:v>32.619999999999997</c:v>
                </c:pt>
                <c:pt idx="5">
                  <c:v>44.52</c:v>
                </c:pt>
              </c:numCache>
            </c:numRef>
          </c:yVal>
          <c:smooth val="0"/>
          <c:extLst>
            <c:ext xmlns:c16="http://schemas.microsoft.com/office/drawing/2014/chart" uri="{C3380CC4-5D6E-409C-BE32-E72D297353CC}">
              <c16:uniqueId val="{00000000-559D-46CD-8F5A-2520F9358461}"/>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6652425173310741E-2"/>
                  <c:y val="4.617604617604617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BC_ROOF!$D$40:$D$45</c:f>
              <c:numCache>
                <c:formatCode>General</c:formatCode>
                <c:ptCount val="6"/>
                <c:pt idx="0">
                  <c:v>144</c:v>
                </c:pt>
                <c:pt idx="1">
                  <c:v>864</c:v>
                </c:pt>
                <c:pt idx="2">
                  <c:v>1440</c:v>
                </c:pt>
                <c:pt idx="3">
                  <c:v>1920</c:v>
                </c:pt>
                <c:pt idx="4">
                  <c:v>2448</c:v>
                </c:pt>
                <c:pt idx="5">
                  <c:v>4029.6425289999997</c:v>
                </c:pt>
              </c:numCache>
            </c:numRef>
          </c:xVal>
          <c:yVal>
            <c:numRef>
              <c:f>BC_ROOF!$E$40:$E$45</c:f>
              <c:numCache>
                <c:formatCode>General</c:formatCode>
                <c:ptCount val="6"/>
                <c:pt idx="0">
                  <c:v>3.84</c:v>
                </c:pt>
                <c:pt idx="1">
                  <c:v>12.46</c:v>
                </c:pt>
                <c:pt idx="2">
                  <c:v>18.48</c:v>
                </c:pt>
                <c:pt idx="3">
                  <c:v>23.43</c:v>
                </c:pt>
                <c:pt idx="4">
                  <c:v>28.75</c:v>
                </c:pt>
                <c:pt idx="5">
                  <c:v>44.52</c:v>
                </c:pt>
              </c:numCache>
            </c:numRef>
          </c:yVal>
          <c:smooth val="0"/>
          <c:extLst>
            <c:ext xmlns:c16="http://schemas.microsoft.com/office/drawing/2014/chart" uri="{C3380CC4-5D6E-409C-BE32-E72D297353CC}">
              <c16:uniqueId val="{00000000-EBB5-43A1-91B1-B7C2655D8678}"/>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5456542148766474E-2"/>
                  <c:y val="-4.734720659917510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BC_ROOF!$N$14:$N$17</c:f>
              <c:numCache>
                <c:formatCode>General</c:formatCode>
                <c:ptCount val="4"/>
                <c:pt idx="0">
                  <c:v>2304</c:v>
                </c:pt>
                <c:pt idx="1">
                  <c:v>3000</c:v>
                </c:pt>
                <c:pt idx="2">
                  <c:v>5184</c:v>
                </c:pt>
                <c:pt idx="3">
                  <c:v>11624.074225</c:v>
                </c:pt>
              </c:numCache>
            </c:numRef>
          </c:xVal>
          <c:yVal>
            <c:numRef>
              <c:f>BC_ROOF!$O$14:$O$17</c:f>
              <c:numCache>
                <c:formatCode>General</c:formatCode>
                <c:ptCount val="4"/>
                <c:pt idx="0">
                  <c:v>38.86</c:v>
                </c:pt>
                <c:pt idx="1">
                  <c:v>46.08</c:v>
                </c:pt>
                <c:pt idx="2">
                  <c:v>76.959999999999994</c:v>
                </c:pt>
                <c:pt idx="3">
                  <c:v>161.72999999999999</c:v>
                </c:pt>
              </c:numCache>
            </c:numRef>
          </c:yVal>
          <c:smooth val="0"/>
          <c:extLst>
            <c:ext xmlns:c16="http://schemas.microsoft.com/office/drawing/2014/chart" uri="{C3380CC4-5D6E-409C-BE32-E72D297353CC}">
              <c16:uniqueId val="{00000000-98BC-44AE-B185-D617FE9424CD}"/>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4254780652418447E-2"/>
                  <c:y val="-2.605174353205849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BC_ROOF!$N$27:$N$30</c:f>
              <c:numCache>
                <c:formatCode>General</c:formatCode>
                <c:ptCount val="4"/>
                <c:pt idx="0">
                  <c:v>2304</c:v>
                </c:pt>
                <c:pt idx="1">
                  <c:v>3000</c:v>
                </c:pt>
                <c:pt idx="2">
                  <c:v>5184</c:v>
                </c:pt>
                <c:pt idx="3">
                  <c:v>10777.554225</c:v>
                </c:pt>
              </c:numCache>
            </c:numRef>
          </c:xVal>
          <c:yVal>
            <c:numRef>
              <c:f>BC_ROOF!$O$27:$O$30</c:f>
              <c:numCache>
                <c:formatCode>General</c:formatCode>
                <c:ptCount val="4"/>
                <c:pt idx="0">
                  <c:v>42.81</c:v>
                </c:pt>
                <c:pt idx="1">
                  <c:v>54.32</c:v>
                </c:pt>
                <c:pt idx="2">
                  <c:v>82.45</c:v>
                </c:pt>
                <c:pt idx="3">
                  <c:v>160.06</c:v>
                </c:pt>
              </c:numCache>
            </c:numRef>
          </c:yVal>
          <c:smooth val="0"/>
          <c:extLst>
            <c:ext xmlns:c16="http://schemas.microsoft.com/office/drawing/2014/chart" uri="{C3380CC4-5D6E-409C-BE32-E72D297353CC}">
              <c16:uniqueId val="{00000000-37E1-44A2-AAC2-9CE350AD1588}"/>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20"/>
              <c:pt idx="0">
                <c:v>12</c:v>
              </c:pt>
              <c:pt idx="1">
                <c:v>24</c:v>
              </c:pt>
              <c:pt idx="2">
                <c:v>36</c:v>
              </c:pt>
              <c:pt idx="3">
                <c:v>48</c:v>
              </c:pt>
              <c:pt idx="4">
                <c:v>60</c:v>
              </c:pt>
              <c:pt idx="5">
                <c:v>72</c:v>
              </c:pt>
              <c:pt idx="6">
                <c:v>84</c:v>
              </c:pt>
              <c:pt idx="7">
                <c:v>96</c:v>
              </c:pt>
              <c:pt idx="8">
                <c:v>108</c:v>
              </c:pt>
              <c:pt idx="9">
                <c:v>120</c:v>
              </c:pt>
              <c:pt idx="10">
                <c:v>132</c:v>
              </c:pt>
              <c:pt idx="11">
                <c:v>144</c:v>
              </c:pt>
              <c:pt idx="12">
                <c:v>156</c:v>
              </c:pt>
              <c:pt idx="13">
                <c:v>168</c:v>
              </c:pt>
              <c:pt idx="14">
                <c:v>180</c:v>
              </c:pt>
              <c:pt idx="15">
                <c:v>192</c:v>
              </c:pt>
              <c:pt idx="16">
                <c:v>204</c:v>
              </c:pt>
              <c:pt idx="17">
                <c:v>216</c:v>
              </c:pt>
              <c:pt idx="18">
                <c:v>228</c:v>
              </c:pt>
              <c:pt idx="19">
                <c:v>240</c:v>
              </c:pt>
            </c:numLit>
          </c:xVal>
          <c:yVal>
            <c:numLit>
              <c:formatCode>General</c:formatCode>
              <c:ptCount val="20"/>
              <c:pt idx="0">
                <c:v>83</c:v>
              </c:pt>
              <c:pt idx="1">
                <c:v>110.44</c:v>
              </c:pt>
              <c:pt idx="2">
                <c:v>137.88</c:v>
              </c:pt>
              <c:pt idx="3">
                <c:v>165.36</c:v>
              </c:pt>
              <c:pt idx="4">
                <c:v>192.79999999999998</c:v>
              </c:pt>
              <c:pt idx="5">
                <c:v>234.26</c:v>
              </c:pt>
              <c:pt idx="6">
                <c:v>261.7</c:v>
              </c:pt>
              <c:pt idx="7">
                <c:v>289.22000000000003</c:v>
              </c:pt>
              <c:pt idx="8">
                <c:v>316.65999999999997</c:v>
              </c:pt>
              <c:pt idx="9">
                <c:v>344.09999999999997</c:v>
              </c:pt>
              <c:pt idx="10">
                <c:v>385.56</c:v>
              </c:pt>
              <c:pt idx="11">
                <c:v>413.08</c:v>
              </c:pt>
              <c:pt idx="12">
                <c:v>440.52</c:v>
              </c:pt>
              <c:pt idx="13">
                <c:v>467.95999999999992</c:v>
              </c:pt>
              <c:pt idx="14">
                <c:v>495.4</c:v>
              </c:pt>
              <c:pt idx="15">
                <c:v>536.94000000000005</c:v>
              </c:pt>
              <c:pt idx="16">
                <c:v>564.38</c:v>
              </c:pt>
              <c:pt idx="17">
                <c:v>591.81999999999994</c:v>
              </c:pt>
              <c:pt idx="18">
                <c:v>619.26</c:v>
              </c:pt>
              <c:pt idx="19">
                <c:v>646.69999999999993</c:v>
              </c:pt>
            </c:numLit>
          </c:yVal>
          <c:smooth val="0"/>
          <c:extLst>
            <c:ext xmlns:c16="http://schemas.microsoft.com/office/drawing/2014/chart" uri="{C3380CC4-5D6E-409C-BE32-E72D297353CC}">
              <c16:uniqueId val="{00000000-2400-43DA-937A-37F830DD59C2}"/>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9506020267645917E-2"/>
                  <c:y val="-5.405415232186885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BC_ROOF!$N$40:$N$43</c:f>
              <c:numCache>
                <c:formatCode>General</c:formatCode>
                <c:ptCount val="4"/>
                <c:pt idx="0">
                  <c:v>2304</c:v>
                </c:pt>
                <c:pt idx="1">
                  <c:v>3000</c:v>
                </c:pt>
                <c:pt idx="2">
                  <c:v>5184</c:v>
                </c:pt>
                <c:pt idx="3">
                  <c:v>11875.986529000002</c:v>
                </c:pt>
              </c:numCache>
            </c:numRef>
          </c:xVal>
          <c:yVal>
            <c:numRef>
              <c:f>BC_ROOF!$O$40:$O$43</c:f>
              <c:numCache>
                <c:formatCode>General</c:formatCode>
                <c:ptCount val="4"/>
                <c:pt idx="0">
                  <c:v>37.76</c:v>
                </c:pt>
                <c:pt idx="1">
                  <c:v>44.85</c:v>
                </c:pt>
                <c:pt idx="2">
                  <c:v>75.41</c:v>
                </c:pt>
                <c:pt idx="3">
                  <c:v>162.22</c:v>
                </c:pt>
              </c:numCache>
            </c:numRef>
          </c:yVal>
          <c:smooth val="0"/>
          <c:extLst>
            <c:ext xmlns:c16="http://schemas.microsoft.com/office/drawing/2014/chart" uri="{C3380CC4-5D6E-409C-BE32-E72D297353CC}">
              <c16:uniqueId val="{00000000-82B5-42DE-A950-9987147562B8}"/>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5456542148766474E-2"/>
                  <c:y val="-4.734720659917510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BC_ROOF!$X$14:$X$19</c:f>
              <c:numCache>
                <c:formatCode>General</c:formatCode>
                <c:ptCount val="6"/>
                <c:pt idx="0">
                  <c:v>12100</c:v>
                </c:pt>
                <c:pt idx="1">
                  <c:v>13200</c:v>
                </c:pt>
                <c:pt idx="2">
                  <c:v>14950</c:v>
                </c:pt>
                <c:pt idx="3">
                  <c:v>17250</c:v>
                </c:pt>
                <c:pt idx="4">
                  <c:v>21600</c:v>
                </c:pt>
                <c:pt idx="5">
                  <c:v>28800</c:v>
                </c:pt>
              </c:numCache>
            </c:numRef>
          </c:xVal>
          <c:yVal>
            <c:numRef>
              <c:f>BC_ROOF!$Y$14:$Y$19</c:f>
              <c:numCache>
                <c:formatCode>General</c:formatCode>
                <c:ptCount val="6"/>
                <c:pt idx="0">
                  <c:v>211.84</c:v>
                </c:pt>
                <c:pt idx="1">
                  <c:v>234.19</c:v>
                </c:pt>
                <c:pt idx="2">
                  <c:v>253.42</c:v>
                </c:pt>
                <c:pt idx="3">
                  <c:v>287.37</c:v>
                </c:pt>
                <c:pt idx="4">
                  <c:v>356.26</c:v>
                </c:pt>
                <c:pt idx="5">
                  <c:v>461.76</c:v>
                </c:pt>
              </c:numCache>
            </c:numRef>
          </c:yVal>
          <c:smooth val="0"/>
          <c:extLst>
            <c:ext xmlns:c16="http://schemas.microsoft.com/office/drawing/2014/chart" uri="{C3380CC4-5D6E-409C-BE32-E72D297353CC}">
              <c16:uniqueId val="{00000000-28B6-40D1-BAA6-4F7FD40B7BB0}"/>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4254780652418447E-2"/>
                  <c:y val="-2.605174353205849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BC_ROOF!$X$27:$X$32</c:f>
              <c:numCache>
                <c:formatCode>General</c:formatCode>
                <c:ptCount val="6"/>
                <c:pt idx="0">
                  <c:v>12100</c:v>
                </c:pt>
                <c:pt idx="1">
                  <c:v>13200</c:v>
                </c:pt>
                <c:pt idx="2">
                  <c:v>14950</c:v>
                </c:pt>
                <c:pt idx="3">
                  <c:v>17250</c:v>
                </c:pt>
                <c:pt idx="4">
                  <c:v>21600</c:v>
                </c:pt>
                <c:pt idx="5">
                  <c:v>28800</c:v>
                </c:pt>
              </c:numCache>
            </c:numRef>
          </c:xVal>
          <c:yVal>
            <c:numRef>
              <c:f>BC_ROOF!$Y$27:$Y$32</c:f>
              <c:numCache>
                <c:formatCode>General</c:formatCode>
                <c:ptCount val="6"/>
                <c:pt idx="0">
                  <c:v>221.45</c:v>
                </c:pt>
                <c:pt idx="1">
                  <c:v>244.29</c:v>
                </c:pt>
                <c:pt idx="2">
                  <c:v>263.89</c:v>
                </c:pt>
                <c:pt idx="3">
                  <c:v>311.12</c:v>
                </c:pt>
                <c:pt idx="4">
                  <c:v>369.13</c:v>
                </c:pt>
                <c:pt idx="5">
                  <c:v>489.74</c:v>
                </c:pt>
              </c:numCache>
            </c:numRef>
          </c:yVal>
          <c:smooth val="0"/>
          <c:extLst>
            <c:ext xmlns:c16="http://schemas.microsoft.com/office/drawing/2014/chart" uri="{C3380CC4-5D6E-409C-BE32-E72D297353CC}">
              <c16:uniqueId val="{00000000-742E-4AED-BB5F-B09ABDE5635D}"/>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9506020267645917E-2"/>
                  <c:y val="-5.405415232186885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BC_ROOF!$X$40:$X$45</c:f>
              <c:numCache>
                <c:formatCode>General</c:formatCode>
                <c:ptCount val="6"/>
                <c:pt idx="0">
                  <c:v>12100</c:v>
                </c:pt>
                <c:pt idx="1">
                  <c:v>13200</c:v>
                </c:pt>
                <c:pt idx="2">
                  <c:v>14950</c:v>
                </c:pt>
                <c:pt idx="3">
                  <c:v>17250</c:v>
                </c:pt>
                <c:pt idx="4">
                  <c:v>21600</c:v>
                </c:pt>
                <c:pt idx="5">
                  <c:v>28800</c:v>
                </c:pt>
              </c:numCache>
            </c:numRef>
          </c:xVal>
          <c:yVal>
            <c:numRef>
              <c:f>BC_ROOF!$Y$40:$Y$45</c:f>
              <c:numCache>
                <c:formatCode>General</c:formatCode>
                <c:ptCount val="6"/>
                <c:pt idx="0">
                  <c:v>209.12</c:v>
                </c:pt>
                <c:pt idx="1">
                  <c:v>231.33</c:v>
                </c:pt>
                <c:pt idx="2">
                  <c:v>250.35</c:v>
                </c:pt>
                <c:pt idx="3">
                  <c:v>284.07</c:v>
                </c:pt>
                <c:pt idx="4">
                  <c:v>352.61</c:v>
                </c:pt>
                <c:pt idx="5">
                  <c:v>457.41</c:v>
                </c:pt>
              </c:numCache>
            </c:numRef>
          </c:yVal>
          <c:smooth val="0"/>
          <c:extLst>
            <c:ext xmlns:c16="http://schemas.microsoft.com/office/drawing/2014/chart" uri="{C3380CC4-5D6E-409C-BE32-E72D297353CC}">
              <c16:uniqueId val="{00000000-E95E-4404-9344-72897A156FBC}"/>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3.7255957659609158E-2"/>
                  <c:y val="-9.9831271091113614E-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MC_ROOF!$D$14:$D$19</c:f>
              <c:numCache>
                <c:formatCode>General</c:formatCode>
                <c:ptCount val="6"/>
                <c:pt idx="0">
                  <c:v>144</c:v>
                </c:pt>
                <c:pt idx="1">
                  <c:v>864</c:v>
                </c:pt>
                <c:pt idx="2">
                  <c:v>1440</c:v>
                </c:pt>
                <c:pt idx="3">
                  <c:v>1920</c:v>
                </c:pt>
                <c:pt idx="4">
                  <c:v>2578.6799999999998</c:v>
                </c:pt>
                <c:pt idx="5">
                  <c:v>3861.3942249999996</c:v>
                </c:pt>
              </c:numCache>
            </c:numRef>
          </c:xVal>
          <c:yVal>
            <c:numRef>
              <c:f>MC_ROOF!$E$14:$E$19</c:f>
              <c:numCache>
                <c:formatCode>General</c:formatCode>
                <c:ptCount val="6"/>
                <c:pt idx="0">
                  <c:v>4.26</c:v>
                </c:pt>
                <c:pt idx="1">
                  <c:v>13.21</c:v>
                </c:pt>
                <c:pt idx="2">
                  <c:v>19.41</c:v>
                </c:pt>
                <c:pt idx="3">
                  <c:v>24.48</c:v>
                </c:pt>
                <c:pt idx="4">
                  <c:v>31.12</c:v>
                </c:pt>
                <c:pt idx="5">
                  <c:v>44.52</c:v>
                </c:pt>
              </c:numCache>
            </c:numRef>
          </c:yVal>
          <c:smooth val="0"/>
          <c:extLst>
            <c:ext xmlns:c16="http://schemas.microsoft.com/office/drawing/2014/chart" uri="{C3380CC4-5D6E-409C-BE32-E72D297353CC}">
              <c16:uniqueId val="{00000000-270D-4C4C-85AE-DB068B9F4C9C}"/>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101737833431614"/>
                  <c:y val="1.179941551084268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MC_ROOF!$D$27:$D$32</c:f>
              <c:numCache>
                <c:formatCode>General</c:formatCode>
                <c:ptCount val="6"/>
                <c:pt idx="0">
                  <c:v>144</c:v>
                </c:pt>
                <c:pt idx="1">
                  <c:v>864</c:v>
                </c:pt>
                <c:pt idx="2">
                  <c:v>1440</c:v>
                </c:pt>
                <c:pt idx="3">
                  <c:v>1860</c:v>
                </c:pt>
                <c:pt idx="4">
                  <c:v>2290.6800000000003</c:v>
                </c:pt>
                <c:pt idx="5">
                  <c:v>3302.874225</c:v>
                </c:pt>
              </c:numCache>
            </c:numRef>
          </c:xVal>
          <c:yVal>
            <c:numRef>
              <c:f>MC_ROOF!$E$27:$E$32</c:f>
              <c:numCache>
                <c:formatCode>General</c:formatCode>
                <c:ptCount val="6"/>
                <c:pt idx="0">
                  <c:v>5.86</c:v>
                </c:pt>
                <c:pt idx="1">
                  <c:v>15.96</c:v>
                </c:pt>
                <c:pt idx="2">
                  <c:v>22.73</c:v>
                </c:pt>
                <c:pt idx="3">
                  <c:v>27.04</c:v>
                </c:pt>
                <c:pt idx="4">
                  <c:v>32.619999999999997</c:v>
                </c:pt>
                <c:pt idx="5">
                  <c:v>44.52</c:v>
                </c:pt>
              </c:numCache>
            </c:numRef>
          </c:yVal>
          <c:smooth val="0"/>
          <c:extLst>
            <c:ext xmlns:c16="http://schemas.microsoft.com/office/drawing/2014/chart" uri="{C3380CC4-5D6E-409C-BE32-E72D297353CC}">
              <c16:uniqueId val="{00000000-9809-4066-9935-FBC2F418FBC5}"/>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6652425173310741E-2"/>
                  <c:y val="4.617604617604617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MC_ROOF!$D$40:$D$45</c:f>
              <c:numCache>
                <c:formatCode>General</c:formatCode>
                <c:ptCount val="6"/>
                <c:pt idx="0">
                  <c:v>144</c:v>
                </c:pt>
                <c:pt idx="1">
                  <c:v>864</c:v>
                </c:pt>
                <c:pt idx="2">
                  <c:v>1440</c:v>
                </c:pt>
                <c:pt idx="3">
                  <c:v>1920</c:v>
                </c:pt>
                <c:pt idx="4">
                  <c:v>2448</c:v>
                </c:pt>
                <c:pt idx="5">
                  <c:v>4029.6425289999997</c:v>
                </c:pt>
              </c:numCache>
            </c:numRef>
          </c:xVal>
          <c:yVal>
            <c:numRef>
              <c:f>MC_ROOF!$E$40:$E$45</c:f>
              <c:numCache>
                <c:formatCode>General</c:formatCode>
                <c:ptCount val="6"/>
                <c:pt idx="0">
                  <c:v>3.84</c:v>
                </c:pt>
                <c:pt idx="1">
                  <c:v>12.46</c:v>
                </c:pt>
                <c:pt idx="2">
                  <c:v>18.48</c:v>
                </c:pt>
                <c:pt idx="3">
                  <c:v>23.43</c:v>
                </c:pt>
                <c:pt idx="4">
                  <c:v>28.75</c:v>
                </c:pt>
                <c:pt idx="5">
                  <c:v>44.52</c:v>
                </c:pt>
              </c:numCache>
            </c:numRef>
          </c:yVal>
          <c:smooth val="0"/>
          <c:extLst>
            <c:ext xmlns:c16="http://schemas.microsoft.com/office/drawing/2014/chart" uri="{C3380CC4-5D6E-409C-BE32-E72D297353CC}">
              <c16:uniqueId val="{00000000-2F10-4FDD-ACDE-15310A1E2C74}"/>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5456542148766474E-2"/>
                  <c:y val="-4.734720659917510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MC_ROOF!$N$14:$N$17</c:f>
              <c:numCache>
                <c:formatCode>General</c:formatCode>
                <c:ptCount val="4"/>
                <c:pt idx="0">
                  <c:v>2304</c:v>
                </c:pt>
                <c:pt idx="1">
                  <c:v>3000</c:v>
                </c:pt>
                <c:pt idx="2">
                  <c:v>5184</c:v>
                </c:pt>
                <c:pt idx="3">
                  <c:v>11624.074225</c:v>
                </c:pt>
              </c:numCache>
            </c:numRef>
          </c:xVal>
          <c:yVal>
            <c:numRef>
              <c:f>MC_ROOF!$O$14:$O$17</c:f>
              <c:numCache>
                <c:formatCode>General</c:formatCode>
                <c:ptCount val="4"/>
                <c:pt idx="0">
                  <c:v>38.86</c:v>
                </c:pt>
                <c:pt idx="1">
                  <c:v>46.08</c:v>
                </c:pt>
                <c:pt idx="2">
                  <c:v>76.959999999999994</c:v>
                </c:pt>
                <c:pt idx="3">
                  <c:v>161.72999999999999</c:v>
                </c:pt>
              </c:numCache>
            </c:numRef>
          </c:yVal>
          <c:smooth val="0"/>
          <c:extLst>
            <c:ext xmlns:c16="http://schemas.microsoft.com/office/drawing/2014/chart" uri="{C3380CC4-5D6E-409C-BE32-E72D297353CC}">
              <c16:uniqueId val="{00000000-3693-4B2A-88C0-237B2654E0EF}"/>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4254780652418447E-2"/>
                  <c:y val="-2.605174353205849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MC_ROOF!$N$27:$N$30</c:f>
              <c:numCache>
                <c:formatCode>General</c:formatCode>
                <c:ptCount val="4"/>
                <c:pt idx="0">
                  <c:v>2304</c:v>
                </c:pt>
                <c:pt idx="1">
                  <c:v>3000</c:v>
                </c:pt>
                <c:pt idx="2">
                  <c:v>5184</c:v>
                </c:pt>
                <c:pt idx="3">
                  <c:v>10777.554225</c:v>
                </c:pt>
              </c:numCache>
            </c:numRef>
          </c:xVal>
          <c:yVal>
            <c:numRef>
              <c:f>MC_ROOF!$O$27:$O$30</c:f>
              <c:numCache>
                <c:formatCode>General</c:formatCode>
                <c:ptCount val="4"/>
                <c:pt idx="0">
                  <c:v>42.81</c:v>
                </c:pt>
                <c:pt idx="1">
                  <c:v>54.32</c:v>
                </c:pt>
                <c:pt idx="2">
                  <c:v>82.45</c:v>
                </c:pt>
                <c:pt idx="3">
                  <c:v>160.06</c:v>
                </c:pt>
              </c:numCache>
            </c:numRef>
          </c:yVal>
          <c:smooth val="0"/>
          <c:extLst>
            <c:ext xmlns:c16="http://schemas.microsoft.com/office/drawing/2014/chart" uri="{C3380CC4-5D6E-409C-BE32-E72D297353CC}">
              <c16:uniqueId val="{00000000-5889-47BF-96C2-340AD2E61BF4}"/>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9506020267645917E-2"/>
                  <c:y val="-5.405415232186885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MC_ROOF!$N$40:$N$43</c:f>
              <c:numCache>
                <c:formatCode>General</c:formatCode>
                <c:ptCount val="4"/>
                <c:pt idx="0">
                  <c:v>2304</c:v>
                </c:pt>
                <c:pt idx="1">
                  <c:v>3000</c:v>
                </c:pt>
                <c:pt idx="2">
                  <c:v>5184</c:v>
                </c:pt>
                <c:pt idx="3">
                  <c:v>11875.986529000002</c:v>
                </c:pt>
              </c:numCache>
            </c:numRef>
          </c:xVal>
          <c:yVal>
            <c:numRef>
              <c:f>MC_ROOF!$O$40:$O$43</c:f>
              <c:numCache>
                <c:formatCode>General</c:formatCode>
                <c:ptCount val="4"/>
                <c:pt idx="0">
                  <c:v>37.76</c:v>
                </c:pt>
                <c:pt idx="1">
                  <c:v>44.85</c:v>
                </c:pt>
                <c:pt idx="2">
                  <c:v>75.41</c:v>
                </c:pt>
                <c:pt idx="3">
                  <c:v>162.22</c:v>
                </c:pt>
              </c:numCache>
            </c:numRef>
          </c:yVal>
          <c:smooth val="0"/>
          <c:extLst>
            <c:ext xmlns:c16="http://schemas.microsoft.com/office/drawing/2014/chart" uri="{C3380CC4-5D6E-409C-BE32-E72D297353CC}">
              <c16:uniqueId val="{00000000-E5A1-4219-8FBD-62643665301F}"/>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Louver Weight:</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202.56</c:v>
              </c:pt>
              <c:pt idx="1">
                <c:v>343.55999999999995</c:v>
              </c:pt>
              <c:pt idx="2">
                <c:v>484.79999999999995</c:v>
              </c:pt>
              <c:pt idx="3">
                <c:v>625.79999999999995</c:v>
              </c:pt>
              <c:pt idx="4">
                <c:v>766.80000000000007</c:v>
              </c:pt>
              <c:pt idx="5">
                <c:v>907.8</c:v>
              </c:pt>
            </c:numLit>
          </c:yVal>
          <c:smooth val="0"/>
          <c:extLst>
            <c:ext xmlns:c16="http://schemas.microsoft.com/office/drawing/2014/chart" uri="{C3380CC4-5D6E-409C-BE32-E72D297353CC}">
              <c16:uniqueId val="{00000000-FAFD-4F2E-AC9E-7C394446CC85}"/>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5456542148766474E-2"/>
                  <c:y val="-4.734720659917510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MC_ROOF!$X$14:$X$19</c:f>
              <c:numCache>
                <c:formatCode>General</c:formatCode>
                <c:ptCount val="6"/>
                <c:pt idx="0">
                  <c:v>12100</c:v>
                </c:pt>
                <c:pt idx="1">
                  <c:v>13200</c:v>
                </c:pt>
                <c:pt idx="2">
                  <c:v>14950</c:v>
                </c:pt>
                <c:pt idx="3">
                  <c:v>17250</c:v>
                </c:pt>
                <c:pt idx="4">
                  <c:v>21600</c:v>
                </c:pt>
                <c:pt idx="5">
                  <c:v>28800</c:v>
                </c:pt>
              </c:numCache>
            </c:numRef>
          </c:xVal>
          <c:yVal>
            <c:numRef>
              <c:f>MC_ROOF!$Y$14:$Y$19</c:f>
              <c:numCache>
                <c:formatCode>General</c:formatCode>
                <c:ptCount val="6"/>
                <c:pt idx="0">
                  <c:v>211.84</c:v>
                </c:pt>
                <c:pt idx="1">
                  <c:v>234.19</c:v>
                </c:pt>
                <c:pt idx="2">
                  <c:v>253.42</c:v>
                </c:pt>
                <c:pt idx="3">
                  <c:v>287.37</c:v>
                </c:pt>
                <c:pt idx="4">
                  <c:v>356.26</c:v>
                </c:pt>
                <c:pt idx="5">
                  <c:v>461.76</c:v>
                </c:pt>
              </c:numCache>
            </c:numRef>
          </c:yVal>
          <c:smooth val="0"/>
          <c:extLst>
            <c:ext xmlns:c16="http://schemas.microsoft.com/office/drawing/2014/chart" uri="{C3380CC4-5D6E-409C-BE32-E72D297353CC}">
              <c16:uniqueId val="{00000000-EB09-443D-8986-40CB5A519BA8}"/>
            </c:ext>
          </c:extLst>
        </c:ser>
        <c:dLbls>
          <c:showLegendKey val="0"/>
          <c:showVal val="0"/>
          <c:showCatName val="0"/>
          <c:showSerName val="0"/>
          <c:showPercent val="0"/>
          <c:showBubbleSize val="0"/>
        </c:dLbls>
        <c:axId val="1784223183"/>
        <c:axId val="1784218607"/>
      </c:scatterChart>
      <c:valAx>
        <c:axId val="1784223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18607"/>
        <c:crosses val="autoZero"/>
        <c:crossBetween val="midCat"/>
      </c:valAx>
      <c:valAx>
        <c:axId val="178421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318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4254780652418447E-2"/>
                  <c:y val="-2.605174353205849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MC_ROOF!$X$27:$X$32</c:f>
              <c:numCache>
                <c:formatCode>General</c:formatCode>
                <c:ptCount val="6"/>
                <c:pt idx="0">
                  <c:v>12100</c:v>
                </c:pt>
                <c:pt idx="1">
                  <c:v>13200</c:v>
                </c:pt>
                <c:pt idx="2">
                  <c:v>14950</c:v>
                </c:pt>
                <c:pt idx="3">
                  <c:v>17250</c:v>
                </c:pt>
                <c:pt idx="4">
                  <c:v>21600</c:v>
                </c:pt>
                <c:pt idx="5">
                  <c:v>28800</c:v>
                </c:pt>
              </c:numCache>
            </c:numRef>
          </c:xVal>
          <c:yVal>
            <c:numRef>
              <c:f>MC_ROOF!$Y$27:$Y$32</c:f>
              <c:numCache>
                <c:formatCode>General</c:formatCode>
                <c:ptCount val="6"/>
                <c:pt idx="0">
                  <c:v>221.45</c:v>
                </c:pt>
                <c:pt idx="1">
                  <c:v>244.29</c:v>
                </c:pt>
                <c:pt idx="2">
                  <c:v>263.89</c:v>
                </c:pt>
                <c:pt idx="3">
                  <c:v>311.12</c:v>
                </c:pt>
                <c:pt idx="4">
                  <c:v>369.13</c:v>
                </c:pt>
                <c:pt idx="5">
                  <c:v>489.74</c:v>
                </c:pt>
              </c:numCache>
            </c:numRef>
          </c:yVal>
          <c:smooth val="0"/>
          <c:extLst>
            <c:ext xmlns:c16="http://schemas.microsoft.com/office/drawing/2014/chart" uri="{C3380CC4-5D6E-409C-BE32-E72D297353CC}">
              <c16:uniqueId val="{00000000-FAE9-48EB-9883-74BFBDB2A4FE}"/>
            </c:ext>
          </c:extLst>
        </c:ser>
        <c:dLbls>
          <c:showLegendKey val="0"/>
          <c:showVal val="0"/>
          <c:showCatName val="0"/>
          <c:showSerName val="0"/>
          <c:showPercent val="0"/>
          <c:showBubbleSize val="0"/>
        </c:dLbls>
        <c:axId val="1806686559"/>
        <c:axId val="1806686975"/>
      </c:scatterChart>
      <c:valAx>
        <c:axId val="1806686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975"/>
        <c:crosses val="autoZero"/>
        <c:crossBetween val="midCat"/>
      </c:valAx>
      <c:valAx>
        <c:axId val="1806686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55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9506020267645917E-2"/>
                  <c:y val="-5.405415232186885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MC_ROOF!$X$40:$X$45</c:f>
              <c:numCache>
                <c:formatCode>General</c:formatCode>
                <c:ptCount val="6"/>
                <c:pt idx="0">
                  <c:v>12100</c:v>
                </c:pt>
                <c:pt idx="1">
                  <c:v>13200</c:v>
                </c:pt>
                <c:pt idx="2">
                  <c:v>14950</c:v>
                </c:pt>
                <c:pt idx="3">
                  <c:v>17250</c:v>
                </c:pt>
                <c:pt idx="4">
                  <c:v>21600</c:v>
                </c:pt>
                <c:pt idx="5">
                  <c:v>28800</c:v>
                </c:pt>
              </c:numCache>
            </c:numRef>
          </c:xVal>
          <c:yVal>
            <c:numRef>
              <c:f>MC_ROOF!$Y$40:$Y$45</c:f>
              <c:numCache>
                <c:formatCode>General</c:formatCode>
                <c:ptCount val="6"/>
                <c:pt idx="0">
                  <c:v>209.12</c:v>
                </c:pt>
                <c:pt idx="1">
                  <c:v>231.33</c:v>
                </c:pt>
                <c:pt idx="2">
                  <c:v>250.35</c:v>
                </c:pt>
                <c:pt idx="3">
                  <c:v>284.07</c:v>
                </c:pt>
                <c:pt idx="4">
                  <c:v>352.61</c:v>
                </c:pt>
                <c:pt idx="5">
                  <c:v>457.41</c:v>
                </c:pt>
              </c:numCache>
            </c:numRef>
          </c:yVal>
          <c:smooth val="0"/>
          <c:extLst>
            <c:ext xmlns:c16="http://schemas.microsoft.com/office/drawing/2014/chart" uri="{C3380CC4-5D6E-409C-BE32-E72D297353CC}">
              <c16:uniqueId val="{00000000-1048-4D3F-AB83-BA4A04123B33}"/>
            </c:ext>
          </c:extLst>
        </c:ser>
        <c:dLbls>
          <c:showLegendKey val="0"/>
          <c:showVal val="0"/>
          <c:showCatName val="0"/>
          <c:showSerName val="0"/>
          <c:showPercent val="0"/>
          <c:showBubbleSize val="0"/>
        </c:dLbls>
        <c:axId val="1806686143"/>
        <c:axId val="1806681567"/>
      </c:scatterChart>
      <c:valAx>
        <c:axId val="18066861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1567"/>
        <c:crosses val="autoZero"/>
        <c:crossBetween val="midCat"/>
      </c:valAx>
      <c:valAx>
        <c:axId val="1806681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686143"/>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12" Curb Equation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BC_CURB!$D$26:$D$36</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BC_CURB!$E$26:$E$36</c:f>
              <c:numCache>
                <c:formatCode>General</c:formatCode>
                <c:ptCount val="11"/>
                <c:pt idx="0">
                  <c:v>61.65</c:v>
                </c:pt>
                <c:pt idx="1">
                  <c:v>73.22</c:v>
                </c:pt>
                <c:pt idx="2">
                  <c:v>96.41</c:v>
                </c:pt>
                <c:pt idx="3">
                  <c:v>119.58</c:v>
                </c:pt>
                <c:pt idx="4">
                  <c:v>131.16</c:v>
                </c:pt>
                <c:pt idx="5">
                  <c:v>142.75</c:v>
                </c:pt>
                <c:pt idx="6">
                  <c:v>165.91</c:v>
                </c:pt>
                <c:pt idx="7">
                  <c:v>189.08</c:v>
                </c:pt>
                <c:pt idx="8">
                  <c:v>200.66</c:v>
                </c:pt>
                <c:pt idx="9">
                  <c:v>219.97</c:v>
                </c:pt>
                <c:pt idx="10">
                  <c:v>239.27</c:v>
                </c:pt>
              </c:numCache>
            </c:numRef>
          </c:yVal>
          <c:smooth val="0"/>
          <c:extLst>
            <c:ext xmlns:c16="http://schemas.microsoft.com/office/drawing/2014/chart" uri="{C3380CC4-5D6E-409C-BE32-E72D297353CC}">
              <c16:uniqueId val="{00000000-08E2-45D9-9B66-3C262A8FE602}"/>
            </c:ext>
          </c:extLst>
        </c:ser>
        <c:dLbls>
          <c:showLegendKey val="0"/>
          <c:showVal val="0"/>
          <c:showCatName val="0"/>
          <c:showSerName val="0"/>
          <c:showPercent val="0"/>
          <c:showBubbleSize val="0"/>
        </c:dLbls>
        <c:axId val="1784224847"/>
        <c:axId val="1784209039"/>
      </c:scatterChart>
      <c:valAx>
        <c:axId val="1784224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09039"/>
        <c:crosses val="autoZero"/>
        <c:crossBetween val="midCat"/>
      </c:valAx>
      <c:valAx>
        <c:axId val="1784209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484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8" Curb Equation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BC_CURB!$D$9:$D$19</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BC_CURB!$E$9:$E$19</c:f>
              <c:numCache>
                <c:formatCode>General</c:formatCode>
                <c:ptCount val="11"/>
                <c:pt idx="0">
                  <c:v>50.16</c:v>
                </c:pt>
                <c:pt idx="1">
                  <c:v>60.11</c:v>
                </c:pt>
                <c:pt idx="2">
                  <c:v>80.010000000000005</c:v>
                </c:pt>
                <c:pt idx="3">
                  <c:v>99.91</c:v>
                </c:pt>
                <c:pt idx="4">
                  <c:v>109.86</c:v>
                </c:pt>
                <c:pt idx="5">
                  <c:v>119.81</c:v>
                </c:pt>
                <c:pt idx="6">
                  <c:v>139.71</c:v>
                </c:pt>
                <c:pt idx="7">
                  <c:v>159.61000000000001</c:v>
                </c:pt>
                <c:pt idx="8">
                  <c:v>169.56</c:v>
                </c:pt>
                <c:pt idx="9">
                  <c:v>186.15</c:v>
                </c:pt>
                <c:pt idx="10">
                  <c:v>202.73</c:v>
                </c:pt>
              </c:numCache>
            </c:numRef>
          </c:yVal>
          <c:smooth val="0"/>
          <c:extLst>
            <c:ext xmlns:c16="http://schemas.microsoft.com/office/drawing/2014/chart" uri="{C3380CC4-5D6E-409C-BE32-E72D297353CC}">
              <c16:uniqueId val="{00000000-C94F-4862-8BA3-D47CA1A12F5E}"/>
            </c:ext>
          </c:extLst>
        </c:ser>
        <c:dLbls>
          <c:showLegendKey val="0"/>
          <c:showVal val="0"/>
          <c:showCatName val="0"/>
          <c:showSerName val="0"/>
          <c:showPercent val="0"/>
          <c:showBubbleSize val="0"/>
        </c:dLbls>
        <c:axId val="1941925615"/>
        <c:axId val="1941919375"/>
      </c:scatterChart>
      <c:valAx>
        <c:axId val="1941925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19375"/>
        <c:crosses val="autoZero"/>
        <c:crossBetween val="midCat"/>
      </c:valAx>
      <c:valAx>
        <c:axId val="1941919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2561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18" Curb Equation</a:t>
            </a:r>
            <a:endParaRPr lang="en-US"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6245370370370371"/>
          <c:w val="0.87119685039370076"/>
          <c:h val="0.7208876494604841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6918416447944005E-2"/>
                  <c:y val="0.3884722222222222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BC_CURB!$D$43:$D$53</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BC_CURB!$E$43:$E$53</c:f>
              <c:numCache>
                <c:formatCode>General</c:formatCode>
                <c:ptCount val="11"/>
                <c:pt idx="0">
                  <c:v>78.94</c:v>
                </c:pt>
                <c:pt idx="1">
                  <c:v>92.98</c:v>
                </c:pt>
                <c:pt idx="2">
                  <c:v>121.04</c:v>
                </c:pt>
                <c:pt idx="3">
                  <c:v>149.1</c:v>
                </c:pt>
                <c:pt idx="4">
                  <c:v>163.13</c:v>
                </c:pt>
                <c:pt idx="5">
                  <c:v>177.16</c:v>
                </c:pt>
                <c:pt idx="6">
                  <c:v>205.23</c:v>
                </c:pt>
                <c:pt idx="7">
                  <c:v>233.29</c:v>
                </c:pt>
                <c:pt idx="8">
                  <c:v>247.32</c:v>
                </c:pt>
                <c:pt idx="9">
                  <c:v>270.70999999999998</c:v>
                </c:pt>
                <c:pt idx="10">
                  <c:v>294.08999999999997</c:v>
                </c:pt>
              </c:numCache>
            </c:numRef>
          </c:yVal>
          <c:smooth val="0"/>
          <c:extLst>
            <c:ext xmlns:c16="http://schemas.microsoft.com/office/drawing/2014/chart" uri="{C3380CC4-5D6E-409C-BE32-E72D297353CC}">
              <c16:uniqueId val="{00000000-657F-47D9-9EE6-52B6613F05B5}"/>
            </c:ext>
          </c:extLst>
        </c:ser>
        <c:dLbls>
          <c:showLegendKey val="0"/>
          <c:showVal val="0"/>
          <c:showCatName val="0"/>
          <c:showSerName val="0"/>
          <c:showPercent val="0"/>
          <c:showBubbleSize val="0"/>
        </c:dLbls>
        <c:axId val="1941923535"/>
        <c:axId val="1941917295"/>
      </c:scatterChart>
      <c:valAx>
        <c:axId val="19419235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17295"/>
        <c:crosses val="autoZero"/>
        <c:crossBetween val="midCat"/>
      </c:valAx>
      <c:valAx>
        <c:axId val="1941917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2353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12" Curb Equation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MC_CURB!$D$26:$D$36</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MC_CURB!$E$26:$E$36</c:f>
              <c:numCache>
                <c:formatCode>General</c:formatCode>
                <c:ptCount val="11"/>
                <c:pt idx="0">
                  <c:v>61.65</c:v>
                </c:pt>
                <c:pt idx="1">
                  <c:v>73.22</c:v>
                </c:pt>
                <c:pt idx="2">
                  <c:v>96.41</c:v>
                </c:pt>
                <c:pt idx="3">
                  <c:v>119.58</c:v>
                </c:pt>
                <c:pt idx="4">
                  <c:v>131.16</c:v>
                </c:pt>
                <c:pt idx="5">
                  <c:v>142.75</c:v>
                </c:pt>
                <c:pt idx="6">
                  <c:v>165.91</c:v>
                </c:pt>
                <c:pt idx="7">
                  <c:v>189.08</c:v>
                </c:pt>
                <c:pt idx="8">
                  <c:v>200.66</c:v>
                </c:pt>
                <c:pt idx="9">
                  <c:v>219.97</c:v>
                </c:pt>
                <c:pt idx="10">
                  <c:v>239.27</c:v>
                </c:pt>
              </c:numCache>
            </c:numRef>
          </c:yVal>
          <c:smooth val="0"/>
          <c:extLst>
            <c:ext xmlns:c16="http://schemas.microsoft.com/office/drawing/2014/chart" uri="{C3380CC4-5D6E-409C-BE32-E72D297353CC}">
              <c16:uniqueId val="{00000000-B55A-436A-8B29-0680E8ACA057}"/>
            </c:ext>
          </c:extLst>
        </c:ser>
        <c:dLbls>
          <c:showLegendKey val="0"/>
          <c:showVal val="0"/>
          <c:showCatName val="0"/>
          <c:showSerName val="0"/>
          <c:showPercent val="0"/>
          <c:showBubbleSize val="0"/>
        </c:dLbls>
        <c:axId val="1784224847"/>
        <c:axId val="1784209039"/>
      </c:scatterChart>
      <c:valAx>
        <c:axId val="1784224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09039"/>
        <c:crosses val="autoZero"/>
        <c:crossBetween val="midCat"/>
      </c:valAx>
      <c:valAx>
        <c:axId val="1784209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22484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8" Curb Equation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MC_CURB!$D$9:$D$19</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MC_CURB!$E$9:$E$19</c:f>
              <c:numCache>
                <c:formatCode>General</c:formatCode>
                <c:ptCount val="11"/>
                <c:pt idx="0">
                  <c:v>50.16</c:v>
                </c:pt>
                <c:pt idx="1">
                  <c:v>60.11</c:v>
                </c:pt>
                <c:pt idx="2">
                  <c:v>80.010000000000005</c:v>
                </c:pt>
                <c:pt idx="3">
                  <c:v>99.91</c:v>
                </c:pt>
                <c:pt idx="4">
                  <c:v>109.86</c:v>
                </c:pt>
                <c:pt idx="5">
                  <c:v>119.81</c:v>
                </c:pt>
                <c:pt idx="6">
                  <c:v>139.71</c:v>
                </c:pt>
                <c:pt idx="7">
                  <c:v>159.61000000000001</c:v>
                </c:pt>
                <c:pt idx="8">
                  <c:v>169.56</c:v>
                </c:pt>
                <c:pt idx="9">
                  <c:v>186.15</c:v>
                </c:pt>
                <c:pt idx="10">
                  <c:v>202.73</c:v>
                </c:pt>
              </c:numCache>
            </c:numRef>
          </c:yVal>
          <c:smooth val="0"/>
          <c:extLst>
            <c:ext xmlns:c16="http://schemas.microsoft.com/office/drawing/2014/chart" uri="{C3380CC4-5D6E-409C-BE32-E72D297353CC}">
              <c16:uniqueId val="{00000000-13A6-488F-BF8D-19013247F810}"/>
            </c:ext>
          </c:extLst>
        </c:ser>
        <c:dLbls>
          <c:showLegendKey val="0"/>
          <c:showVal val="0"/>
          <c:showCatName val="0"/>
          <c:showSerName val="0"/>
          <c:showPercent val="0"/>
          <c:showBubbleSize val="0"/>
        </c:dLbls>
        <c:axId val="1941925615"/>
        <c:axId val="1941919375"/>
      </c:scatterChart>
      <c:valAx>
        <c:axId val="1941925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19375"/>
        <c:crosses val="autoZero"/>
        <c:crossBetween val="midCat"/>
      </c:valAx>
      <c:valAx>
        <c:axId val="1941919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2561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18" Curb Equation</a:t>
            </a:r>
            <a:endParaRPr lang="en-US"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47594050743664E-2"/>
          <c:y val="0.16245370370370371"/>
          <c:w val="0.87119685039370076"/>
          <c:h val="0.7208876494604841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6918416447944005E-2"/>
                  <c:y val="0.3884722222222222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MC_CURB!$D$43:$D$53</c:f>
              <c:numCache>
                <c:formatCode>General</c:formatCode>
                <c:ptCount val="11"/>
                <c:pt idx="0">
                  <c:v>72</c:v>
                </c:pt>
                <c:pt idx="1">
                  <c:v>96</c:v>
                </c:pt>
                <c:pt idx="2">
                  <c:v>144</c:v>
                </c:pt>
                <c:pt idx="3">
                  <c:v>192</c:v>
                </c:pt>
                <c:pt idx="4">
                  <c:v>216</c:v>
                </c:pt>
                <c:pt idx="5">
                  <c:v>240</c:v>
                </c:pt>
                <c:pt idx="6">
                  <c:v>288</c:v>
                </c:pt>
                <c:pt idx="7">
                  <c:v>336</c:v>
                </c:pt>
                <c:pt idx="8">
                  <c:v>360</c:v>
                </c:pt>
                <c:pt idx="9">
                  <c:v>400</c:v>
                </c:pt>
                <c:pt idx="10">
                  <c:v>440</c:v>
                </c:pt>
              </c:numCache>
            </c:numRef>
          </c:xVal>
          <c:yVal>
            <c:numRef>
              <c:f>MC_CURB!$E$43:$E$53</c:f>
              <c:numCache>
                <c:formatCode>General</c:formatCode>
                <c:ptCount val="11"/>
                <c:pt idx="0">
                  <c:v>78.94</c:v>
                </c:pt>
                <c:pt idx="1">
                  <c:v>92.98</c:v>
                </c:pt>
                <c:pt idx="2">
                  <c:v>121.04</c:v>
                </c:pt>
                <c:pt idx="3">
                  <c:v>149.1</c:v>
                </c:pt>
                <c:pt idx="4">
                  <c:v>163.13</c:v>
                </c:pt>
                <c:pt idx="5">
                  <c:v>177.16</c:v>
                </c:pt>
                <c:pt idx="6">
                  <c:v>205.23</c:v>
                </c:pt>
                <c:pt idx="7">
                  <c:v>233.29</c:v>
                </c:pt>
                <c:pt idx="8">
                  <c:v>247.32</c:v>
                </c:pt>
                <c:pt idx="9">
                  <c:v>270.70999999999998</c:v>
                </c:pt>
                <c:pt idx="10">
                  <c:v>294.08999999999997</c:v>
                </c:pt>
              </c:numCache>
            </c:numRef>
          </c:yVal>
          <c:smooth val="0"/>
          <c:extLst>
            <c:ext xmlns:c16="http://schemas.microsoft.com/office/drawing/2014/chart" uri="{C3380CC4-5D6E-409C-BE32-E72D297353CC}">
              <c16:uniqueId val="{00000000-2867-4509-BAA4-A6518F761EC4}"/>
            </c:ext>
          </c:extLst>
        </c:ser>
        <c:dLbls>
          <c:showLegendKey val="0"/>
          <c:showVal val="0"/>
          <c:showCatName val="0"/>
          <c:showSerName val="0"/>
          <c:showPercent val="0"/>
          <c:showBubbleSize val="0"/>
        </c:dLbls>
        <c:axId val="1941923535"/>
        <c:axId val="1941917295"/>
      </c:scatterChart>
      <c:valAx>
        <c:axId val="19419235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17295"/>
        <c:crosses val="autoZero"/>
        <c:crossBetween val="midCat"/>
      </c:valAx>
      <c:valAx>
        <c:axId val="1941917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192353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6"/>
          <c:order val="0"/>
          <c:tx>
            <c:v>Roof Weight:</c:v>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462.22800000000001</c:v>
              </c:pt>
              <c:pt idx="1">
                <c:v>462.22800000000001</c:v>
              </c:pt>
              <c:pt idx="2">
                <c:v>462.22800000000001</c:v>
              </c:pt>
              <c:pt idx="3">
                <c:v>462.22800000000001</c:v>
              </c:pt>
              <c:pt idx="4">
                <c:v>462.22800000000001</c:v>
              </c:pt>
              <c:pt idx="5">
                <c:v>462.22800000000001</c:v>
              </c:pt>
            </c:numLit>
          </c:yVal>
          <c:smooth val="0"/>
          <c:extLst>
            <c:ext xmlns:c16="http://schemas.microsoft.com/office/drawing/2014/chart" uri="{C3380CC4-5D6E-409C-BE32-E72D297353CC}">
              <c16:uniqueId val="{00000000-48FA-4D2D-952C-366D3D9C2CB0}"/>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Corner Weight:</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6.5375999999999994</c:v>
              </c:pt>
              <c:pt idx="1">
                <c:v>13.075199999999999</c:v>
              </c:pt>
              <c:pt idx="2">
                <c:v>19.6128</c:v>
              </c:pt>
              <c:pt idx="3">
                <c:v>26.150399999999998</c:v>
              </c:pt>
              <c:pt idx="4">
                <c:v>32.687999999999995</c:v>
              </c:pt>
              <c:pt idx="5">
                <c:v>39.2256</c:v>
              </c:pt>
            </c:numLit>
          </c:yVal>
          <c:smooth val="0"/>
          <c:extLst>
            <c:ext xmlns:c16="http://schemas.microsoft.com/office/drawing/2014/chart" uri="{C3380CC4-5D6E-409C-BE32-E72D297353CC}">
              <c16:uniqueId val="{00000000-9C8A-4506-A508-7305FA5009BF}"/>
            </c:ext>
          </c:extLst>
        </c:ser>
        <c:ser>
          <c:idx val="2"/>
          <c:order val="1"/>
          <c:tx>
            <c:v>Screen Weight:</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7.7759999999999998</c:v>
              </c:pt>
              <c:pt idx="1">
                <c:v>15.552</c:v>
              </c:pt>
              <c:pt idx="2">
                <c:v>23.327999999999999</c:v>
              </c:pt>
              <c:pt idx="3">
                <c:v>31.103999999999999</c:v>
              </c:pt>
              <c:pt idx="4">
                <c:v>38.879999999999995</c:v>
              </c:pt>
              <c:pt idx="5">
                <c:v>46.655999999999999</c:v>
              </c:pt>
            </c:numLit>
          </c:yVal>
          <c:smooth val="0"/>
          <c:extLst>
            <c:ext xmlns:c16="http://schemas.microsoft.com/office/drawing/2014/chart" uri="{C3380CC4-5D6E-409C-BE32-E72D297353CC}">
              <c16:uniqueId val="{00000001-9C8A-4506-A508-7305FA5009BF}"/>
            </c:ext>
          </c:extLst>
        </c:ser>
        <c:ser>
          <c:idx val="3"/>
          <c:order val="2"/>
          <c:tx>
            <c:v>Curb Strap Weight:</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c:v>
              </c:pt>
              <c:pt idx="1">
                <c:v>12</c:v>
              </c:pt>
              <c:pt idx="2">
                <c:v>12</c:v>
              </c:pt>
              <c:pt idx="3">
                <c:v>12</c:v>
              </c:pt>
              <c:pt idx="4">
                <c:v>12</c:v>
              </c:pt>
              <c:pt idx="5">
                <c:v>12</c:v>
              </c:pt>
            </c:numLit>
          </c:yVal>
          <c:smooth val="0"/>
          <c:extLst>
            <c:ext xmlns:c16="http://schemas.microsoft.com/office/drawing/2014/chart" uri="{C3380CC4-5D6E-409C-BE32-E72D297353CC}">
              <c16:uniqueId val="{00000002-9C8A-4506-A508-7305FA5009BF}"/>
            </c:ext>
          </c:extLst>
        </c:ser>
        <c:ser>
          <c:idx val="4"/>
          <c:order val="3"/>
          <c:tx>
            <c:v>Knee Brace Weight:</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12.479999999999997</c:v>
              </c:pt>
              <c:pt idx="1">
                <c:v>19.379999999999995</c:v>
              </c:pt>
              <c:pt idx="2">
                <c:v>26.279999999999994</c:v>
              </c:pt>
              <c:pt idx="3">
                <c:v>33.179999999999986</c:v>
              </c:pt>
              <c:pt idx="4">
                <c:v>40.079999999999984</c:v>
              </c:pt>
              <c:pt idx="5">
                <c:v>46.979999999999983</c:v>
              </c:pt>
            </c:numLit>
          </c:yVal>
          <c:smooth val="0"/>
          <c:extLst>
            <c:ext xmlns:c16="http://schemas.microsoft.com/office/drawing/2014/chart" uri="{C3380CC4-5D6E-409C-BE32-E72D297353CC}">
              <c16:uniqueId val="{00000003-9C8A-4506-A508-7305FA5009BF}"/>
            </c:ext>
          </c:extLst>
        </c:ser>
        <c:ser>
          <c:idx val="5"/>
          <c:order val="4"/>
          <c:tx>
            <c:v>Cross Brace Weight:</c:v>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Lit>
              <c:formatCode>General</c:formatCode>
              <c:ptCount val="10"/>
              <c:pt idx="0">
                <c:v>12</c:v>
              </c:pt>
              <c:pt idx="1">
                <c:v>24</c:v>
              </c:pt>
              <c:pt idx="2">
                <c:v>36</c:v>
              </c:pt>
              <c:pt idx="3">
                <c:v>48</c:v>
              </c:pt>
              <c:pt idx="4">
                <c:v>60</c:v>
              </c:pt>
              <c:pt idx="5">
                <c:v>72</c:v>
              </c:pt>
            </c:numLit>
          </c:xVal>
          <c:yVal>
            <c:numLit>
              <c:formatCode>General</c:formatCode>
              <c:ptCount val="10"/>
              <c:pt idx="0">
                <c:v>17.46</c:v>
              </c:pt>
              <c:pt idx="1">
                <c:v>17.46</c:v>
              </c:pt>
              <c:pt idx="2">
                <c:v>17.46</c:v>
              </c:pt>
              <c:pt idx="3">
                <c:v>17.46</c:v>
              </c:pt>
              <c:pt idx="4">
                <c:v>17.46</c:v>
              </c:pt>
              <c:pt idx="5">
                <c:v>17.46</c:v>
              </c:pt>
            </c:numLit>
          </c:yVal>
          <c:smooth val="0"/>
          <c:extLst>
            <c:ext xmlns:c16="http://schemas.microsoft.com/office/drawing/2014/chart" uri="{C3380CC4-5D6E-409C-BE32-E72D297353CC}">
              <c16:uniqueId val="{00000004-9C8A-4506-A508-7305FA5009BF}"/>
            </c:ext>
          </c:extLst>
        </c:ser>
        <c:dLbls>
          <c:showLegendKey val="0"/>
          <c:showVal val="0"/>
          <c:showCatName val="0"/>
          <c:showSerName val="0"/>
          <c:showPercent val="0"/>
          <c:showBubbleSize val="0"/>
        </c:dLbls>
        <c:axId val="2046946911"/>
        <c:axId val="2046941503"/>
      </c:scatterChart>
      <c:valAx>
        <c:axId val="2046946911"/>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1503"/>
        <c:crosses val="autoZero"/>
        <c:crossBetween val="midCat"/>
      </c:valAx>
      <c:valAx>
        <c:axId val="204694150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946911"/>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DATA ENTRY'!$B$8:$B$14" fmlaRange="'DATA ENTRY'!$B$8:$B$1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chart" Target="../charts/chart4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 Id="rId9"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 Id="rId9" Type="http://schemas.openxmlformats.org/officeDocument/2006/relationships/chart" Target="../charts/chart6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1.xml"/><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 Id="rId9" Type="http://schemas.openxmlformats.org/officeDocument/2006/relationships/chart" Target="../charts/chart7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21" Type="http://schemas.openxmlformats.org/officeDocument/2006/relationships/image" Target="../media/image38.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40.png"/><Relationship Id="rId10" Type="http://schemas.openxmlformats.org/officeDocument/2006/relationships/image" Target="../media/image27.png"/><Relationship Id="rId19" Type="http://schemas.openxmlformats.org/officeDocument/2006/relationships/image" Target="../media/image36.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media/image39.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57151</xdr:rowOff>
    </xdr:from>
    <xdr:to>
      <xdr:col>1</xdr:col>
      <xdr:colOff>28575</xdr:colOff>
      <xdr:row>1</xdr:row>
      <xdr:rowOff>1</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75" y="57151"/>
          <a:ext cx="2021417" cy="63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47</xdr:col>
      <xdr:colOff>514615</xdr:colOff>
      <xdr:row>144</xdr:row>
      <xdr:rowOff>63500</xdr:rowOff>
    </xdr:from>
    <xdr:to>
      <xdr:col>99</xdr:col>
      <xdr:colOff>498741</xdr:colOff>
      <xdr:row>160</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144</xdr:row>
      <xdr:rowOff>31750</xdr:rowOff>
    </xdr:from>
    <xdr:to>
      <xdr:col>46</xdr:col>
      <xdr:colOff>317501</xdr:colOff>
      <xdr:row>160</xdr:row>
      <xdr:rowOff>6349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109</xdr:col>
      <xdr:colOff>194469</xdr:colOff>
      <xdr:row>144</xdr:row>
      <xdr:rowOff>0</xdr:rowOff>
    </xdr:from>
    <xdr:to>
      <xdr:col>161</xdr:col>
      <xdr:colOff>178595</xdr:colOff>
      <xdr:row>159</xdr:row>
      <xdr:rowOff>165099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127</xdr:row>
      <xdr:rowOff>0</xdr:rowOff>
    </xdr:from>
    <xdr:to>
      <xdr:col>46</xdr:col>
      <xdr:colOff>317501</xdr:colOff>
      <xdr:row>142</xdr:row>
      <xdr:rowOff>165099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514615</xdr:colOff>
      <xdr:row>127</xdr:row>
      <xdr:rowOff>31750</xdr:rowOff>
    </xdr:from>
    <xdr:to>
      <xdr:col>99</xdr:col>
      <xdr:colOff>498741</xdr:colOff>
      <xdr:row>143</xdr:row>
      <xdr:rowOff>6349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100</xdr:col>
      <xdr:colOff>600606</xdr:colOff>
      <xdr:row>127</xdr:row>
      <xdr:rowOff>31750</xdr:rowOff>
    </xdr:from>
    <xdr:to>
      <xdr:col>160</xdr:col>
      <xdr:colOff>584732</xdr:colOff>
      <xdr:row>143</xdr:row>
      <xdr:rowOff>6349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161</xdr:row>
      <xdr:rowOff>0</xdr:rowOff>
    </xdr:from>
    <xdr:to>
      <xdr:col>46</xdr:col>
      <xdr:colOff>317501</xdr:colOff>
      <xdr:row>176</xdr:row>
      <xdr:rowOff>165099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514615</xdr:colOff>
      <xdr:row>161</xdr:row>
      <xdr:rowOff>31750</xdr:rowOff>
    </xdr:from>
    <xdr:to>
      <xdr:col>99</xdr:col>
      <xdr:colOff>498741</xdr:colOff>
      <xdr:row>177</xdr:row>
      <xdr:rowOff>6349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100</xdr:col>
      <xdr:colOff>600606</xdr:colOff>
      <xdr:row>161</xdr:row>
      <xdr:rowOff>31750</xdr:rowOff>
    </xdr:from>
    <xdr:to>
      <xdr:col>160</xdr:col>
      <xdr:colOff>584732</xdr:colOff>
      <xdr:row>177</xdr:row>
      <xdr:rowOff>6349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47</xdr:col>
      <xdr:colOff>441477</xdr:colOff>
      <xdr:row>144</xdr:row>
      <xdr:rowOff>63500</xdr:rowOff>
    </xdr:from>
    <xdr:to>
      <xdr:col>99</xdr:col>
      <xdr:colOff>364371</xdr:colOff>
      <xdr:row>160</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144</xdr:row>
      <xdr:rowOff>31750</xdr:rowOff>
    </xdr:from>
    <xdr:to>
      <xdr:col>46</xdr:col>
      <xdr:colOff>249466</xdr:colOff>
      <xdr:row>160</xdr:row>
      <xdr:rowOff>6349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109</xdr:col>
      <xdr:colOff>49893</xdr:colOff>
      <xdr:row>144</xdr:row>
      <xdr:rowOff>0</xdr:rowOff>
    </xdr:from>
    <xdr:to>
      <xdr:col>160</xdr:col>
      <xdr:colOff>585108</xdr:colOff>
      <xdr:row>159</xdr:row>
      <xdr:rowOff>165099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127</xdr:row>
      <xdr:rowOff>0</xdr:rowOff>
    </xdr:from>
    <xdr:to>
      <xdr:col>46</xdr:col>
      <xdr:colOff>249466</xdr:colOff>
      <xdr:row>142</xdr:row>
      <xdr:rowOff>165099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441477</xdr:colOff>
      <xdr:row>127</xdr:row>
      <xdr:rowOff>31750</xdr:rowOff>
    </xdr:from>
    <xdr:to>
      <xdr:col>99</xdr:col>
      <xdr:colOff>364371</xdr:colOff>
      <xdr:row>143</xdr:row>
      <xdr:rowOff>6349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100</xdr:col>
      <xdr:colOff>461133</xdr:colOff>
      <xdr:row>127</xdr:row>
      <xdr:rowOff>31750</xdr:rowOff>
    </xdr:from>
    <xdr:to>
      <xdr:col>160</xdr:col>
      <xdr:colOff>384026</xdr:colOff>
      <xdr:row>143</xdr:row>
      <xdr:rowOff>6349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161</xdr:row>
      <xdr:rowOff>0</xdr:rowOff>
    </xdr:from>
    <xdr:to>
      <xdr:col>46</xdr:col>
      <xdr:colOff>249466</xdr:colOff>
      <xdr:row>176</xdr:row>
      <xdr:rowOff>165099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441477</xdr:colOff>
      <xdr:row>161</xdr:row>
      <xdr:rowOff>31750</xdr:rowOff>
    </xdr:from>
    <xdr:to>
      <xdr:col>99</xdr:col>
      <xdr:colOff>364371</xdr:colOff>
      <xdr:row>177</xdr:row>
      <xdr:rowOff>6349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100</xdr:col>
      <xdr:colOff>461133</xdr:colOff>
      <xdr:row>161</xdr:row>
      <xdr:rowOff>31750</xdr:rowOff>
    </xdr:from>
    <xdr:to>
      <xdr:col>160</xdr:col>
      <xdr:colOff>384026</xdr:colOff>
      <xdr:row>177</xdr:row>
      <xdr:rowOff>6349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47</xdr:col>
      <xdr:colOff>365709</xdr:colOff>
      <xdr:row>144</xdr:row>
      <xdr:rowOff>63500</xdr:rowOff>
    </xdr:from>
    <xdr:to>
      <xdr:col>99</xdr:col>
      <xdr:colOff>275615</xdr:colOff>
      <xdr:row>160</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144</xdr:row>
      <xdr:rowOff>31750</xdr:rowOff>
    </xdr:from>
    <xdr:to>
      <xdr:col>46</xdr:col>
      <xdr:colOff>174781</xdr:colOff>
      <xdr:row>160</xdr:row>
      <xdr:rowOff>6349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100</xdr:col>
      <xdr:colOff>566191</xdr:colOff>
      <xdr:row>144</xdr:row>
      <xdr:rowOff>0</xdr:rowOff>
    </xdr:from>
    <xdr:to>
      <xdr:col>160</xdr:col>
      <xdr:colOff>482281</xdr:colOff>
      <xdr:row>159</xdr:row>
      <xdr:rowOff>165099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127</xdr:row>
      <xdr:rowOff>0</xdr:rowOff>
    </xdr:from>
    <xdr:to>
      <xdr:col>46</xdr:col>
      <xdr:colOff>174781</xdr:colOff>
      <xdr:row>142</xdr:row>
      <xdr:rowOff>165099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365709</xdr:colOff>
      <xdr:row>127</xdr:row>
      <xdr:rowOff>31750</xdr:rowOff>
    </xdr:from>
    <xdr:to>
      <xdr:col>99</xdr:col>
      <xdr:colOff>275615</xdr:colOff>
      <xdr:row>143</xdr:row>
      <xdr:rowOff>6349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100</xdr:col>
      <xdr:colOff>371295</xdr:colOff>
      <xdr:row>127</xdr:row>
      <xdr:rowOff>31750</xdr:rowOff>
    </xdr:from>
    <xdr:to>
      <xdr:col>160</xdr:col>
      <xdr:colOff>281199</xdr:colOff>
      <xdr:row>143</xdr:row>
      <xdr:rowOff>6349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161</xdr:row>
      <xdr:rowOff>0</xdr:rowOff>
    </xdr:from>
    <xdr:to>
      <xdr:col>46</xdr:col>
      <xdr:colOff>174781</xdr:colOff>
      <xdr:row>176</xdr:row>
      <xdr:rowOff>165099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365709</xdr:colOff>
      <xdr:row>161</xdr:row>
      <xdr:rowOff>31750</xdr:rowOff>
    </xdr:from>
    <xdr:to>
      <xdr:col>99</xdr:col>
      <xdr:colOff>275615</xdr:colOff>
      <xdr:row>177</xdr:row>
      <xdr:rowOff>6349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100</xdr:col>
      <xdr:colOff>371295</xdr:colOff>
      <xdr:row>161</xdr:row>
      <xdr:rowOff>31750</xdr:rowOff>
    </xdr:from>
    <xdr:to>
      <xdr:col>160</xdr:col>
      <xdr:colOff>281199</xdr:colOff>
      <xdr:row>177</xdr:row>
      <xdr:rowOff>6349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498379</xdr:colOff>
      <xdr:row>143</xdr:row>
      <xdr:rowOff>131535</xdr:rowOff>
    </xdr:from>
    <xdr:to>
      <xdr:col>90</xdr:col>
      <xdr:colOff>347053</xdr:colOff>
      <xdr:row>159</xdr:row>
      <xdr:rowOff>106134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143</xdr:row>
      <xdr:rowOff>99785</xdr:rowOff>
    </xdr:from>
    <xdr:to>
      <xdr:col>45</xdr:col>
      <xdr:colOff>312554</xdr:colOff>
      <xdr:row>159</xdr:row>
      <xdr:rowOff>74384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100</xdr:col>
      <xdr:colOff>20204</xdr:colOff>
      <xdr:row>143</xdr:row>
      <xdr:rowOff>68035</xdr:rowOff>
    </xdr:from>
    <xdr:to>
      <xdr:col>159</xdr:col>
      <xdr:colOff>487384</xdr:colOff>
      <xdr:row>159</xdr:row>
      <xdr:rowOff>42634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127</xdr:row>
      <xdr:rowOff>0</xdr:rowOff>
    </xdr:from>
    <xdr:to>
      <xdr:col>45</xdr:col>
      <xdr:colOff>312554</xdr:colOff>
      <xdr:row>142</xdr:row>
      <xdr:rowOff>42634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498379</xdr:colOff>
      <xdr:row>127</xdr:row>
      <xdr:rowOff>31750</xdr:rowOff>
    </xdr:from>
    <xdr:to>
      <xdr:col>90</xdr:col>
      <xdr:colOff>347053</xdr:colOff>
      <xdr:row>142</xdr:row>
      <xdr:rowOff>74384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99</xdr:col>
      <xdr:colOff>437630</xdr:colOff>
      <xdr:row>127</xdr:row>
      <xdr:rowOff>31750</xdr:rowOff>
    </xdr:from>
    <xdr:to>
      <xdr:col>159</xdr:col>
      <xdr:colOff>286302</xdr:colOff>
      <xdr:row>142</xdr:row>
      <xdr:rowOff>74384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160</xdr:row>
      <xdr:rowOff>68035</xdr:rowOff>
    </xdr:from>
    <xdr:to>
      <xdr:col>45</xdr:col>
      <xdr:colOff>312554</xdr:colOff>
      <xdr:row>176</xdr:row>
      <xdr:rowOff>42634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498379</xdr:colOff>
      <xdr:row>160</xdr:row>
      <xdr:rowOff>99785</xdr:rowOff>
    </xdr:from>
    <xdr:to>
      <xdr:col>90</xdr:col>
      <xdr:colOff>347053</xdr:colOff>
      <xdr:row>176</xdr:row>
      <xdr:rowOff>74384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99</xdr:col>
      <xdr:colOff>437630</xdr:colOff>
      <xdr:row>160</xdr:row>
      <xdr:rowOff>99785</xdr:rowOff>
    </xdr:from>
    <xdr:to>
      <xdr:col>159</xdr:col>
      <xdr:colOff>286302</xdr:colOff>
      <xdr:row>176</xdr:row>
      <xdr:rowOff>74384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276226</xdr:colOff>
      <xdr:row>12</xdr:row>
      <xdr:rowOff>47625</xdr:rowOff>
    </xdr:from>
    <xdr:to>
      <xdr:col>8</xdr:col>
      <xdr:colOff>600075</xdr:colOff>
      <xdr:row>23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228601</xdr:colOff>
      <xdr:row>25</xdr:row>
      <xdr:rowOff>38101</xdr:rowOff>
    </xdr:from>
    <xdr:to>
      <xdr:col>8</xdr:col>
      <xdr:colOff>533401</xdr:colOff>
      <xdr:row>36</xdr:row>
      <xdr:rowOff>76201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352425</xdr:colOff>
      <xdr:row>38</xdr:row>
      <xdr:rowOff>114300</xdr:rowOff>
    </xdr:from>
    <xdr:to>
      <xdr:col>9</xdr:col>
      <xdr:colOff>38100</xdr:colOff>
      <xdr:row>50</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276226</xdr:colOff>
      <xdr:row>12</xdr:row>
      <xdr:rowOff>47625</xdr:rowOff>
    </xdr:from>
    <xdr:to>
      <xdr:col>18</xdr:col>
      <xdr:colOff>600075</xdr:colOff>
      <xdr:row>23</xdr:row>
      <xdr:rowOff>85725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228601</xdr:colOff>
      <xdr:row>25</xdr:row>
      <xdr:rowOff>38101</xdr:rowOff>
    </xdr:from>
    <xdr:to>
      <xdr:col>18</xdr:col>
      <xdr:colOff>533401</xdr:colOff>
      <xdr:row>36</xdr:row>
      <xdr:rowOff>76201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352425</xdr:colOff>
      <xdr:row>38</xdr:row>
      <xdr:rowOff>114300</xdr:rowOff>
    </xdr:from>
    <xdr:to>
      <xdr:col>19</xdr:col>
      <xdr:colOff>38100</xdr:colOff>
      <xdr:row>50</xdr:row>
      <xdr:rowOff>28575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276226</xdr:colOff>
      <xdr:row>12</xdr:row>
      <xdr:rowOff>47625</xdr:rowOff>
    </xdr:from>
    <xdr:to>
      <xdr:col>28</xdr:col>
      <xdr:colOff>600075</xdr:colOff>
      <xdr:row>23</xdr:row>
      <xdr:rowOff>85725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228601</xdr:colOff>
      <xdr:row>25</xdr:row>
      <xdr:rowOff>38101</xdr:rowOff>
    </xdr:from>
    <xdr:to>
      <xdr:col>28</xdr:col>
      <xdr:colOff>533401</xdr:colOff>
      <xdr:row>36</xdr:row>
      <xdr:rowOff>76201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352425</xdr:colOff>
      <xdr:row>38</xdr:row>
      <xdr:rowOff>114300</xdr:rowOff>
    </xdr:from>
    <xdr:to>
      <xdr:col>29</xdr:col>
      <xdr:colOff>38100</xdr:colOff>
      <xdr:row>50</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276226</xdr:colOff>
      <xdr:row>12</xdr:row>
      <xdr:rowOff>47625</xdr:rowOff>
    </xdr:from>
    <xdr:to>
      <xdr:col>8</xdr:col>
      <xdr:colOff>600075</xdr:colOff>
      <xdr:row>23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228601</xdr:colOff>
      <xdr:row>25</xdr:row>
      <xdr:rowOff>38101</xdr:rowOff>
    </xdr:from>
    <xdr:to>
      <xdr:col>8</xdr:col>
      <xdr:colOff>533401</xdr:colOff>
      <xdr:row>36</xdr:row>
      <xdr:rowOff>76201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352425</xdr:colOff>
      <xdr:row>38</xdr:row>
      <xdr:rowOff>114300</xdr:rowOff>
    </xdr:from>
    <xdr:to>
      <xdr:col>9</xdr:col>
      <xdr:colOff>38100</xdr:colOff>
      <xdr:row>50</xdr:row>
      <xdr:rowOff>28575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276226</xdr:colOff>
      <xdr:row>12</xdr:row>
      <xdr:rowOff>47625</xdr:rowOff>
    </xdr:from>
    <xdr:to>
      <xdr:col>18</xdr:col>
      <xdr:colOff>600075</xdr:colOff>
      <xdr:row>23</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228601</xdr:colOff>
      <xdr:row>25</xdr:row>
      <xdr:rowOff>38101</xdr:rowOff>
    </xdr:from>
    <xdr:to>
      <xdr:col>18</xdr:col>
      <xdr:colOff>533401</xdr:colOff>
      <xdr:row>36</xdr:row>
      <xdr:rowOff>76201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352425</xdr:colOff>
      <xdr:row>38</xdr:row>
      <xdr:rowOff>114300</xdr:rowOff>
    </xdr:from>
    <xdr:to>
      <xdr:col>19</xdr:col>
      <xdr:colOff>38100</xdr:colOff>
      <xdr:row>50</xdr:row>
      <xdr:rowOff>28575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276226</xdr:colOff>
      <xdr:row>12</xdr:row>
      <xdr:rowOff>47625</xdr:rowOff>
    </xdr:from>
    <xdr:to>
      <xdr:col>28</xdr:col>
      <xdr:colOff>600075</xdr:colOff>
      <xdr:row>23</xdr:row>
      <xdr:rowOff>85725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228601</xdr:colOff>
      <xdr:row>25</xdr:row>
      <xdr:rowOff>38101</xdr:rowOff>
    </xdr:from>
    <xdr:to>
      <xdr:col>28</xdr:col>
      <xdr:colOff>533401</xdr:colOff>
      <xdr:row>36</xdr:row>
      <xdr:rowOff>76201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352425</xdr:colOff>
      <xdr:row>38</xdr:row>
      <xdr:rowOff>114300</xdr:rowOff>
    </xdr:from>
    <xdr:to>
      <xdr:col>29</xdr:col>
      <xdr:colOff>38100</xdr:colOff>
      <xdr:row>50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185737</xdr:colOff>
      <xdr:row>24</xdr:row>
      <xdr:rowOff>66675</xdr:rowOff>
    </xdr:from>
    <xdr:to>
      <xdr:col>10</xdr:col>
      <xdr:colOff>295275</xdr:colOff>
      <xdr:row>38</xdr:row>
      <xdr:rowOff>142875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214313</xdr:colOff>
      <xdr:row>7</xdr:row>
      <xdr:rowOff>76200</xdr:rowOff>
    </xdr:from>
    <xdr:to>
      <xdr:col>10</xdr:col>
      <xdr:colOff>304800</xdr:colOff>
      <xdr:row>21</xdr:row>
      <xdr:rowOff>161925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185738</xdr:colOff>
      <xdr:row>41</xdr:row>
      <xdr:rowOff>76199</xdr:rowOff>
    </xdr:from>
    <xdr:to>
      <xdr:col>10</xdr:col>
      <xdr:colOff>247650</xdr:colOff>
      <xdr:row>55</xdr:row>
      <xdr:rowOff>161925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185737</xdr:colOff>
      <xdr:row>24</xdr:row>
      <xdr:rowOff>66675</xdr:rowOff>
    </xdr:from>
    <xdr:to>
      <xdr:col>10</xdr:col>
      <xdr:colOff>295275</xdr:colOff>
      <xdr:row>38</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214313</xdr:colOff>
      <xdr:row>7</xdr:row>
      <xdr:rowOff>76200</xdr:rowOff>
    </xdr:from>
    <xdr:to>
      <xdr:col>10</xdr:col>
      <xdr:colOff>304800</xdr:colOff>
      <xdr:row>21</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185738</xdr:colOff>
      <xdr:row>41</xdr:row>
      <xdr:rowOff>76199</xdr:rowOff>
    </xdr:from>
    <xdr:to>
      <xdr:col>10</xdr:col>
      <xdr:colOff>247650</xdr:colOff>
      <xdr:row>55</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28304</xdr:colOff>
      <xdr:row>0</xdr:row>
      <xdr:rowOff>47662</xdr:rowOff>
    </xdr:from>
    <xdr:ext cx="1665051" cy="529246"/>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04" y="47662"/>
          <a:ext cx="1665051" cy="52924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6</xdr:col>
          <xdr:colOff>758615</xdr:colOff>
          <xdr:row>4</xdr:row>
          <xdr:rowOff>78398</xdr:rowOff>
        </xdr:from>
        <xdr:to>
          <xdr:col>8</xdr:col>
          <xdr:colOff>672598</xdr:colOff>
          <xdr:row>12</xdr:row>
          <xdr:rowOff>116325</xdr:rowOff>
        </xdr:to>
        <xdr:pic>
          <xdr:nvPicPr>
            <xdr:cNvPr id="9" name="Picture 8"/>
            <xdr:cNvPicPr>
              <a:picLocks noChangeAspect="1"/>
              <a:extLst>
                <a:ext uri="{84589F7E-364E-4C9E-8A38-B11213B215E9}">
                  <a14:cameraTool cellRange="LOUVERIMAGE" spid="_x0000_s136805"/>
                </a:ext>
              </a:extLst>
            </xdr:cNvPicPr>
          </xdr:nvPicPr>
          <xdr:blipFill rotWithShape="1">
            <a:blip xmlns:r="http://schemas.openxmlformats.org/officeDocument/2006/relationships" r:embed="rId2"/>
            <a:srcRect l="4100" t="2484" r="5635" b="2339"/>
            <a:stretch>
              <a:fillRect/>
            </a:stretch>
          </xdr:blipFill>
          <xdr:spPr>
            <a:xfrm>
              <a:off x="4706198" y="956815"/>
              <a:ext cx="1596733" cy="1688927"/>
            </a:xfrm>
            <a:prstGeom prst="rect">
              <a:avLst/>
            </a:prstGeom>
          </xdr:spPr>
        </xdr:pic>
        <xdr:clientData/>
      </xdr:twoCellAnchor>
    </mc:Choice>
    <mc:Fallback/>
  </mc:AlternateContent>
  <xdr:twoCellAnchor>
    <xdr:from>
      <xdr:col>0</xdr:col>
      <xdr:colOff>703384</xdr:colOff>
      <xdr:row>23</xdr:row>
      <xdr:rowOff>124558</xdr:rowOff>
    </xdr:from>
    <xdr:to>
      <xdr:col>1</xdr:col>
      <xdr:colOff>109904</xdr:colOff>
      <xdr:row>24</xdr:row>
      <xdr:rowOff>0</xdr:rowOff>
    </xdr:to>
    <xdr:sp macro="" textlink="">
      <xdr:nvSpPr>
        <xdr:cNvPr id="5" name="TextBox 4"/>
        <xdr:cNvSpPr txBox="1"/>
      </xdr:nvSpPr>
      <xdr:spPr>
        <a:xfrm>
          <a:off x="703384" y="4850423"/>
          <a:ext cx="315058"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a:t>
          </a:r>
        </a:p>
      </xdr:txBody>
    </xdr:sp>
    <xdr:clientData/>
  </xdr:twoCellAnchor>
  <xdr:twoCellAnchor>
    <xdr:from>
      <xdr:col>6</xdr:col>
      <xdr:colOff>352425</xdr:colOff>
      <xdr:row>1</xdr:row>
      <xdr:rowOff>76200</xdr:rowOff>
    </xdr:from>
    <xdr:to>
      <xdr:col>8</xdr:col>
      <xdr:colOff>904875</xdr:colOff>
      <xdr:row>2</xdr:row>
      <xdr:rowOff>154998</xdr:rowOff>
    </xdr:to>
    <xdr:sp macro="" textlink="">
      <xdr:nvSpPr>
        <xdr:cNvPr id="6" name="TextBox 5"/>
        <xdr:cNvSpPr txBox="1"/>
      </xdr:nvSpPr>
      <xdr:spPr>
        <a:xfrm>
          <a:off x="4886325" y="266700"/>
          <a:ext cx="1990725" cy="33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panose="020B0604020202020204" pitchFamily="34" charset="0"/>
              <a:cs typeface="Arial" panose="020B0604020202020204" pitchFamily="34" charset="0"/>
            </a:rPr>
            <a:t>Performance Data</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28304</xdr:colOff>
      <xdr:row>0</xdr:row>
      <xdr:rowOff>47662</xdr:rowOff>
    </xdr:from>
    <xdr:ext cx="1665051" cy="529246"/>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304" y="47662"/>
          <a:ext cx="1665051" cy="529246"/>
        </a:xfrm>
        <a:prstGeom prst="rect">
          <a:avLst/>
        </a:prstGeom>
      </xdr:spPr>
    </xdr:pic>
    <xdr:clientData/>
  </xdr:oneCellAnchor>
  <xdr:twoCellAnchor>
    <xdr:from>
      <xdr:col>6</xdr:col>
      <xdr:colOff>352425</xdr:colOff>
      <xdr:row>1</xdr:row>
      <xdr:rowOff>76200</xdr:rowOff>
    </xdr:from>
    <xdr:to>
      <xdr:col>8</xdr:col>
      <xdr:colOff>904875</xdr:colOff>
      <xdr:row>2</xdr:row>
      <xdr:rowOff>154998</xdr:rowOff>
    </xdr:to>
    <xdr:sp macro="" textlink="">
      <xdr:nvSpPr>
        <xdr:cNvPr id="5" name="TextBox 4"/>
        <xdr:cNvSpPr txBox="1"/>
      </xdr:nvSpPr>
      <xdr:spPr>
        <a:xfrm>
          <a:off x="4295775" y="266700"/>
          <a:ext cx="1981200" cy="33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panose="020B0604020202020204" pitchFamily="34" charset="0"/>
              <a:cs typeface="Arial" panose="020B0604020202020204" pitchFamily="34" charset="0"/>
            </a:rPr>
            <a:t>Performance Data</a:t>
          </a:r>
        </a:p>
      </xdr:txBody>
    </xdr:sp>
    <xdr:clientData/>
  </xdr:twoCellAnchor>
  <mc:AlternateContent xmlns:mc="http://schemas.openxmlformats.org/markup-compatibility/2006">
    <mc:Choice xmlns:a14="http://schemas.microsoft.com/office/drawing/2010/main" Requires="a14">
      <xdr:twoCellAnchor editAs="oneCell">
        <xdr:from>
          <xdr:col>6</xdr:col>
          <xdr:colOff>761999</xdr:colOff>
          <xdr:row>4</xdr:row>
          <xdr:rowOff>75140</xdr:rowOff>
        </xdr:from>
        <xdr:to>
          <xdr:col>8</xdr:col>
          <xdr:colOff>675982</xdr:colOff>
          <xdr:row>12</xdr:row>
          <xdr:rowOff>122592</xdr:rowOff>
        </xdr:to>
        <xdr:pic>
          <xdr:nvPicPr>
            <xdr:cNvPr id="8" name="Picture 7"/>
            <xdr:cNvPicPr>
              <a:picLocks noChangeAspect="1"/>
              <a:extLst>
                <a:ext uri="{84589F7E-364E-4C9E-8A38-B11213B215E9}">
                  <a14:cameraTool cellRange="LOUVERIMAGE" spid="_x0000_s159104"/>
                </a:ext>
              </a:extLst>
            </xdr:cNvPicPr>
          </xdr:nvPicPr>
          <xdr:blipFill rotWithShape="1">
            <a:blip xmlns:r="http://schemas.openxmlformats.org/officeDocument/2006/relationships" r:embed="rId2"/>
            <a:srcRect l="4100" t="2484" r="5635" b="2339"/>
            <a:stretch>
              <a:fillRect/>
            </a:stretch>
          </xdr:blipFill>
          <xdr:spPr>
            <a:xfrm>
              <a:off x="4709582" y="953557"/>
              <a:ext cx="1596733" cy="1698452"/>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18</xdr:col>
      <xdr:colOff>283349</xdr:colOff>
      <xdr:row>4</xdr:row>
      <xdr:rowOff>171290</xdr:rowOff>
    </xdr:from>
    <xdr:to>
      <xdr:col>35</xdr:col>
      <xdr:colOff>139206</xdr:colOff>
      <xdr:row>35</xdr:row>
      <xdr:rowOff>23748</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38885" y="1178219"/>
          <a:ext cx="10265321" cy="6683243"/>
        </a:xfrm>
        <a:prstGeom prst="rect">
          <a:avLst/>
        </a:prstGeom>
      </xdr:spPr>
    </xdr:pic>
    <xdr:clientData/>
  </xdr:twoCellAnchor>
  <xdr:twoCellAnchor editAs="oneCell">
    <xdr:from>
      <xdr:col>19</xdr:col>
      <xdr:colOff>0</xdr:colOff>
      <xdr:row>38</xdr:row>
      <xdr:rowOff>0</xdr:rowOff>
    </xdr:from>
    <xdr:to>
      <xdr:col>30</xdr:col>
      <xdr:colOff>331131</xdr:colOff>
      <xdr:row>66</xdr:row>
      <xdr:rowOff>132667</xdr:rowOff>
    </xdr:to>
    <xdr:pic>
      <xdr:nvPicPr>
        <xdr:cNvPr id="3" name="Picture 2"/>
        <xdr:cNvPicPr>
          <a:picLocks noChangeAspect="1"/>
        </xdr:cNvPicPr>
      </xdr:nvPicPr>
      <xdr:blipFill>
        <a:blip xmlns:r="http://schemas.openxmlformats.org/officeDocument/2006/relationships" r:embed="rId2"/>
        <a:stretch>
          <a:fillRect/>
        </a:stretch>
      </xdr:blipFill>
      <xdr:spPr>
        <a:xfrm>
          <a:off x="14967857" y="8409214"/>
          <a:ext cx="7066667"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266700</xdr:colOff>
          <xdr:row>36</xdr:row>
          <xdr:rowOff>47625</xdr:rowOff>
        </xdr:from>
        <xdr:to>
          <xdr:col>4</xdr:col>
          <xdr:colOff>704850</xdr:colOff>
          <xdr:row>38</xdr:row>
          <xdr:rowOff>1847850</xdr:rowOff>
        </xdr:to>
        <xdr:sp macro="" textlink="">
          <xdr:nvSpPr>
            <xdr:cNvPr id="3076" name="List Box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0</xdr:colOff>
      <xdr:row>38</xdr:row>
      <xdr:rowOff>0</xdr:rowOff>
    </xdr:from>
    <xdr:to>
      <xdr:col>14</xdr:col>
      <xdr:colOff>0</xdr:colOff>
      <xdr:row>39</xdr:row>
      <xdr:rowOff>0</xdr:rowOff>
    </xdr:to>
    <xdr:pic>
      <xdr:nvPicPr>
        <xdr:cNvPr id="16" name="Picture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1781" y="5691188"/>
          <a:ext cx="1857375" cy="1857375"/>
        </a:xfrm>
        <a:prstGeom prst="rect">
          <a:avLst/>
        </a:prstGeom>
      </xdr:spPr>
    </xdr:pic>
    <xdr:clientData/>
  </xdr:twoCellAnchor>
  <xdr:twoCellAnchor editAs="oneCell">
    <xdr:from>
      <xdr:col>13</xdr:col>
      <xdr:colOff>0</xdr:colOff>
      <xdr:row>39</xdr:row>
      <xdr:rowOff>0</xdr:rowOff>
    </xdr:from>
    <xdr:to>
      <xdr:col>14</xdr:col>
      <xdr:colOff>11906</xdr:colOff>
      <xdr:row>40</xdr:row>
      <xdr:rowOff>11907</xdr:rowOff>
    </xdr:to>
    <xdr:pic>
      <xdr:nvPicPr>
        <xdr:cNvPr id="20"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41781" y="7548563"/>
          <a:ext cx="1869281" cy="1869281"/>
        </a:xfrm>
        <a:prstGeom prst="rect">
          <a:avLst/>
        </a:prstGeom>
      </xdr:spPr>
    </xdr:pic>
    <xdr:clientData/>
  </xdr:twoCellAnchor>
  <xdr:twoCellAnchor editAs="oneCell">
    <xdr:from>
      <xdr:col>13</xdr:col>
      <xdr:colOff>0</xdr:colOff>
      <xdr:row>40</xdr:row>
      <xdr:rowOff>0</xdr:rowOff>
    </xdr:from>
    <xdr:to>
      <xdr:col>14</xdr:col>
      <xdr:colOff>11906</xdr:colOff>
      <xdr:row>41</xdr:row>
      <xdr:rowOff>11905</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41781" y="9405938"/>
          <a:ext cx="1869281" cy="1869281"/>
        </a:xfrm>
        <a:prstGeom prst="rect">
          <a:avLst/>
        </a:prstGeom>
      </xdr:spPr>
    </xdr:pic>
    <xdr:clientData/>
  </xdr:twoCellAnchor>
  <xdr:twoCellAnchor editAs="oneCell">
    <xdr:from>
      <xdr:col>13</xdr:col>
      <xdr:colOff>0</xdr:colOff>
      <xdr:row>41</xdr:row>
      <xdr:rowOff>0</xdr:rowOff>
    </xdr:from>
    <xdr:to>
      <xdr:col>14</xdr:col>
      <xdr:colOff>35717</xdr:colOff>
      <xdr:row>42</xdr:row>
      <xdr:rowOff>35717</xdr:rowOff>
    </xdr:to>
    <xdr:pic>
      <xdr:nvPicPr>
        <xdr:cNvPr id="22" name="Picture 2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41781" y="11263313"/>
          <a:ext cx="1893092" cy="1893092"/>
        </a:xfrm>
        <a:prstGeom prst="rect">
          <a:avLst/>
        </a:prstGeom>
      </xdr:spPr>
    </xdr:pic>
    <xdr:clientData/>
  </xdr:twoCellAnchor>
  <xdr:twoCellAnchor editAs="oneCell">
    <xdr:from>
      <xdr:col>13</xdr:col>
      <xdr:colOff>0</xdr:colOff>
      <xdr:row>42</xdr:row>
      <xdr:rowOff>0</xdr:rowOff>
    </xdr:from>
    <xdr:to>
      <xdr:col>14</xdr:col>
      <xdr:colOff>11906</xdr:colOff>
      <xdr:row>43</xdr:row>
      <xdr:rowOff>11906</xdr:rowOff>
    </xdr:to>
    <xdr:pic>
      <xdr:nvPicPr>
        <xdr:cNvPr id="23" name="Picture 2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41781" y="13120688"/>
          <a:ext cx="1869281" cy="1869281"/>
        </a:xfrm>
        <a:prstGeom prst="rect">
          <a:avLst/>
        </a:prstGeom>
      </xdr:spPr>
    </xdr:pic>
    <xdr:clientData/>
  </xdr:twoCellAnchor>
  <xdr:twoCellAnchor editAs="oneCell">
    <xdr:from>
      <xdr:col>13</xdr:col>
      <xdr:colOff>0</xdr:colOff>
      <xdr:row>43</xdr:row>
      <xdr:rowOff>0</xdr:rowOff>
    </xdr:from>
    <xdr:to>
      <xdr:col>14</xdr:col>
      <xdr:colOff>11906</xdr:colOff>
      <xdr:row>44</xdr:row>
      <xdr:rowOff>11906</xdr:rowOff>
    </xdr:to>
    <xdr:pic>
      <xdr:nvPicPr>
        <xdr:cNvPr id="28" name="Pictur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41781" y="14978063"/>
          <a:ext cx="1869281" cy="1869281"/>
        </a:xfrm>
        <a:prstGeom prst="rect">
          <a:avLst/>
        </a:prstGeom>
      </xdr:spPr>
    </xdr:pic>
    <xdr:clientData/>
  </xdr:twoCellAnchor>
  <xdr:twoCellAnchor editAs="oneCell">
    <xdr:from>
      <xdr:col>13</xdr:col>
      <xdr:colOff>0</xdr:colOff>
      <xdr:row>44</xdr:row>
      <xdr:rowOff>0</xdr:rowOff>
    </xdr:from>
    <xdr:to>
      <xdr:col>14</xdr:col>
      <xdr:colOff>35719</xdr:colOff>
      <xdr:row>45</xdr:row>
      <xdr:rowOff>35720</xdr:rowOff>
    </xdr:to>
    <xdr:pic>
      <xdr:nvPicPr>
        <xdr:cNvPr id="29" name="Picture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41781" y="16835438"/>
          <a:ext cx="1893094" cy="1893094"/>
        </a:xfrm>
        <a:prstGeom prst="rect">
          <a:avLst/>
        </a:prstGeom>
      </xdr:spPr>
    </xdr:pic>
    <xdr:clientData/>
  </xdr:twoCellAnchor>
  <xdr:twoCellAnchor editAs="oneCell">
    <xdr:from>
      <xdr:col>13</xdr:col>
      <xdr:colOff>0</xdr:colOff>
      <xdr:row>45</xdr:row>
      <xdr:rowOff>0</xdr:rowOff>
    </xdr:from>
    <xdr:to>
      <xdr:col>14</xdr:col>
      <xdr:colOff>11906</xdr:colOff>
      <xdr:row>46</xdr:row>
      <xdr:rowOff>11905</xdr:rowOff>
    </xdr:to>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441781" y="18692813"/>
          <a:ext cx="1869281" cy="1869281"/>
        </a:xfrm>
        <a:prstGeom prst="rect">
          <a:avLst/>
        </a:prstGeom>
      </xdr:spPr>
    </xdr:pic>
    <xdr:clientData/>
  </xdr:twoCellAnchor>
  <xdr:twoCellAnchor editAs="oneCell">
    <xdr:from>
      <xdr:col>13</xdr:col>
      <xdr:colOff>0</xdr:colOff>
      <xdr:row>46</xdr:row>
      <xdr:rowOff>0</xdr:rowOff>
    </xdr:from>
    <xdr:to>
      <xdr:col>14</xdr:col>
      <xdr:colOff>23812</xdr:colOff>
      <xdr:row>47</xdr:row>
      <xdr:rowOff>23812</xdr:rowOff>
    </xdr:to>
    <xdr:pic>
      <xdr:nvPicPr>
        <xdr:cNvPr id="31" name="Picture 3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41781" y="20550188"/>
          <a:ext cx="1881187" cy="1881187"/>
        </a:xfrm>
        <a:prstGeom prst="rect">
          <a:avLst/>
        </a:prstGeom>
      </xdr:spPr>
    </xdr:pic>
    <xdr:clientData/>
  </xdr:twoCellAnchor>
  <xdr:twoCellAnchor editAs="oneCell">
    <xdr:from>
      <xdr:col>13</xdr:col>
      <xdr:colOff>0</xdr:colOff>
      <xdr:row>47</xdr:row>
      <xdr:rowOff>0</xdr:rowOff>
    </xdr:from>
    <xdr:to>
      <xdr:col>14</xdr:col>
      <xdr:colOff>11906</xdr:colOff>
      <xdr:row>48</xdr:row>
      <xdr:rowOff>11905</xdr:rowOff>
    </xdr:to>
    <xdr:pic>
      <xdr:nvPicPr>
        <xdr:cNvPr id="32" name="Picture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41781" y="22407563"/>
          <a:ext cx="1869281" cy="1869281"/>
        </a:xfrm>
        <a:prstGeom prst="rect">
          <a:avLst/>
        </a:prstGeom>
      </xdr:spPr>
    </xdr:pic>
    <xdr:clientData/>
  </xdr:twoCellAnchor>
  <xdr:oneCellAnchor>
    <xdr:from>
      <xdr:col>4</xdr:col>
      <xdr:colOff>1143000</xdr:colOff>
      <xdr:row>36</xdr:row>
      <xdr:rowOff>68036</xdr:rowOff>
    </xdr:from>
    <xdr:ext cx="1564821" cy="2159053"/>
    <xdr:sp macro="" textlink="">
      <xdr:nvSpPr>
        <xdr:cNvPr id="2" name="TextBox 1"/>
        <xdr:cNvSpPr txBox="1"/>
      </xdr:nvSpPr>
      <xdr:spPr>
        <a:xfrm>
          <a:off x="4544786" y="7660822"/>
          <a:ext cx="1564821" cy="2159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rgbClr val="FF0000"/>
              </a:solidFill>
            </a:rPr>
            <a:t>THIS IS HERE TO PREVENT</a:t>
          </a:r>
          <a:r>
            <a:rPr lang="en-US" sz="1100" b="1" baseline="0">
              <a:solidFill>
                <a:srgbClr val="FF0000"/>
              </a:solidFill>
            </a:rPr>
            <a:t> ERROR WITH THE DROP DOWN LISTS ON THE DATA ENTRY PAGE. SHOULD NOT NEED TO BE ADJUSTED. IS HERE TO DEAL WITH A GLITCH THAT IS PRESENT IN EXCEL WHEN USING THE IMAGE CALLING FUNCTION AND LISTS.</a:t>
          </a:r>
          <a:endParaRPr lang="en-US" sz="1100" b="1">
            <a:solidFill>
              <a:srgbClr val="FF0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8</xdr:row>
      <xdr:rowOff>19051</xdr:rowOff>
    </xdr:from>
    <xdr:to>
      <xdr:col>17</xdr:col>
      <xdr:colOff>190500</xdr:colOff>
      <xdr:row>29</xdr:row>
      <xdr:rowOff>74581</xdr:rowOff>
    </xdr:to>
    <xdr:pic>
      <xdr:nvPicPr>
        <xdr:cNvPr id="2" name="Picture 1"/>
        <xdr:cNvPicPr>
          <a:picLocks noChangeAspect="1"/>
        </xdr:cNvPicPr>
      </xdr:nvPicPr>
      <xdr:blipFill rotWithShape="1">
        <a:blip xmlns:r="http://schemas.openxmlformats.org/officeDocument/2006/relationships" r:embed="rId1"/>
        <a:srcRect r="4202"/>
        <a:stretch/>
      </xdr:blipFill>
      <xdr:spPr>
        <a:xfrm>
          <a:off x="9525" y="1743076"/>
          <a:ext cx="10858500" cy="4056030"/>
        </a:xfrm>
        <a:prstGeom prst="rect">
          <a:avLst/>
        </a:prstGeom>
        <a:ln>
          <a:solidFill>
            <a:sysClr val="windowText" lastClr="000000"/>
          </a:solidFill>
        </a:ln>
      </xdr:spPr>
    </xdr:pic>
    <xdr:clientData/>
  </xdr:twoCellAnchor>
  <xdr:twoCellAnchor>
    <xdr:from>
      <xdr:col>17</xdr:col>
      <xdr:colOff>285750</xdr:colOff>
      <xdr:row>7</xdr:row>
      <xdr:rowOff>171450</xdr:rowOff>
    </xdr:from>
    <xdr:to>
      <xdr:col>23</xdr:col>
      <xdr:colOff>219075</xdr:colOff>
      <xdr:row>25</xdr:row>
      <xdr:rowOff>0</xdr:rowOff>
    </xdr:to>
    <xdr:sp macro="" textlink="">
      <xdr:nvSpPr>
        <xdr:cNvPr id="3" name="TextBox 2"/>
        <xdr:cNvSpPr txBox="1"/>
      </xdr:nvSpPr>
      <xdr:spPr>
        <a:xfrm>
          <a:off x="10963275" y="1704975"/>
          <a:ext cx="3590925" cy="32575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Errors based on input appear</a:t>
          </a:r>
          <a:r>
            <a:rPr lang="en-US" sz="1100" b="1" baseline="0"/>
            <a:t> in this section.</a:t>
          </a:r>
        </a:p>
        <a:p>
          <a:r>
            <a:rPr lang="en-US" sz="1100" baseline="0"/>
            <a:t>There are four errors that the calculator identifys:</a:t>
          </a:r>
        </a:p>
        <a:p>
          <a:r>
            <a:rPr lang="en-US" sz="1100" baseline="0"/>
            <a:t>- </a:t>
          </a:r>
          <a:r>
            <a:rPr lang="en-US" sz="1100" u="sng" baseline="0"/>
            <a:t>Louver Width: </a:t>
          </a:r>
          <a:r>
            <a:rPr lang="en-US" sz="1100" u="none" baseline="0"/>
            <a:t>Informs</a:t>
          </a:r>
          <a:r>
            <a:rPr lang="en-US" sz="1100" baseline="0"/>
            <a:t> user if their input is below the mininum standard width for that model of Louver.</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 </a:t>
          </a:r>
          <a:r>
            <a:rPr lang="en-US" sz="1100" u="sng" baseline="0"/>
            <a:t>Louver Height: </a:t>
          </a:r>
          <a:r>
            <a:rPr lang="en-US" sz="1100" u="none" baseline="0">
              <a:solidFill>
                <a:schemeClr val="dk1"/>
              </a:solidFill>
              <a:effectLst/>
              <a:latin typeface="+mn-lt"/>
              <a:ea typeface="+mn-ea"/>
              <a:cs typeface="+mn-cs"/>
            </a:rPr>
            <a:t>Informs</a:t>
          </a:r>
          <a:r>
            <a:rPr lang="en-US" sz="1100" baseline="0">
              <a:solidFill>
                <a:schemeClr val="dk1"/>
              </a:solidFill>
              <a:effectLst/>
              <a:latin typeface="+mn-lt"/>
              <a:ea typeface="+mn-ea"/>
              <a:cs typeface="+mn-cs"/>
            </a:rPr>
            <a:t> user if their input is below the mininum standard height for that model of Louver.</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100" baseline="0"/>
            <a:t>- </a:t>
          </a:r>
          <a:r>
            <a:rPr lang="en-US" sz="1100" u="sng" baseline="0"/>
            <a:t>Exceeding Water penetration Point/Approaching Water Penetration Point: </a:t>
          </a:r>
          <a:r>
            <a:rPr lang="en-US" sz="1100" u="none" baseline="0"/>
            <a:t>Calculator determines if the inputted configuration results in an air velocity exceeding the water penetration point. Tells user to increase louver size to reduce speed. Also informs when configuration results in an air speed 10% or less of the water penetration point.</a:t>
          </a:r>
          <a:endParaRPr lang="en-US" sz="1100" u="sng" baseline="0"/>
        </a:p>
        <a:p>
          <a:endParaRPr lang="en-US" sz="1100" u="sng" baseline="0"/>
        </a:p>
        <a:p>
          <a:r>
            <a:rPr lang="en-US" sz="1100" baseline="0"/>
            <a:t>- </a:t>
          </a:r>
          <a:r>
            <a:rPr lang="en-US" sz="1100" u="sng" baseline="0"/>
            <a:t>Pressure drop: </a:t>
          </a:r>
          <a:r>
            <a:rPr lang="en-US" sz="1100" u="none" baseline="0"/>
            <a:t>Informs user if they are exceeding the max pressure drop of 25 psi, and to reduce the air volume</a:t>
          </a:r>
          <a:endParaRPr lang="en-US" sz="1100" u="sng" baseline="0"/>
        </a:p>
        <a:p>
          <a:endParaRPr lang="en-US" sz="1100" u="sng"/>
        </a:p>
      </xdr:txBody>
    </xdr:sp>
    <xdr:clientData/>
  </xdr:twoCellAnchor>
  <xdr:twoCellAnchor>
    <xdr:from>
      <xdr:col>12</xdr:col>
      <xdr:colOff>533400</xdr:colOff>
      <xdr:row>8</xdr:row>
      <xdr:rowOff>0</xdr:rowOff>
    </xdr:from>
    <xdr:to>
      <xdr:col>17</xdr:col>
      <xdr:colOff>285750</xdr:colOff>
      <xdr:row>18</xdr:row>
      <xdr:rowOff>9525</xdr:rowOff>
    </xdr:to>
    <xdr:cxnSp macro="">
      <xdr:nvCxnSpPr>
        <xdr:cNvPr id="7" name="Straight Arrow Connector 6"/>
        <xdr:cNvCxnSpPr/>
      </xdr:nvCxnSpPr>
      <xdr:spPr>
        <a:xfrm flipH="1">
          <a:off x="8162925" y="1724025"/>
          <a:ext cx="2800350" cy="191452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266700</xdr:colOff>
      <xdr:row>15</xdr:row>
      <xdr:rowOff>85725</xdr:rowOff>
    </xdr:from>
    <xdr:to>
      <xdr:col>3</xdr:col>
      <xdr:colOff>114301</xdr:colOff>
      <xdr:row>22</xdr:row>
      <xdr:rowOff>66675</xdr:rowOff>
    </xdr:to>
    <xdr:sp macro="" textlink="">
      <xdr:nvSpPr>
        <xdr:cNvPr id="9" name="Rectangle 8"/>
        <xdr:cNvSpPr/>
      </xdr:nvSpPr>
      <xdr:spPr>
        <a:xfrm>
          <a:off x="266700" y="3143250"/>
          <a:ext cx="1990726" cy="13144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171450</xdr:colOff>
      <xdr:row>22</xdr:row>
      <xdr:rowOff>57150</xdr:rowOff>
    </xdr:from>
    <xdr:to>
      <xdr:col>4</xdr:col>
      <xdr:colOff>552450</xdr:colOff>
      <xdr:row>31</xdr:row>
      <xdr:rowOff>95250</xdr:rowOff>
    </xdr:to>
    <xdr:cxnSp macro="">
      <xdr:nvCxnSpPr>
        <xdr:cNvPr id="10" name="Straight Arrow Connector 9"/>
        <xdr:cNvCxnSpPr/>
      </xdr:nvCxnSpPr>
      <xdr:spPr>
        <a:xfrm flipH="1" flipV="1">
          <a:off x="1704975" y="4448175"/>
          <a:ext cx="1600200" cy="1752600"/>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200025</xdr:colOff>
      <xdr:row>31</xdr:row>
      <xdr:rowOff>161925</xdr:rowOff>
    </xdr:from>
    <xdr:to>
      <xdr:col>5</xdr:col>
      <xdr:colOff>428625</xdr:colOff>
      <xdr:row>45</xdr:row>
      <xdr:rowOff>133350</xdr:rowOff>
    </xdr:to>
    <xdr:sp macro="" textlink="">
      <xdr:nvSpPr>
        <xdr:cNvPr id="12" name="TextBox 11"/>
        <xdr:cNvSpPr txBox="1"/>
      </xdr:nvSpPr>
      <xdr:spPr>
        <a:xfrm>
          <a:off x="200025" y="6267450"/>
          <a:ext cx="3590925" cy="26384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This is</a:t>
          </a:r>
          <a:r>
            <a:rPr lang="en-US" sz="1100" b="1" baseline="0"/>
            <a:t> the location where users input their values.</a:t>
          </a:r>
        </a:p>
        <a:p>
          <a:r>
            <a:rPr lang="en-US" sz="1100" u="none"/>
            <a:t>There</a:t>
          </a:r>
          <a:r>
            <a:rPr lang="en-US" sz="1100" u="none" baseline="0"/>
            <a:t> are 7 inputs the user must adjust:</a:t>
          </a:r>
        </a:p>
        <a:p>
          <a:r>
            <a:rPr lang="en-US" sz="1100" u="sng" baseline="0"/>
            <a:t>Model: </a:t>
          </a:r>
          <a:r>
            <a:rPr lang="en-US" sz="1100" u="none" baseline="0"/>
            <a:t>Select model type (drop down list)</a:t>
          </a:r>
        </a:p>
        <a:p>
          <a:r>
            <a:rPr lang="en-US" sz="1100" u="sng" baseline="0"/>
            <a:t>Units: </a:t>
          </a:r>
          <a:r>
            <a:rPr lang="en-US" sz="1100" u="none" baseline="0"/>
            <a:t>Inch or mm (drop down list)</a:t>
          </a:r>
        </a:p>
        <a:p>
          <a:r>
            <a:rPr lang="en-US" sz="1100" u="sng" baseline="0"/>
            <a:t>Louver Width: </a:t>
          </a:r>
          <a:r>
            <a:rPr lang="en-US" sz="1100" u="none" baseline="0"/>
            <a:t>Total width of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Louver Height: </a:t>
          </a:r>
          <a:r>
            <a:rPr lang="en-US" sz="1100" baseline="0">
              <a:solidFill>
                <a:schemeClr val="dk1"/>
              </a:solidFill>
              <a:effectLst/>
              <a:latin typeface="+mn-lt"/>
              <a:ea typeface="+mn-ea"/>
              <a:cs typeface="+mn-cs"/>
            </a:rPr>
            <a:t>Total height of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Actual or Nominal: </a:t>
          </a:r>
          <a:r>
            <a:rPr lang="en-US" sz="1100" baseline="0">
              <a:solidFill>
                <a:schemeClr val="dk1"/>
              </a:solidFill>
              <a:effectLst/>
              <a:latin typeface="+mn-lt"/>
              <a:ea typeface="+mn-ea"/>
              <a:cs typeface="+mn-cs"/>
            </a:rPr>
            <a:t>Determine if the width and height values are actual or nominal (reduce values by 0.5") (drop down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Air Volume: </a:t>
          </a:r>
          <a:r>
            <a:rPr lang="en-US" sz="1100" u="none" baseline="0">
              <a:solidFill>
                <a:schemeClr val="dk1"/>
              </a:solidFill>
              <a:effectLst/>
              <a:latin typeface="+mn-lt"/>
              <a:ea typeface="+mn-ea"/>
              <a:cs typeface="+mn-cs"/>
            </a:rPr>
            <a:t>Volume flow rate of air passign through louver (value)</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Air Direction: </a:t>
          </a:r>
          <a:r>
            <a:rPr lang="en-US" sz="1100" u="none" baseline="0">
              <a:solidFill>
                <a:schemeClr val="dk1"/>
              </a:solidFill>
              <a:effectLst/>
              <a:latin typeface="+mn-lt"/>
              <a:ea typeface="+mn-ea"/>
              <a:cs typeface="+mn-cs"/>
            </a:rPr>
            <a:t>Whether louver will be an intake or exhaust (if exhaust, water penetration point become N/A on output side) (drop down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xdr:from>
      <xdr:col>3</xdr:col>
      <xdr:colOff>380999</xdr:colOff>
      <xdr:row>15</xdr:row>
      <xdr:rowOff>85724</xdr:rowOff>
    </xdr:from>
    <xdr:to>
      <xdr:col>9</xdr:col>
      <xdr:colOff>600074</xdr:colOff>
      <xdr:row>22</xdr:row>
      <xdr:rowOff>114299</xdr:rowOff>
    </xdr:to>
    <xdr:sp macro="" textlink="">
      <xdr:nvSpPr>
        <xdr:cNvPr id="14" name="Rectangle 13"/>
        <xdr:cNvSpPr/>
      </xdr:nvSpPr>
      <xdr:spPr>
        <a:xfrm>
          <a:off x="2524124" y="3143249"/>
          <a:ext cx="3876675" cy="13620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28575</xdr:colOff>
      <xdr:row>31</xdr:row>
      <xdr:rowOff>171449</xdr:rowOff>
    </xdr:from>
    <xdr:to>
      <xdr:col>17</xdr:col>
      <xdr:colOff>571500</xdr:colOff>
      <xdr:row>56</xdr:row>
      <xdr:rowOff>28574</xdr:rowOff>
    </xdr:to>
    <xdr:sp macro="" textlink="">
      <xdr:nvSpPr>
        <xdr:cNvPr id="15" name="TextBox 14"/>
        <xdr:cNvSpPr txBox="1"/>
      </xdr:nvSpPr>
      <xdr:spPr>
        <a:xfrm>
          <a:off x="7658100" y="6276974"/>
          <a:ext cx="3590925" cy="46196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This is</a:t>
          </a:r>
          <a:r>
            <a:rPr lang="en-US" sz="1100" b="1" baseline="0"/>
            <a:t> the location where the user can see the outputted data:</a:t>
          </a:r>
        </a:p>
        <a:p>
          <a:r>
            <a:rPr lang="en-US" sz="1100" u="none"/>
            <a:t>There</a:t>
          </a:r>
          <a:r>
            <a:rPr lang="en-US" sz="1100" u="none" baseline="0"/>
            <a:t> are 9 outputs that calculator provides the user:</a:t>
          </a:r>
        </a:p>
        <a:p>
          <a:r>
            <a:rPr lang="en-US" sz="1100" u="sng" baseline="0"/>
            <a:t>Model Description: </a:t>
          </a:r>
          <a:endParaRPr lang="en-US" sz="1100" u="none" baseline="0"/>
        </a:p>
        <a:p>
          <a:r>
            <a:rPr lang="en-US" sz="1100" u="sng" baseline="0"/>
            <a:t>Free Area: </a:t>
          </a:r>
          <a:r>
            <a:rPr lang="en-US" sz="1100" u="none" baseline="0"/>
            <a:t>The actual free area in which air can pass through the louver.</a:t>
          </a:r>
        </a:p>
        <a:p>
          <a:r>
            <a:rPr lang="en-US" sz="1100" u="sng" baseline="0"/>
            <a:t>Free Area %: </a:t>
          </a:r>
          <a:r>
            <a:rPr lang="en-US" sz="1100" u="none" baseline="0"/>
            <a:t>Free area divided by face area.</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Free Area Velocity: </a:t>
          </a:r>
          <a:r>
            <a:rPr lang="en-US" sz="1100" u="none" baseline="0">
              <a:solidFill>
                <a:schemeClr val="dk1"/>
              </a:solidFill>
              <a:effectLst/>
              <a:latin typeface="+mn-lt"/>
              <a:ea typeface="+mn-ea"/>
              <a:cs typeface="+mn-cs"/>
            </a:rPr>
            <a:t>Velocity of air passing through louver, green when below water penetration point, yellow when 10% or less than water penetration point, and red when at or exceeding water penetration point</a:t>
          </a: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Water Penetration Point: </a:t>
          </a:r>
          <a:r>
            <a:rPr lang="en-US" sz="1100" baseline="0">
              <a:solidFill>
                <a:schemeClr val="dk1"/>
              </a:solidFill>
              <a:effectLst/>
              <a:latin typeface="+mn-lt"/>
              <a:ea typeface="+mn-ea"/>
              <a:cs typeface="+mn-cs"/>
            </a:rPr>
            <a:t>Velocity of air in which water will begin penetrating inside the louver, based on model.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Pressure Drop: </a:t>
          </a:r>
          <a:r>
            <a:rPr lang="en-US" sz="1100" u="none" baseline="0">
              <a:solidFill>
                <a:schemeClr val="dk1"/>
              </a:solidFill>
              <a:effectLst/>
              <a:latin typeface="+mn-lt"/>
              <a:ea typeface="+mn-ea"/>
              <a:cs typeface="+mn-cs"/>
            </a:rPr>
            <a:t>Provides the pressure drop throught the louver.</a:t>
          </a:r>
          <a:endParaRPr lang="en-US" sz="1100"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u="none" baseline="0">
              <a:solidFill>
                <a:schemeClr val="dk1"/>
              </a:solidFill>
              <a:effectLst/>
              <a:latin typeface="+mn-lt"/>
              <a:ea typeface="+mn-ea"/>
              <a:cs typeface="+mn-cs"/>
            </a:rPr>
            <a:t>Based on model, due to manufactoring limits louvers may have to be split into sections if exceeding a certain size, informs users of approximate number of sections.</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u="none" baseline="0">
              <a:solidFill>
                <a:schemeClr val="dk1"/>
              </a:solidFill>
              <a:effectLst/>
              <a:latin typeface="+mn-lt"/>
              <a:ea typeface="+mn-ea"/>
              <a:cs typeface="+mn-cs"/>
            </a:rPr>
            <a:t>Provides weight of one section.</a:t>
          </a:r>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Approximate Sections: </a:t>
          </a:r>
          <a:r>
            <a:rPr lang="en-US" sz="1100" baseline="0">
              <a:solidFill>
                <a:schemeClr val="dk1"/>
              </a:solidFill>
              <a:effectLst/>
              <a:latin typeface="+mn-lt"/>
              <a:ea typeface="+mn-ea"/>
              <a:cs typeface="+mn-cs"/>
            </a:rPr>
            <a:t>Provides total weight of entire louver.</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u="none">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xdr:from>
      <xdr:col>9</xdr:col>
      <xdr:colOff>314325</xdr:colOff>
      <xdr:row>22</xdr:row>
      <xdr:rowOff>123825</xdr:rowOff>
    </xdr:from>
    <xdr:to>
      <xdr:col>12</xdr:col>
      <xdr:colOff>85725</xdr:colOff>
      <xdr:row>31</xdr:row>
      <xdr:rowOff>161925</xdr:rowOff>
    </xdr:to>
    <xdr:cxnSp macro="">
      <xdr:nvCxnSpPr>
        <xdr:cNvPr id="16" name="Straight Arrow Connector 15"/>
        <xdr:cNvCxnSpPr/>
      </xdr:nvCxnSpPr>
      <xdr:spPr>
        <a:xfrm flipH="1" flipV="1">
          <a:off x="6115050" y="4514850"/>
          <a:ext cx="1600200" cy="1752600"/>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0</xdr:col>
      <xdr:colOff>9524</xdr:colOff>
      <xdr:row>23</xdr:row>
      <xdr:rowOff>104775</xdr:rowOff>
    </xdr:from>
    <xdr:to>
      <xdr:col>5</xdr:col>
      <xdr:colOff>447674</xdr:colOff>
      <xdr:row>26</xdr:row>
      <xdr:rowOff>38100</xdr:rowOff>
    </xdr:to>
    <xdr:sp macro="" textlink="">
      <xdr:nvSpPr>
        <xdr:cNvPr id="17" name="Rectangle 16"/>
        <xdr:cNvSpPr/>
      </xdr:nvSpPr>
      <xdr:spPr>
        <a:xfrm>
          <a:off x="9524" y="4686300"/>
          <a:ext cx="3800475" cy="5048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85725</xdr:colOff>
      <xdr:row>26</xdr:row>
      <xdr:rowOff>57150</xdr:rowOff>
    </xdr:from>
    <xdr:to>
      <xdr:col>7</xdr:col>
      <xdr:colOff>76200</xdr:colOff>
      <xdr:row>32</xdr:row>
      <xdr:rowOff>28575</xdr:rowOff>
    </xdr:to>
    <xdr:cxnSp macro="">
      <xdr:nvCxnSpPr>
        <xdr:cNvPr id="18" name="Straight Arrow Connector 17"/>
        <xdr:cNvCxnSpPr/>
      </xdr:nvCxnSpPr>
      <xdr:spPr>
        <a:xfrm flipH="1" flipV="1">
          <a:off x="3448050" y="5210175"/>
          <a:ext cx="1209675" cy="111442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xdr:col>
      <xdr:colOff>571500</xdr:colOff>
      <xdr:row>32</xdr:row>
      <xdr:rowOff>38101</xdr:rowOff>
    </xdr:from>
    <xdr:to>
      <xdr:col>11</xdr:col>
      <xdr:colOff>238125</xdr:colOff>
      <xdr:row>35</xdr:row>
      <xdr:rowOff>104775</xdr:rowOff>
    </xdr:to>
    <xdr:sp macro="" textlink="">
      <xdr:nvSpPr>
        <xdr:cNvPr id="21" name="TextBox 20"/>
        <xdr:cNvSpPr txBox="1"/>
      </xdr:nvSpPr>
      <xdr:spPr>
        <a:xfrm>
          <a:off x="3933825" y="6334126"/>
          <a:ext cx="3324225" cy="63817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t>Note that informs user of minimum standard</a:t>
          </a:r>
          <a:r>
            <a:rPr lang="en-US" sz="1100" b="1" baseline="0"/>
            <a:t> size of louver based on their input for the model type.</a:t>
          </a:r>
        </a:p>
        <a:p>
          <a:pPr marL="0" marR="0" lvl="0" indent="0" defTabSz="914400" eaLnBrk="1" fontAlgn="auto" latinLnBrk="0" hangingPunct="1">
            <a:lnSpc>
              <a:spcPct val="100000"/>
            </a:lnSpc>
            <a:spcBef>
              <a:spcPts val="0"/>
            </a:spcBef>
            <a:spcAft>
              <a:spcPts val="0"/>
            </a:spcAft>
            <a:buClrTx/>
            <a:buSzTx/>
            <a:buFontTx/>
            <a:buNone/>
            <a:tabLst/>
            <a:defRPr/>
          </a:pP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editAs="oneCell">
    <xdr:from>
      <xdr:col>19</xdr:col>
      <xdr:colOff>24492</xdr:colOff>
      <xdr:row>27</xdr:row>
      <xdr:rowOff>59872</xdr:rowOff>
    </xdr:from>
    <xdr:to>
      <xdr:col>37</xdr:col>
      <xdr:colOff>428255</xdr:colOff>
      <xdr:row>44</xdr:row>
      <xdr:rowOff>13607</xdr:rowOff>
    </xdr:to>
    <xdr:pic>
      <xdr:nvPicPr>
        <xdr:cNvPr id="22" name="Picture 21"/>
        <xdr:cNvPicPr>
          <a:picLocks noChangeAspect="1"/>
        </xdr:cNvPicPr>
      </xdr:nvPicPr>
      <xdr:blipFill>
        <a:blip xmlns:r="http://schemas.openxmlformats.org/officeDocument/2006/relationships" r:embed="rId2"/>
        <a:stretch>
          <a:fillRect/>
        </a:stretch>
      </xdr:blipFill>
      <xdr:spPr>
        <a:xfrm>
          <a:off x="11921217" y="5403397"/>
          <a:ext cx="11376563" cy="3192235"/>
        </a:xfrm>
        <a:prstGeom prst="rect">
          <a:avLst/>
        </a:prstGeom>
        <a:ln>
          <a:solidFill>
            <a:sysClr val="windowText" lastClr="000000"/>
          </a:solidFill>
        </a:ln>
      </xdr:spPr>
    </xdr:pic>
    <xdr:clientData/>
  </xdr:twoCellAnchor>
  <xdr:twoCellAnchor editAs="oneCell">
    <xdr:from>
      <xdr:col>13</xdr:col>
      <xdr:colOff>9525</xdr:colOff>
      <xdr:row>67</xdr:row>
      <xdr:rowOff>19050</xdr:rowOff>
    </xdr:from>
    <xdr:to>
      <xdr:col>20</xdr:col>
      <xdr:colOff>351849</xdr:colOff>
      <xdr:row>103</xdr:row>
      <xdr:rowOff>103907</xdr:rowOff>
    </xdr:to>
    <xdr:pic>
      <xdr:nvPicPr>
        <xdr:cNvPr id="23" name="Picture 22"/>
        <xdr:cNvPicPr>
          <a:picLocks noChangeAspect="1"/>
        </xdr:cNvPicPr>
      </xdr:nvPicPr>
      <xdr:blipFill>
        <a:blip xmlns:r="http://schemas.openxmlformats.org/officeDocument/2006/relationships" r:embed="rId3"/>
        <a:stretch>
          <a:fillRect/>
        </a:stretch>
      </xdr:blipFill>
      <xdr:spPr>
        <a:xfrm>
          <a:off x="8248650" y="13001625"/>
          <a:ext cx="4609524" cy="6942857"/>
        </a:xfrm>
        <a:prstGeom prst="rect">
          <a:avLst/>
        </a:prstGeom>
      </xdr:spPr>
    </xdr:pic>
    <xdr:clientData/>
  </xdr:twoCellAnchor>
  <xdr:twoCellAnchor>
    <xdr:from>
      <xdr:col>7</xdr:col>
      <xdr:colOff>209551</xdr:colOff>
      <xdr:row>66</xdr:row>
      <xdr:rowOff>57150</xdr:rowOff>
    </xdr:from>
    <xdr:to>
      <xdr:col>12</xdr:col>
      <xdr:colOff>1</xdr:colOff>
      <xdr:row>80</xdr:row>
      <xdr:rowOff>28575</xdr:rowOff>
    </xdr:to>
    <xdr:sp macro="" textlink="">
      <xdr:nvSpPr>
        <xdr:cNvPr id="25" name="TextBox 24"/>
        <xdr:cNvSpPr txBox="1"/>
      </xdr:nvSpPr>
      <xdr:spPr>
        <a:xfrm>
          <a:off x="4791076" y="12849225"/>
          <a:ext cx="2838450" cy="26384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u="none">
              <a:effectLst/>
            </a:rPr>
            <a:t>This</a:t>
          </a:r>
          <a:r>
            <a:rPr lang="en-US" sz="1100" b="1" u="none" baseline="0">
              <a:effectLst/>
            </a:rPr>
            <a:t> summary sheet provides an overview of the configuration the user inputted in the "CALCULATOR" Tab.</a:t>
          </a:r>
        </a:p>
        <a:p>
          <a:endParaRPr lang="en-US" sz="1100" b="1" u="none" baseline="0">
            <a:effectLst/>
          </a:endParaRPr>
        </a:p>
        <a:p>
          <a:r>
            <a:rPr lang="en-US" sz="1100" b="1" u="none" baseline="0">
              <a:effectLst/>
            </a:rPr>
            <a:t>The information matches the information provides as outputs on the previous Tab.</a:t>
          </a:r>
        </a:p>
        <a:p>
          <a:endParaRPr lang="en-US" sz="1100" b="1" u="none" baseline="0">
            <a:effectLst/>
          </a:endParaRPr>
        </a:p>
        <a:p>
          <a:r>
            <a:rPr lang="en-US" sz="1100" b="1" u="none" baseline="0">
              <a:effectLst/>
            </a:rPr>
            <a:t>An image of the model is also provided.</a:t>
          </a:r>
        </a:p>
        <a:p>
          <a:endParaRPr lang="en-US" sz="1100" b="1" u="none" baseline="0">
            <a:effectLst/>
          </a:endParaRPr>
        </a:p>
        <a:p>
          <a:r>
            <a:rPr lang="en-US" sz="1100" b="1" u="none" baseline="0">
              <a:effectLst/>
            </a:rPr>
            <a:t>If errors are present with inputted  configuration, a "Warnings" dialog will appear on the document.</a:t>
          </a:r>
          <a:endParaRPr lang="en-US" u="sng">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endParaRPr lang="en-US" sz="1100" u="sng"/>
        </a:p>
      </xdr:txBody>
    </xdr:sp>
    <xdr:clientData/>
  </xdr:twoCellAnchor>
  <xdr:twoCellAnchor editAs="oneCell">
    <xdr:from>
      <xdr:col>0</xdr:col>
      <xdr:colOff>0</xdr:colOff>
      <xdr:row>66</xdr:row>
      <xdr:rowOff>12700</xdr:rowOff>
    </xdr:from>
    <xdr:to>
      <xdr:col>7</xdr:col>
      <xdr:colOff>18475</xdr:colOff>
      <xdr:row>102</xdr:row>
      <xdr:rowOff>97557</xdr:rowOff>
    </xdr:to>
    <xdr:pic>
      <xdr:nvPicPr>
        <xdr:cNvPr id="26" name="Picture 25"/>
        <xdr:cNvPicPr>
          <a:picLocks noChangeAspect="1"/>
        </xdr:cNvPicPr>
      </xdr:nvPicPr>
      <xdr:blipFill>
        <a:blip xmlns:r="http://schemas.openxmlformats.org/officeDocument/2006/relationships" r:embed="rId4"/>
        <a:stretch>
          <a:fillRect/>
        </a:stretch>
      </xdr:blipFill>
      <xdr:spPr>
        <a:xfrm>
          <a:off x="0" y="12887325"/>
          <a:ext cx="4558725" cy="6942857"/>
        </a:xfrm>
        <a:prstGeom prst="rect">
          <a:avLst/>
        </a:prstGeom>
      </xdr:spPr>
    </xdr:pic>
    <xdr:clientData/>
  </xdr:twoCellAnchor>
  <xdr:twoCellAnchor editAs="oneCell">
    <xdr:from>
      <xdr:col>0</xdr:col>
      <xdr:colOff>0</xdr:colOff>
      <xdr:row>108</xdr:row>
      <xdr:rowOff>1</xdr:rowOff>
    </xdr:from>
    <xdr:to>
      <xdr:col>28</xdr:col>
      <xdr:colOff>137583</xdr:colOff>
      <xdr:row>123</xdr:row>
      <xdr:rowOff>105835</xdr:rowOff>
    </xdr:to>
    <xdr:pic>
      <xdr:nvPicPr>
        <xdr:cNvPr id="28" name="Picture 27"/>
        <xdr:cNvPicPr>
          <a:picLocks noChangeAspect="1"/>
        </xdr:cNvPicPr>
      </xdr:nvPicPr>
      <xdr:blipFill rotWithShape="1">
        <a:blip xmlns:r="http://schemas.openxmlformats.org/officeDocument/2006/relationships" r:embed="rId5"/>
        <a:srcRect r="1262" b="53560"/>
        <a:stretch/>
      </xdr:blipFill>
      <xdr:spPr>
        <a:xfrm>
          <a:off x="0" y="20806834"/>
          <a:ext cx="17631833" cy="2963334"/>
        </a:xfrm>
        <a:prstGeom prst="rect">
          <a:avLst/>
        </a:prstGeom>
        <a:ln>
          <a:solidFill>
            <a:sysClr val="windowText" lastClr="000000"/>
          </a:solidFill>
        </a:ln>
      </xdr:spPr>
    </xdr:pic>
    <xdr:clientData/>
  </xdr:twoCellAnchor>
  <xdr:twoCellAnchor editAs="oneCell">
    <xdr:from>
      <xdr:col>14</xdr:col>
      <xdr:colOff>299357</xdr:colOff>
      <xdr:row>149</xdr:row>
      <xdr:rowOff>40821</xdr:rowOff>
    </xdr:from>
    <xdr:to>
      <xdr:col>23</xdr:col>
      <xdr:colOff>598714</xdr:colOff>
      <xdr:row>183</xdr:row>
      <xdr:rowOff>26693</xdr:rowOff>
    </xdr:to>
    <xdr:pic>
      <xdr:nvPicPr>
        <xdr:cNvPr id="29" name="Picture 28"/>
        <xdr:cNvPicPr>
          <a:picLocks noChangeAspect="1"/>
        </xdr:cNvPicPr>
      </xdr:nvPicPr>
      <xdr:blipFill rotWithShape="1">
        <a:blip xmlns:r="http://schemas.openxmlformats.org/officeDocument/2006/relationships" r:embed="rId6"/>
        <a:srcRect l="1787" t="1936" r="1914"/>
        <a:stretch/>
      </xdr:blipFill>
      <xdr:spPr>
        <a:xfrm>
          <a:off x="9184821" y="28683857"/>
          <a:ext cx="5810250" cy="6462872"/>
        </a:xfrm>
        <a:prstGeom prst="rect">
          <a:avLst/>
        </a:prstGeom>
      </xdr:spPr>
    </xdr:pic>
    <xdr:clientData/>
  </xdr:twoCellAnchor>
  <xdr:twoCellAnchor editAs="oneCell">
    <xdr:from>
      <xdr:col>27</xdr:col>
      <xdr:colOff>250825</xdr:colOff>
      <xdr:row>150</xdr:row>
      <xdr:rowOff>156633</xdr:rowOff>
    </xdr:from>
    <xdr:to>
      <xdr:col>37</xdr:col>
      <xdr:colOff>170705</xdr:colOff>
      <xdr:row>176</xdr:row>
      <xdr:rowOff>175062</xdr:rowOff>
    </xdr:to>
    <xdr:pic>
      <xdr:nvPicPr>
        <xdr:cNvPr id="30" name="Picture 29"/>
        <xdr:cNvPicPr>
          <a:picLocks noChangeAspect="1"/>
        </xdr:cNvPicPr>
      </xdr:nvPicPr>
      <xdr:blipFill>
        <a:blip xmlns:r="http://schemas.openxmlformats.org/officeDocument/2006/relationships" r:embed="rId7"/>
        <a:stretch>
          <a:fillRect/>
        </a:stretch>
      </xdr:blipFill>
      <xdr:spPr>
        <a:xfrm>
          <a:off x="16856075" y="28985633"/>
          <a:ext cx="5952380" cy="4971429"/>
        </a:xfrm>
        <a:prstGeom prst="rect">
          <a:avLst/>
        </a:prstGeom>
        <a:ln>
          <a:solidFill>
            <a:sysClr val="windowText" lastClr="000000"/>
          </a:solidFill>
        </a:ln>
      </xdr:spPr>
    </xdr:pic>
    <xdr:clientData/>
  </xdr:twoCellAnchor>
  <xdr:twoCellAnchor editAs="oneCell">
    <xdr:from>
      <xdr:col>14</xdr:col>
      <xdr:colOff>232834</xdr:colOff>
      <xdr:row>134</xdr:row>
      <xdr:rowOff>63501</xdr:rowOff>
    </xdr:from>
    <xdr:to>
      <xdr:col>19</xdr:col>
      <xdr:colOff>354543</xdr:colOff>
      <xdr:row>148</xdr:row>
      <xdr:rowOff>119853</xdr:rowOff>
    </xdr:to>
    <xdr:pic>
      <xdr:nvPicPr>
        <xdr:cNvPr id="31" name="Picture 30"/>
        <xdr:cNvPicPr>
          <a:picLocks noChangeAspect="1"/>
        </xdr:cNvPicPr>
      </xdr:nvPicPr>
      <xdr:blipFill rotWithShape="1">
        <a:blip xmlns:r="http://schemas.openxmlformats.org/officeDocument/2006/relationships" r:embed="rId5"/>
        <a:srcRect l="9884" t="57321" r="72137"/>
        <a:stretch/>
      </xdr:blipFill>
      <xdr:spPr>
        <a:xfrm>
          <a:off x="9133417" y="25823334"/>
          <a:ext cx="3190876" cy="2723352"/>
        </a:xfrm>
        <a:prstGeom prst="rect">
          <a:avLst/>
        </a:prstGeom>
      </xdr:spPr>
    </xdr:pic>
    <xdr:clientData/>
  </xdr:twoCellAnchor>
  <xdr:twoCellAnchor>
    <xdr:from>
      <xdr:col>0</xdr:col>
      <xdr:colOff>169334</xdr:colOff>
      <xdr:row>124</xdr:row>
      <xdr:rowOff>31751</xdr:rowOff>
    </xdr:from>
    <xdr:to>
      <xdr:col>3</xdr:col>
      <xdr:colOff>391583</xdr:colOff>
      <xdr:row>145</xdr:row>
      <xdr:rowOff>116417</xdr:rowOff>
    </xdr:to>
    <xdr:sp macro="" textlink="">
      <xdr:nvSpPr>
        <xdr:cNvPr id="33" name="TextBox 32"/>
        <xdr:cNvSpPr txBox="1"/>
      </xdr:nvSpPr>
      <xdr:spPr>
        <a:xfrm>
          <a:off x="169334" y="23886584"/>
          <a:ext cx="2370666" cy="408516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Model Names:</a:t>
          </a:r>
          <a:endParaRPr lang="en-US">
            <a:effectLst/>
          </a:endParaRPr>
        </a:p>
        <a:p>
          <a:r>
            <a:rPr lang="en-US" sz="1100" b="0">
              <a:solidFill>
                <a:schemeClr val="dk1"/>
              </a:solidFill>
              <a:effectLst/>
              <a:latin typeface="+mn-lt"/>
              <a:ea typeface="+mn-ea"/>
              <a:cs typeface="+mn-cs"/>
            </a:rPr>
            <a:t>This</a:t>
          </a:r>
          <a:r>
            <a:rPr lang="en-US" sz="1100" b="0" baseline="0">
              <a:solidFill>
                <a:schemeClr val="dk1"/>
              </a:solidFill>
              <a:effectLst/>
              <a:latin typeface="+mn-lt"/>
              <a:ea typeface="+mn-ea"/>
              <a:cs typeface="+mn-cs"/>
            </a:rPr>
            <a:t> is where the calculator stores all the names of the models for the drop down list. If a new model is to be added it must be added to this list.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u="sng" baseline="0"/>
        </a:p>
        <a:p>
          <a:r>
            <a:rPr lang="en-US" sz="1100" u="sng"/>
            <a:t>To Add Model:</a:t>
          </a:r>
        </a:p>
        <a:p>
          <a:r>
            <a:rPr lang="en-US" sz="1100" u="none" baseline="0"/>
            <a:t>1 - Add name of model to bottom or list (ex. ABC123)</a:t>
          </a:r>
        </a:p>
        <a:p>
          <a:r>
            <a:rPr lang="en-US" sz="1100" u="none" baseline="0"/>
            <a:t>2 -At top of page press "Formulas"; then click "Name Manager</a:t>
          </a:r>
        </a:p>
        <a:p>
          <a:r>
            <a:rPr lang="en-US" sz="1100" u="none" baseline="0"/>
            <a:t>3 - Select "MODELS" and press "Edit..."</a:t>
          </a:r>
        </a:p>
        <a:p>
          <a:r>
            <a:rPr lang="en-US" sz="1100" u="none" baseline="0"/>
            <a:t>4- Change the "Refers to:" range so that it includes the newly added model.</a:t>
          </a:r>
        </a:p>
        <a:p>
          <a:endParaRPr lang="en-US" sz="1100" u="none"/>
        </a:p>
      </xdr:txBody>
    </xdr:sp>
    <xdr:clientData/>
  </xdr:twoCellAnchor>
  <xdr:twoCellAnchor>
    <xdr:from>
      <xdr:col>1</xdr:col>
      <xdr:colOff>412750</xdr:colOff>
      <xdr:row>120</xdr:row>
      <xdr:rowOff>116417</xdr:rowOff>
    </xdr:from>
    <xdr:to>
      <xdr:col>2</xdr:col>
      <xdr:colOff>158750</xdr:colOff>
      <xdr:row>124</xdr:row>
      <xdr:rowOff>0</xdr:rowOff>
    </xdr:to>
    <xdr:cxnSp macro="">
      <xdr:nvCxnSpPr>
        <xdr:cNvPr id="35" name="Straight Arrow Connector 34"/>
        <xdr:cNvCxnSpPr/>
      </xdr:nvCxnSpPr>
      <xdr:spPr>
        <a:xfrm flipH="1" flipV="1">
          <a:off x="1333500" y="23209250"/>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0</xdr:col>
      <xdr:colOff>158750</xdr:colOff>
      <xdr:row>146</xdr:row>
      <xdr:rowOff>169333</xdr:rowOff>
    </xdr:from>
    <xdr:to>
      <xdr:col>3</xdr:col>
      <xdr:colOff>505571</xdr:colOff>
      <xdr:row>164</xdr:row>
      <xdr:rowOff>187952</xdr:rowOff>
    </xdr:to>
    <xdr:pic>
      <xdr:nvPicPr>
        <xdr:cNvPr id="36" name="Picture 35"/>
        <xdr:cNvPicPr>
          <a:picLocks noChangeAspect="1"/>
        </xdr:cNvPicPr>
      </xdr:nvPicPr>
      <xdr:blipFill>
        <a:blip xmlns:r="http://schemas.openxmlformats.org/officeDocument/2006/relationships" r:embed="rId8"/>
        <a:stretch>
          <a:fillRect/>
        </a:stretch>
      </xdr:blipFill>
      <xdr:spPr>
        <a:xfrm>
          <a:off x="158750" y="28215166"/>
          <a:ext cx="2495238" cy="3447619"/>
        </a:xfrm>
        <a:prstGeom prst="rect">
          <a:avLst/>
        </a:prstGeom>
        <a:ln>
          <a:solidFill>
            <a:sysClr val="windowText" lastClr="000000"/>
          </a:solidFill>
        </a:ln>
      </xdr:spPr>
    </xdr:pic>
    <xdr:clientData/>
  </xdr:twoCellAnchor>
  <xdr:twoCellAnchor editAs="oneCell">
    <xdr:from>
      <xdr:col>4</xdr:col>
      <xdr:colOff>201084</xdr:colOff>
      <xdr:row>145</xdr:row>
      <xdr:rowOff>105833</xdr:rowOff>
    </xdr:from>
    <xdr:to>
      <xdr:col>12</xdr:col>
      <xdr:colOff>471369</xdr:colOff>
      <xdr:row>154</xdr:row>
      <xdr:rowOff>58000</xdr:rowOff>
    </xdr:to>
    <xdr:pic>
      <xdr:nvPicPr>
        <xdr:cNvPr id="37" name="Picture 36"/>
        <xdr:cNvPicPr>
          <a:picLocks noChangeAspect="1"/>
        </xdr:cNvPicPr>
      </xdr:nvPicPr>
      <xdr:blipFill>
        <a:blip xmlns:r="http://schemas.openxmlformats.org/officeDocument/2006/relationships" r:embed="rId9"/>
        <a:stretch>
          <a:fillRect/>
        </a:stretch>
      </xdr:blipFill>
      <xdr:spPr>
        <a:xfrm>
          <a:off x="2963334" y="27961166"/>
          <a:ext cx="5180952" cy="1666667"/>
        </a:xfrm>
        <a:prstGeom prst="rect">
          <a:avLst/>
        </a:prstGeom>
        <a:ln>
          <a:solidFill>
            <a:sysClr val="windowText" lastClr="000000"/>
          </a:solidFill>
        </a:ln>
      </xdr:spPr>
    </xdr:pic>
    <xdr:clientData/>
  </xdr:twoCellAnchor>
  <xdr:twoCellAnchor editAs="oneCell">
    <xdr:from>
      <xdr:col>0</xdr:col>
      <xdr:colOff>508000</xdr:colOff>
      <xdr:row>166</xdr:row>
      <xdr:rowOff>0</xdr:rowOff>
    </xdr:from>
    <xdr:to>
      <xdr:col>8</xdr:col>
      <xdr:colOff>499941</xdr:colOff>
      <xdr:row>181</xdr:row>
      <xdr:rowOff>123452</xdr:rowOff>
    </xdr:to>
    <xdr:pic>
      <xdr:nvPicPr>
        <xdr:cNvPr id="39" name="Picture 38"/>
        <xdr:cNvPicPr>
          <a:picLocks noChangeAspect="1"/>
        </xdr:cNvPicPr>
      </xdr:nvPicPr>
      <xdr:blipFill>
        <a:blip xmlns:r="http://schemas.openxmlformats.org/officeDocument/2006/relationships" r:embed="rId10"/>
        <a:stretch>
          <a:fillRect/>
        </a:stretch>
      </xdr:blipFill>
      <xdr:spPr>
        <a:xfrm>
          <a:off x="508000" y="31855833"/>
          <a:ext cx="5209524" cy="2980952"/>
        </a:xfrm>
        <a:prstGeom prst="rect">
          <a:avLst/>
        </a:prstGeom>
        <a:ln>
          <a:solidFill>
            <a:sysClr val="windowText" lastClr="000000"/>
          </a:solidFill>
        </a:ln>
      </xdr:spPr>
    </xdr:pic>
    <xdr:clientData/>
  </xdr:twoCellAnchor>
  <xdr:twoCellAnchor editAs="oneCell">
    <xdr:from>
      <xdr:col>4</xdr:col>
      <xdr:colOff>116417</xdr:colOff>
      <xdr:row>154</xdr:row>
      <xdr:rowOff>137586</xdr:rowOff>
    </xdr:from>
    <xdr:to>
      <xdr:col>12</xdr:col>
      <xdr:colOff>386702</xdr:colOff>
      <xdr:row>165</xdr:row>
      <xdr:rowOff>3991</xdr:rowOff>
    </xdr:to>
    <xdr:pic>
      <xdr:nvPicPr>
        <xdr:cNvPr id="40" name="Picture 39"/>
        <xdr:cNvPicPr>
          <a:picLocks noChangeAspect="1"/>
        </xdr:cNvPicPr>
      </xdr:nvPicPr>
      <xdr:blipFill>
        <a:blip xmlns:r="http://schemas.openxmlformats.org/officeDocument/2006/relationships" r:embed="rId11"/>
        <a:stretch>
          <a:fillRect/>
        </a:stretch>
      </xdr:blipFill>
      <xdr:spPr>
        <a:xfrm>
          <a:off x="2878667" y="29707419"/>
          <a:ext cx="5180952" cy="1961905"/>
        </a:xfrm>
        <a:prstGeom prst="rect">
          <a:avLst/>
        </a:prstGeom>
        <a:ln>
          <a:solidFill>
            <a:sysClr val="windowText" lastClr="000000"/>
          </a:solidFill>
        </a:ln>
      </xdr:spPr>
    </xdr:pic>
    <xdr:clientData/>
  </xdr:twoCellAnchor>
  <xdr:twoCellAnchor>
    <xdr:from>
      <xdr:col>0</xdr:col>
      <xdr:colOff>370417</xdr:colOff>
      <xdr:row>150</xdr:row>
      <xdr:rowOff>10583</xdr:rowOff>
    </xdr:from>
    <xdr:to>
      <xdr:col>1</xdr:col>
      <xdr:colOff>148167</xdr:colOff>
      <xdr:row>152</xdr:row>
      <xdr:rowOff>0</xdr:rowOff>
    </xdr:to>
    <xdr:sp macro="" textlink="">
      <xdr:nvSpPr>
        <xdr:cNvPr id="41" name="TextBox 40"/>
        <xdr:cNvSpPr txBox="1"/>
      </xdr:nvSpPr>
      <xdr:spPr>
        <a:xfrm>
          <a:off x="370417" y="28818416"/>
          <a:ext cx="698500" cy="37041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1</a:t>
          </a:r>
          <a:endParaRPr lang="en-US" sz="1400" b="1" u="sng"/>
        </a:p>
      </xdr:txBody>
    </xdr:sp>
    <xdr:clientData/>
  </xdr:twoCellAnchor>
  <xdr:twoCellAnchor>
    <xdr:from>
      <xdr:col>6</xdr:col>
      <xdr:colOff>258234</xdr:colOff>
      <xdr:row>147</xdr:row>
      <xdr:rowOff>120650</xdr:rowOff>
    </xdr:from>
    <xdr:to>
      <xdr:col>7</xdr:col>
      <xdr:colOff>342901</xdr:colOff>
      <xdr:row>149</xdr:row>
      <xdr:rowOff>110067</xdr:rowOff>
    </xdr:to>
    <xdr:sp macro="" textlink="">
      <xdr:nvSpPr>
        <xdr:cNvPr id="42" name="TextBox 41"/>
        <xdr:cNvSpPr txBox="1"/>
      </xdr:nvSpPr>
      <xdr:spPr>
        <a:xfrm>
          <a:off x="4248151" y="28356983"/>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2</a:t>
          </a:r>
          <a:endParaRPr lang="en-US" sz="1400" b="1" u="sng"/>
        </a:p>
      </xdr:txBody>
    </xdr:sp>
    <xdr:clientData/>
  </xdr:twoCellAnchor>
  <xdr:twoCellAnchor>
    <xdr:from>
      <xdr:col>8</xdr:col>
      <xdr:colOff>93135</xdr:colOff>
      <xdr:row>155</xdr:row>
      <xdr:rowOff>50800</xdr:rowOff>
    </xdr:from>
    <xdr:to>
      <xdr:col>9</xdr:col>
      <xdr:colOff>177801</xdr:colOff>
      <xdr:row>157</xdr:row>
      <xdr:rowOff>40217</xdr:rowOff>
    </xdr:to>
    <xdr:sp macro="" textlink="">
      <xdr:nvSpPr>
        <xdr:cNvPr id="44" name="TextBox 43"/>
        <xdr:cNvSpPr txBox="1"/>
      </xdr:nvSpPr>
      <xdr:spPr>
        <a:xfrm>
          <a:off x="5310718" y="29811133"/>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3</a:t>
          </a:r>
          <a:endParaRPr lang="en-US" sz="1400" b="1" u="sng"/>
        </a:p>
      </xdr:txBody>
    </xdr:sp>
    <xdr:clientData/>
  </xdr:twoCellAnchor>
  <xdr:twoCellAnchor>
    <xdr:from>
      <xdr:col>6</xdr:col>
      <xdr:colOff>203201</xdr:colOff>
      <xdr:row>171</xdr:row>
      <xdr:rowOff>118533</xdr:rowOff>
    </xdr:from>
    <xdr:to>
      <xdr:col>7</xdr:col>
      <xdr:colOff>287868</xdr:colOff>
      <xdr:row>173</xdr:row>
      <xdr:rowOff>107950</xdr:rowOff>
    </xdr:to>
    <xdr:sp macro="" textlink="">
      <xdr:nvSpPr>
        <xdr:cNvPr id="45" name="TextBox 44"/>
        <xdr:cNvSpPr txBox="1"/>
      </xdr:nvSpPr>
      <xdr:spPr>
        <a:xfrm>
          <a:off x="4193118" y="32926866"/>
          <a:ext cx="698500"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4</a:t>
          </a:r>
          <a:endParaRPr lang="en-US" sz="1400" b="1" u="sng"/>
        </a:p>
      </xdr:txBody>
    </xdr:sp>
    <xdr:clientData/>
  </xdr:twoCellAnchor>
  <xdr:twoCellAnchor>
    <xdr:from>
      <xdr:col>4</xdr:col>
      <xdr:colOff>137583</xdr:colOff>
      <xdr:row>124</xdr:row>
      <xdr:rowOff>21167</xdr:rowOff>
    </xdr:from>
    <xdr:to>
      <xdr:col>8</xdr:col>
      <xdr:colOff>52916</xdr:colOff>
      <xdr:row>128</xdr:row>
      <xdr:rowOff>137584</xdr:rowOff>
    </xdr:to>
    <xdr:sp macro="" textlink="">
      <xdr:nvSpPr>
        <xdr:cNvPr id="46" name="TextBox 45"/>
        <xdr:cNvSpPr txBox="1"/>
      </xdr:nvSpPr>
      <xdr:spPr>
        <a:xfrm>
          <a:off x="2899833" y="23876000"/>
          <a:ext cx="2370666" cy="87841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OTHER</a:t>
          </a:r>
          <a:r>
            <a:rPr lang="en-US" sz="1100" b="1" baseline="0">
              <a:solidFill>
                <a:schemeClr val="dk1"/>
              </a:solidFill>
              <a:effectLst/>
              <a:latin typeface="+mn-lt"/>
              <a:ea typeface="+mn-ea"/>
              <a:cs typeface="+mn-cs"/>
            </a:rPr>
            <a:t> INPUT DROP DOWN LIST:</a:t>
          </a:r>
          <a:endParaRPr lang="en-US">
            <a:effectLst/>
          </a:endParaRPr>
        </a:p>
        <a:p>
          <a:r>
            <a:rPr lang="en-US" sz="1100" b="0">
              <a:solidFill>
                <a:schemeClr val="dk1"/>
              </a:solidFill>
              <a:effectLst/>
              <a:latin typeface="+mn-lt"/>
              <a:ea typeface="+mn-ea"/>
              <a:cs typeface="+mn-cs"/>
            </a:rPr>
            <a:t>Where</a:t>
          </a:r>
          <a:r>
            <a:rPr lang="en-US" sz="1100" b="0" baseline="0">
              <a:solidFill>
                <a:schemeClr val="dk1"/>
              </a:solidFill>
              <a:effectLst/>
              <a:latin typeface="+mn-lt"/>
              <a:ea typeface="+mn-ea"/>
              <a:cs typeface="+mn-cs"/>
            </a:rPr>
            <a:t> input drop down lists are stored, </a:t>
          </a:r>
          <a:r>
            <a:rPr lang="en-US" sz="1100" b="1" baseline="0">
              <a:solidFill>
                <a:schemeClr val="dk1"/>
              </a:solidFill>
              <a:effectLst/>
              <a:latin typeface="+mn-lt"/>
              <a:ea typeface="+mn-ea"/>
              <a:cs typeface="+mn-cs"/>
            </a:rPr>
            <a:t>does not need to be changed.</a:t>
          </a:r>
          <a:endParaRPr lang="en-US" sz="1100" b="1" u="none"/>
        </a:p>
      </xdr:txBody>
    </xdr:sp>
    <xdr:clientData/>
  </xdr:twoCellAnchor>
  <xdr:twoCellAnchor>
    <xdr:from>
      <xdr:col>4</xdr:col>
      <xdr:colOff>4234</xdr:colOff>
      <xdr:row>120</xdr:row>
      <xdr:rowOff>131234</xdr:rowOff>
    </xdr:from>
    <xdr:to>
      <xdr:col>4</xdr:col>
      <xdr:colOff>364067</xdr:colOff>
      <xdr:row>124</xdr:row>
      <xdr:rowOff>14817</xdr:rowOff>
    </xdr:to>
    <xdr:cxnSp macro="">
      <xdr:nvCxnSpPr>
        <xdr:cNvPr id="47" name="Straight Arrow Connector 46"/>
        <xdr:cNvCxnSpPr/>
      </xdr:nvCxnSpPr>
      <xdr:spPr>
        <a:xfrm flipH="1" flipV="1">
          <a:off x="2766484" y="23224067"/>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237066</xdr:colOff>
      <xdr:row>124</xdr:row>
      <xdr:rowOff>110068</xdr:rowOff>
    </xdr:from>
    <xdr:to>
      <xdr:col>12</xdr:col>
      <xdr:colOff>254000</xdr:colOff>
      <xdr:row>132</xdr:row>
      <xdr:rowOff>137584</xdr:rowOff>
    </xdr:to>
    <xdr:sp macro="" textlink="">
      <xdr:nvSpPr>
        <xdr:cNvPr id="48" name="TextBox 47"/>
        <xdr:cNvSpPr txBox="1"/>
      </xdr:nvSpPr>
      <xdr:spPr>
        <a:xfrm>
          <a:off x="5454649" y="23964901"/>
          <a:ext cx="2472268" cy="155151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Water</a:t>
          </a:r>
          <a:r>
            <a:rPr lang="en-US" sz="1100" b="1" baseline="0">
              <a:solidFill>
                <a:schemeClr val="dk1"/>
              </a:solidFill>
              <a:effectLst/>
              <a:latin typeface="+mn-lt"/>
              <a:ea typeface="+mn-ea"/>
              <a:cs typeface="+mn-cs"/>
            </a:rPr>
            <a:t> Penetration Point:</a:t>
          </a:r>
        </a:p>
        <a:p>
          <a:r>
            <a:rPr lang="en-US" sz="1100" b="0" u="none" baseline="0">
              <a:solidFill>
                <a:schemeClr val="dk1"/>
              </a:solidFill>
              <a:effectLst/>
              <a:latin typeface="+mn-lt"/>
              <a:ea typeface="+mn-ea"/>
              <a:cs typeface="+mn-cs"/>
            </a:rPr>
            <a:t>Location of water penetration point values for each model are stored. </a:t>
          </a:r>
        </a:p>
        <a:p>
          <a:endParaRPr lang="en-US" sz="1100" b="0" u="none" baseline="0">
            <a:solidFill>
              <a:schemeClr val="dk1"/>
            </a:solidFill>
            <a:effectLst/>
            <a:latin typeface="+mn-lt"/>
            <a:ea typeface="+mn-ea"/>
            <a:cs typeface="+mn-cs"/>
          </a:endParaRPr>
        </a:p>
        <a:p>
          <a:r>
            <a:rPr lang="en-US" sz="1100" b="0" u="none" baseline="0">
              <a:solidFill>
                <a:schemeClr val="dk1"/>
              </a:solidFill>
              <a:effectLst/>
              <a:latin typeface="+mn-lt"/>
              <a:ea typeface="+mn-ea"/>
              <a:cs typeface="+mn-cs"/>
            </a:rPr>
            <a:t>*If a </a:t>
          </a:r>
          <a:r>
            <a:rPr lang="en-US" sz="1100" b="1" u="sng" baseline="0">
              <a:solidFill>
                <a:schemeClr val="dk1"/>
              </a:solidFill>
              <a:effectLst/>
              <a:latin typeface="+mn-lt"/>
              <a:ea typeface="+mn-ea"/>
              <a:cs typeface="+mn-cs"/>
            </a:rPr>
            <a:t>new model </a:t>
          </a:r>
          <a:r>
            <a:rPr lang="en-US" sz="1100" b="0" u="none" baseline="0">
              <a:solidFill>
                <a:schemeClr val="dk1"/>
              </a:solidFill>
              <a:effectLst/>
              <a:latin typeface="+mn-lt"/>
              <a:ea typeface="+mn-ea"/>
              <a:cs typeface="+mn-cs"/>
            </a:rPr>
            <a:t>is added, the water penetration point value </a:t>
          </a:r>
          <a:r>
            <a:rPr lang="en-US" sz="1100" b="1" u="sng" baseline="0">
              <a:solidFill>
                <a:schemeClr val="dk1"/>
              </a:solidFill>
              <a:effectLst/>
              <a:latin typeface="+mn-lt"/>
              <a:ea typeface="+mn-ea"/>
              <a:cs typeface="+mn-cs"/>
            </a:rPr>
            <a:t>must be added </a:t>
          </a:r>
          <a:r>
            <a:rPr lang="en-US" sz="1100" b="0" u="none" baseline="0">
              <a:solidFill>
                <a:schemeClr val="dk1"/>
              </a:solidFill>
              <a:effectLst/>
              <a:latin typeface="+mn-lt"/>
              <a:ea typeface="+mn-ea"/>
              <a:cs typeface="+mn-cs"/>
            </a:rPr>
            <a:t>as well.</a:t>
          </a:r>
          <a:endParaRPr lang="en-US" sz="1100" b="0" u="none"/>
        </a:p>
      </xdr:txBody>
    </xdr:sp>
    <xdr:clientData/>
  </xdr:twoCellAnchor>
  <xdr:twoCellAnchor>
    <xdr:from>
      <xdr:col>8</xdr:col>
      <xdr:colOff>10584</xdr:colOff>
      <xdr:row>120</xdr:row>
      <xdr:rowOff>91017</xdr:rowOff>
    </xdr:from>
    <xdr:to>
      <xdr:col>8</xdr:col>
      <xdr:colOff>442385</xdr:colOff>
      <xdr:row>124</xdr:row>
      <xdr:rowOff>103718</xdr:rowOff>
    </xdr:to>
    <xdr:cxnSp macro="">
      <xdr:nvCxnSpPr>
        <xdr:cNvPr id="49" name="Straight Arrow Connector 48"/>
        <xdr:cNvCxnSpPr/>
      </xdr:nvCxnSpPr>
      <xdr:spPr>
        <a:xfrm flipH="1" flipV="1">
          <a:off x="5228167" y="23183850"/>
          <a:ext cx="431801" cy="774701"/>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13</xdr:col>
      <xdr:colOff>395816</xdr:colOff>
      <xdr:row>124</xdr:row>
      <xdr:rowOff>110067</xdr:rowOff>
    </xdr:from>
    <xdr:to>
      <xdr:col>17</xdr:col>
      <xdr:colOff>311149</xdr:colOff>
      <xdr:row>132</xdr:row>
      <xdr:rowOff>179917</xdr:rowOff>
    </xdr:to>
    <xdr:sp macro="" textlink="">
      <xdr:nvSpPr>
        <xdr:cNvPr id="52" name="TextBox 51"/>
        <xdr:cNvSpPr txBox="1"/>
      </xdr:nvSpPr>
      <xdr:spPr>
        <a:xfrm>
          <a:off x="8682566" y="23964900"/>
          <a:ext cx="2370666"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OUTPUT:</a:t>
          </a:r>
          <a:endParaRPr lang="en-US">
            <a:effectLst/>
          </a:endParaRPr>
        </a:p>
        <a:p>
          <a:r>
            <a:rPr lang="en-US" sz="1100" b="0">
              <a:solidFill>
                <a:schemeClr val="dk1"/>
              </a:solidFill>
              <a:effectLst/>
              <a:latin typeface="+mn-lt"/>
              <a:ea typeface="+mn-ea"/>
              <a:cs typeface="+mn-cs"/>
            </a:rPr>
            <a:t>This is where</a:t>
          </a:r>
          <a:r>
            <a:rPr lang="en-US" sz="1100" b="0" baseline="0">
              <a:solidFill>
                <a:schemeClr val="dk1"/>
              </a:solidFill>
              <a:effectLst/>
              <a:latin typeface="+mn-lt"/>
              <a:ea typeface="+mn-ea"/>
              <a:cs typeface="+mn-cs"/>
            </a:rPr>
            <a:t> the document receives the output data from the different model Tabs based on which one is selected. </a:t>
          </a:r>
          <a:r>
            <a:rPr lang="en-US" sz="1100" b="1" baseline="0">
              <a:solidFill>
                <a:schemeClr val="dk1"/>
              </a:solidFill>
              <a:effectLst/>
              <a:latin typeface="+mn-lt"/>
              <a:ea typeface="+mn-ea"/>
              <a:cs typeface="+mn-cs"/>
            </a:rPr>
            <a:t>Does not need to be changed.</a:t>
          </a:r>
          <a:endParaRPr lang="en-US" sz="1100" b="1" u="none"/>
        </a:p>
      </xdr:txBody>
    </xdr:sp>
    <xdr:clientData/>
  </xdr:twoCellAnchor>
  <xdr:twoCellAnchor>
    <xdr:from>
      <xdr:col>13</xdr:col>
      <xdr:colOff>442384</xdr:colOff>
      <xdr:row>121</xdr:row>
      <xdr:rowOff>29634</xdr:rowOff>
    </xdr:from>
    <xdr:to>
      <xdr:col>14</xdr:col>
      <xdr:colOff>188384</xdr:colOff>
      <xdr:row>124</xdr:row>
      <xdr:rowOff>103717</xdr:rowOff>
    </xdr:to>
    <xdr:cxnSp macro="">
      <xdr:nvCxnSpPr>
        <xdr:cNvPr id="53" name="Straight Arrow Connector 52"/>
        <xdr:cNvCxnSpPr/>
      </xdr:nvCxnSpPr>
      <xdr:spPr>
        <a:xfrm flipH="1" flipV="1">
          <a:off x="8729134" y="23312967"/>
          <a:ext cx="359833"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17</xdr:col>
      <xdr:colOff>548217</xdr:colOff>
      <xdr:row>124</xdr:row>
      <xdr:rowOff>114300</xdr:rowOff>
    </xdr:from>
    <xdr:to>
      <xdr:col>20</xdr:col>
      <xdr:colOff>465667</xdr:colOff>
      <xdr:row>132</xdr:row>
      <xdr:rowOff>184150</xdr:rowOff>
    </xdr:to>
    <xdr:sp macro="" textlink="">
      <xdr:nvSpPr>
        <xdr:cNvPr id="54" name="TextBox 53"/>
        <xdr:cNvSpPr txBox="1"/>
      </xdr:nvSpPr>
      <xdr:spPr>
        <a:xfrm>
          <a:off x="11290300" y="23969133"/>
          <a:ext cx="1758950"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a:t>
          </a:r>
        </a:p>
        <a:p>
          <a:r>
            <a:rPr lang="en-US" sz="1100" b="1">
              <a:solidFill>
                <a:schemeClr val="dk1"/>
              </a:solidFill>
              <a:effectLst/>
              <a:latin typeface="+mn-lt"/>
              <a:ea typeface="+mn-ea"/>
              <a:cs typeface="+mn-cs"/>
            </a:rPr>
            <a:t>These</a:t>
          </a:r>
          <a:r>
            <a:rPr lang="en-US" sz="1100" b="1" baseline="0">
              <a:solidFill>
                <a:schemeClr val="dk1"/>
              </a:solidFill>
              <a:effectLst/>
              <a:latin typeface="+mn-lt"/>
              <a:ea typeface="+mn-ea"/>
              <a:cs typeface="+mn-cs"/>
            </a:rPr>
            <a:t> cells contain array formulas,</a:t>
          </a:r>
        </a:p>
        <a:p>
          <a:r>
            <a:rPr lang="en-US" sz="1100" b="1" baseline="0">
              <a:solidFill>
                <a:schemeClr val="dk1"/>
              </a:solidFill>
              <a:effectLst/>
              <a:latin typeface="+mn-lt"/>
              <a:ea typeface="+mn-ea"/>
              <a:cs typeface="+mn-cs"/>
            </a:rPr>
            <a:t>you enter them by writing the formula and then pressing</a:t>
          </a:r>
        </a:p>
        <a:p>
          <a:r>
            <a:rPr lang="en-US" sz="1100" b="1" baseline="0">
              <a:solidFill>
                <a:schemeClr val="dk1"/>
              </a:solidFill>
              <a:effectLst/>
              <a:latin typeface="+mn-lt"/>
              <a:ea typeface="+mn-ea"/>
              <a:cs typeface="+mn-cs"/>
            </a:rPr>
            <a:t>"Ctrl" + "Shift" + "Enter"</a:t>
          </a:r>
          <a:endParaRPr lang="en-US">
            <a:effectLst/>
          </a:endParaRPr>
        </a:p>
      </xdr:txBody>
    </xdr:sp>
    <xdr:clientData/>
  </xdr:twoCellAnchor>
  <xdr:twoCellAnchor>
    <xdr:from>
      <xdr:col>18</xdr:col>
      <xdr:colOff>190500</xdr:colOff>
      <xdr:row>115</xdr:row>
      <xdr:rowOff>95250</xdr:rowOff>
    </xdr:from>
    <xdr:to>
      <xdr:col>19</xdr:col>
      <xdr:colOff>256118</xdr:colOff>
      <xdr:row>124</xdr:row>
      <xdr:rowOff>129118</xdr:rowOff>
    </xdr:to>
    <xdr:cxnSp macro="">
      <xdr:nvCxnSpPr>
        <xdr:cNvPr id="55" name="Straight Arrow Connector 54"/>
        <xdr:cNvCxnSpPr/>
      </xdr:nvCxnSpPr>
      <xdr:spPr>
        <a:xfrm flipH="1" flipV="1">
          <a:off x="11546417" y="22235583"/>
          <a:ext cx="679451" cy="1748368"/>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19</xdr:col>
      <xdr:colOff>245534</xdr:colOff>
      <xdr:row>137</xdr:row>
      <xdr:rowOff>118533</xdr:rowOff>
    </xdr:from>
    <xdr:to>
      <xdr:col>22</xdr:col>
      <xdr:colOff>162984</xdr:colOff>
      <xdr:row>145</xdr:row>
      <xdr:rowOff>188383</xdr:rowOff>
    </xdr:to>
    <xdr:sp macro="" textlink="">
      <xdr:nvSpPr>
        <xdr:cNvPr id="58" name="TextBox 57"/>
        <xdr:cNvSpPr txBox="1"/>
      </xdr:nvSpPr>
      <xdr:spPr>
        <a:xfrm>
          <a:off x="12215284" y="26449866"/>
          <a:ext cx="1758950"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a:t>
          </a:r>
        </a:p>
        <a:p>
          <a:r>
            <a:rPr lang="en-US" sz="1100" b="1">
              <a:solidFill>
                <a:schemeClr val="dk1"/>
              </a:solidFill>
              <a:effectLst/>
              <a:latin typeface="+mn-lt"/>
              <a:ea typeface="+mn-ea"/>
              <a:cs typeface="+mn-cs"/>
            </a:rPr>
            <a:t>This is just to</a:t>
          </a:r>
          <a:r>
            <a:rPr lang="en-US" sz="1100" b="1" baseline="0">
              <a:solidFill>
                <a:schemeClr val="dk1"/>
              </a:solidFill>
              <a:effectLst/>
              <a:latin typeface="+mn-lt"/>
              <a:ea typeface="+mn-ea"/>
              <a:cs typeface="+mn-cs"/>
            </a:rPr>
            <a:t> prevent an error related to the model image output, DO NOT CHANGE</a:t>
          </a:r>
          <a:endParaRPr lang="en-US">
            <a:effectLst/>
          </a:endParaRPr>
        </a:p>
      </xdr:txBody>
    </xdr:sp>
    <xdr:clientData/>
  </xdr:twoCellAnchor>
  <xdr:twoCellAnchor>
    <xdr:from>
      <xdr:col>18</xdr:col>
      <xdr:colOff>504825</xdr:colOff>
      <xdr:row>153</xdr:row>
      <xdr:rowOff>77259</xdr:rowOff>
    </xdr:from>
    <xdr:to>
      <xdr:col>24</xdr:col>
      <xdr:colOff>111125</xdr:colOff>
      <xdr:row>156</xdr:row>
      <xdr:rowOff>171450</xdr:rowOff>
    </xdr:to>
    <xdr:cxnSp macro="">
      <xdr:nvCxnSpPr>
        <xdr:cNvPr id="59" name="Straight Arrow Connector 58"/>
        <xdr:cNvCxnSpPr/>
      </xdr:nvCxnSpPr>
      <xdr:spPr>
        <a:xfrm flipH="1">
          <a:off x="11791950" y="29452359"/>
          <a:ext cx="3263900" cy="665691"/>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21</xdr:col>
      <xdr:colOff>504673</xdr:colOff>
      <xdr:row>124</xdr:row>
      <xdr:rowOff>97972</xdr:rowOff>
    </xdr:from>
    <xdr:to>
      <xdr:col>25</xdr:col>
      <xdr:colOff>420006</xdr:colOff>
      <xdr:row>132</xdr:row>
      <xdr:rowOff>167822</xdr:rowOff>
    </xdr:to>
    <xdr:sp macro="" textlink="">
      <xdr:nvSpPr>
        <xdr:cNvPr id="63" name="TextBox 62"/>
        <xdr:cNvSpPr txBox="1"/>
      </xdr:nvSpPr>
      <xdr:spPr>
        <a:xfrm>
          <a:off x="13676387" y="23978508"/>
          <a:ext cx="2364619" cy="15938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Minimum</a:t>
          </a:r>
          <a:r>
            <a:rPr lang="en-US" sz="1100" b="1" baseline="0">
              <a:solidFill>
                <a:schemeClr val="dk1"/>
              </a:solidFill>
              <a:effectLst/>
              <a:latin typeface="+mn-lt"/>
              <a:ea typeface="+mn-ea"/>
              <a:cs typeface="+mn-cs"/>
            </a:rPr>
            <a:t> Size:</a:t>
          </a:r>
          <a:endParaRPr lang="en-US">
            <a:effectLst/>
          </a:endParaRPr>
        </a:p>
        <a:p>
          <a:r>
            <a:rPr lang="en-US" sz="1100" b="0">
              <a:solidFill>
                <a:schemeClr val="dk1"/>
              </a:solidFill>
              <a:effectLst/>
              <a:latin typeface="+mn-lt"/>
              <a:ea typeface="+mn-ea"/>
              <a:cs typeface="+mn-cs"/>
            </a:rPr>
            <a:t>This is where</a:t>
          </a:r>
          <a:r>
            <a:rPr lang="en-US" sz="1100" b="0" baseline="0">
              <a:solidFill>
                <a:schemeClr val="dk1"/>
              </a:solidFill>
              <a:effectLst/>
              <a:latin typeface="+mn-lt"/>
              <a:ea typeface="+mn-ea"/>
              <a:cs typeface="+mn-cs"/>
            </a:rPr>
            <a:t> the minimum sizes list is stored. If a new model is added the data has to be entered in to 3 cells and match the formatting of the previous  models.</a:t>
          </a:r>
          <a:endParaRPr lang="en-US" sz="1100" b="1" u="none"/>
        </a:p>
      </xdr:txBody>
    </xdr:sp>
    <xdr:clientData/>
  </xdr:twoCellAnchor>
  <xdr:twoCellAnchor>
    <xdr:from>
      <xdr:col>21</xdr:col>
      <xdr:colOff>551241</xdr:colOff>
      <xdr:row>121</xdr:row>
      <xdr:rowOff>17539</xdr:rowOff>
    </xdr:from>
    <xdr:to>
      <xdr:col>22</xdr:col>
      <xdr:colOff>297240</xdr:colOff>
      <xdr:row>124</xdr:row>
      <xdr:rowOff>91622</xdr:rowOff>
    </xdr:to>
    <xdr:cxnSp macro="">
      <xdr:nvCxnSpPr>
        <xdr:cNvPr id="64" name="Straight Arrow Connector 63"/>
        <xdr:cNvCxnSpPr/>
      </xdr:nvCxnSpPr>
      <xdr:spPr>
        <a:xfrm flipH="1" flipV="1">
          <a:off x="13722955" y="23326575"/>
          <a:ext cx="358321" cy="645583"/>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26</xdr:col>
      <xdr:colOff>57150</xdr:colOff>
      <xdr:row>126</xdr:row>
      <xdr:rowOff>76200</xdr:rowOff>
    </xdr:from>
    <xdr:to>
      <xdr:col>33</xdr:col>
      <xdr:colOff>494712</xdr:colOff>
      <xdr:row>133</xdr:row>
      <xdr:rowOff>152224</xdr:rowOff>
    </xdr:to>
    <xdr:pic>
      <xdr:nvPicPr>
        <xdr:cNvPr id="65" name="Picture 64"/>
        <xdr:cNvPicPr>
          <a:picLocks noChangeAspect="1"/>
        </xdr:cNvPicPr>
      </xdr:nvPicPr>
      <xdr:blipFill>
        <a:blip xmlns:r="http://schemas.openxmlformats.org/officeDocument/2006/relationships" r:embed="rId12"/>
        <a:stretch>
          <a:fillRect/>
        </a:stretch>
      </xdr:blipFill>
      <xdr:spPr>
        <a:xfrm>
          <a:off x="16221075" y="24307800"/>
          <a:ext cx="4704762" cy="1409524"/>
        </a:xfrm>
        <a:prstGeom prst="rect">
          <a:avLst/>
        </a:prstGeom>
        <a:ln>
          <a:solidFill>
            <a:sysClr val="windowText" lastClr="000000"/>
          </a:solidFill>
        </a:ln>
      </xdr:spPr>
    </xdr:pic>
    <xdr:clientData/>
  </xdr:twoCellAnchor>
  <xdr:twoCellAnchor>
    <xdr:from>
      <xdr:col>24</xdr:col>
      <xdr:colOff>89959</xdr:colOff>
      <xdr:row>152</xdr:row>
      <xdr:rowOff>132291</xdr:rowOff>
    </xdr:from>
    <xdr:to>
      <xdr:col>27</xdr:col>
      <xdr:colOff>7409</xdr:colOff>
      <xdr:row>158</xdr:row>
      <xdr:rowOff>180975</xdr:rowOff>
    </xdr:to>
    <xdr:sp macro="" textlink="">
      <xdr:nvSpPr>
        <xdr:cNvPr id="66" name="TextBox 65"/>
        <xdr:cNvSpPr txBox="1"/>
      </xdr:nvSpPr>
      <xdr:spPr>
        <a:xfrm>
          <a:off x="15034684" y="29316891"/>
          <a:ext cx="1746250" cy="119168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SUMMARY PICTURES:</a:t>
          </a:r>
        </a:p>
        <a:p>
          <a:r>
            <a:rPr lang="en-US" sz="1100" b="0">
              <a:solidFill>
                <a:schemeClr val="dk1"/>
              </a:solidFill>
              <a:effectLst/>
              <a:latin typeface="+mn-lt"/>
              <a:ea typeface="+mn-ea"/>
              <a:cs typeface="+mn-cs"/>
            </a:rPr>
            <a:t>This</a:t>
          </a:r>
          <a:r>
            <a:rPr lang="en-US" sz="1100" b="0" baseline="0">
              <a:solidFill>
                <a:schemeClr val="dk1"/>
              </a:solidFill>
              <a:effectLst/>
              <a:latin typeface="+mn-lt"/>
              <a:ea typeface="+mn-ea"/>
              <a:cs typeface="+mn-cs"/>
            </a:rPr>
            <a:t> is where the images of the louvers are stored to be displayed on the "SUMMARY" Tab.</a:t>
          </a:r>
          <a:endParaRPr lang="en-US" b="0">
            <a:effectLst/>
          </a:endParaRPr>
        </a:p>
      </xdr:txBody>
    </xdr:sp>
    <xdr:clientData/>
  </xdr:twoCellAnchor>
  <xdr:twoCellAnchor>
    <xdr:from>
      <xdr:col>27</xdr:col>
      <xdr:colOff>296334</xdr:colOff>
      <xdr:row>143</xdr:row>
      <xdr:rowOff>94191</xdr:rowOff>
    </xdr:from>
    <xdr:to>
      <xdr:col>39</xdr:col>
      <xdr:colOff>127000</xdr:colOff>
      <xdr:row>149</xdr:row>
      <xdr:rowOff>142875</xdr:rowOff>
    </xdr:to>
    <xdr:sp macro="" textlink="">
      <xdr:nvSpPr>
        <xdr:cNvPr id="68" name="TextBox 67"/>
        <xdr:cNvSpPr txBox="1"/>
      </xdr:nvSpPr>
      <xdr:spPr>
        <a:xfrm>
          <a:off x="16901584" y="27589691"/>
          <a:ext cx="7069666" cy="119168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HOW TO ADD NEW PICTURE</a:t>
          </a:r>
        </a:p>
        <a:p>
          <a:r>
            <a:rPr lang="en-US" sz="1100" b="0">
              <a:solidFill>
                <a:schemeClr val="dk1"/>
              </a:solidFill>
              <a:effectLst/>
              <a:latin typeface="+mn-lt"/>
              <a:ea typeface="+mn-ea"/>
              <a:cs typeface="+mn-cs"/>
            </a:rPr>
            <a:t>1 - Write</a:t>
          </a:r>
          <a:r>
            <a:rPr lang="en-US" sz="1100" b="0" baseline="0">
              <a:solidFill>
                <a:schemeClr val="dk1"/>
              </a:solidFill>
              <a:effectLst/>
              <a:latin typeface="+mn-lt"/>
              <a:ea typeface="+mn-ea"/>
              <a:cs typeface="+mn-cs"/>
            </a:rPr>
            <a:t> down the model name in the approiate cell and insert photo of louver within the box next to it.</a:t>
          </a:r>
        </a:p>
        <a:p>
          <a:r>
            <a:rPr lang="en-US" sz="1100" baseline="0">
              <a:solidFill>
                <a:schemeClr val="dk1"/>
              </a:solidFill>
              <a:effectLst/>
              <a:latin typeface="+mn-lt"/>
              <a:ea typeface="+mn-ea"/>
              <a:cs typeface="+mn-cs"/>
            </a:rPr>
            <a:t>2 -At top of page press "Formulas"; then click "Name Manager</a:t>
          </a:r>
        </a:p>
        <a:p>
          <a:r>
            <a:rPr lang="en-US" sz="1100" baseline="0">
              <a:solidFill>
                <a:schemeClr val="dk1"/>
              </a:solidFill>
              <a:effectLst/>
              <a:latin typeface="+mn-lt"/>
              <a:ea typeface="+mn-ea"/>
              <a:cs typeface="+mn-cs"/>
            </a:rPr>
            <a:t>3 - Select "LOUVERIMAGE" and press "Edit..."</a:t>
          </a:r>
        </a:p>
        <a:p>
          <a:r>
            <a:rPr lang="en-US" sz="1100" baseline="0">
              <a:solidFill>
                <a:schemeClr val="dk1"/>
              </a:solidFill>
              <a:effectLst/>
              <a:latin typeface="+mn-lt"/>
              <a:ea typeface="+mn-ea"/>
              <a:cs typeface="+mn-cs"/>
            </a:rPr>
            <a:t>4- Edit the "Refers to:" equation and change the underlined value to the cell value in which you inputted the name of the model in Step 1.</a:t>
          </a:r>
          <a:endParaRPr lang="en-US">
            <a:effectLst/>
          </a:endParaRPr>
        </a:p>
      </xdr:txBody>
    </xdr:sp>
    <xdr:clientData/>
  </xdr:twoCellAnchor>
  <xdr:twoCellAnchor>
    <xdr:from>
      <xdr:col>27</xdr:col>
      <xdr:colOff>492125</xdr:colOff>
      <xdr:row>166</xdr:row>
      <xdr:rowOff>162983</xdr:rowOff>
    </xdr:from>
    <xdr:to>
      <xdr:col>28</xdr:col>
      <xdr:colOff>584200</xdr:colOff>
      <xdr:row>168</xdr:row>
      <xdr:rowOff>152400</xdr:rowOff>
    </xdr:to>
    <xdr:sp macro="" textlink="">
      <xdr:nvSpPr>
        <xdr:cNvPr id="69" name="TextBox 68"/>
        <xdr:cNvSpPr txBox="1"/>
      </xdr:nvSpPr>
      <xdr:spPr>
        <a:xfrm>
          <a:off x="17265650" y="32014583"/>
          <a:ext cx="701675" cy="37041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1</a:t>
          </a:r>
          <a:endParaRPr lang="en-US" sz="1400" b="1" u="sng"/>
        </a:p>
      </xdr:txBody>
    </xdr:sp>
    <xdr:clientData/>
  </xdr:twoCellAnchor>
  <xdr:twoCellAnchor editAs="oneCell">
    <xdr:from>
      <xdr:col>37</xdr:col>
      <xdr:colOff>273843</xdr:colOff>
      <xdr:row>150</xdr:row>
      <xdr:rowOff>142875</xdr:rowOff>
    </xdr:from>
    <xdr:to>
      <xdr:col>45</xdr:col>
      <xdr:colOff>544128</xdr:colOff>
      <xdr:row>159</xdr:row>
      <xdr:rowOff>95042</xdr:rowOff>
    </xdr:to>
    <xdr:pic>
      <xdr:nvPicPr>
        <xdr:cNvPr id="70" name="Picture 69"/>
        <xdr:cNvPicPr>
          <a:picLocks noChangeAspect="1"/>
        </xdr:cNvPicPr>
      </xdr:nvPicPr>
      <xdr:blipFill>
        <a:blip xmlns:r="http://schemas.openxmlformats.org/officeDocument/2006/relationships" r:embed="rId9"/>
        <a:stretch>
          <a:fillRect/>
        </a:stretch>
      </xdr:blipFill>
      <xdr:spPr>
        <a:xfrm>
          <a:off x="23062406" y="28944094"/>
          <a:ext cx="5128035" cy="1666667"/>
        </a:xfrm>
        <a:prstGeom prst="rect">
          <a:avLst/>
        </a:prstGeom>
        <a:ln>
          <a:solidFill>
            <a:sysClr val="windowText" lastClr="000000"/>
          </a:solidFill>
        </a:ln>
      </xdr:spPr>
    </xdr:pic>
    <xdr:clientData/>
  </xdr:twoCellAnchor>
  <xdr:twoCellAnchor>
    <xdr:from>
      <xdr:col>39</xdr:col>
      <xdr:colOff>330994</xdr:colOff>
      <xdr:row>152</xdr:row>
      <xdr:rowOff>157692</xdr:rowOff>
    </xdr:from>
    <xdr:to>
      <xdr:col>40</xdr:col>
      <xdr:colOff>415660</xdr:colOff>
      <xdr:row>154</xdr:row>
      <xdr:rowOff>147109</xdr:rowOff>
    </xdr:to>
    <xdr:sp macro="" textlink="">
      <xdr:nvSpPr>
        <xdr:cNvPr id="71" name="TextBox 70"/>
        <xdr:cNvSpPr txBox="1"/>
      </xdr:nvSpPr>
      <xdr:spPr>
        <a:xfrm>
          <a:off x="24333994" y="29339911"/>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2</a:t>
          </a:r>
          <a:endParaRPr lang="en-US" sz="1400" b="1" u="sng"/>
        </a:p>
      </xdr:txBody>
    </xdr:sp>
    <xdr:clientData/>
  </xdr:twoCellAnchor>
  <xdr:twoCellAnchor editAs="oneCell">
    <xdr:from>
      <xdr:col>37</xdr:col>
      <xdr:colOff>309563</xdr:colOff>
      <xdr:row>160</xdr:row>
      <xdr:rowOff>71438</xdr:rowOff>
    </xdr:from>
    <xdr:to>
      <xdr:col>46</xdr:col>
      <xdr:colOff>82690</xdr:colOff>
      <xdr:row>170</xdr:row>
      <xdr:rowOff>166438</xdr:rowOff>
    </xdr:to>
    <xdr:pic>
      <xdr:nvPicPr>
        <xdr:cNvPr id="72" name="Picture 71"/>
        <xdr:cNvPicPr>
          <a:picLocks noChangeAspect="1"/>
        </xdr:cNvPicPr>
      </xdr:nvPicPr>
      <xdr:blipFill>
        <a:blip xmlns:r="http://schemas.openxmlformats.org/officeDocument/2006/relationships" r:embed="rId13"/>
        <a:stretch>
          <a:fillRect/>
        </a:stretch>
      </xdr:blipFill>
      <xdr:spPr>
        <a:xfrm>
          <a:off x="23098126" y="30777657"/>
          <a:ext cx="5238095" cy="2000000"/>
        </a:xfrm>
        <a:prstGeom prst="rect">
          <a:avLst/>
        </a:prstGeom>
      </xdr:spPr>
    </xdr:pic>
    <xdr:clientData/>
  </xdr:twoCellAnchor>
  <xdr:twoCellAnchor>
    <xdr:from>
      <xdr:col>40</xdr:col>
      <xdr:colOff>197643</xdr:colOff>
      <xdr:row>161</xdr:row>
      <xdr:rowOff>83873</xdr:rowOff>
    </xdr:from>
    <xdr:to>
      <xdr:col>41</xdr:col>
      <xdr:colOff>282309</xdr:colOff>
      <xdr:row>163</xdr:row>
      <xdr:rowOff>73290</xdr:rowOff>
    </xdr:to>
    <xdr:sp macro="" textlink="">
      <xdr:nvSpPr>
        <xdr:cNvPr id="73" name="TextBox 72"/>
        <xdr:cNvSpPr txBox="1"/>
      </xdr:nvSpPr>
      <xdr:spPr>
        <a:xfrm>
          <a:off x="24807862" y="30980592"/>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3</a:t>
          </a:r>
          <a:endParaRPr lang="en-US" sz="1400" b="1" u="sng"/>
        </a:p>
      </xdr:txBody>
    </xdr:sp>
    <xdr:clientData/>
  </xdr:twoCellAnchor>
  <xdr:twoCellAnchor editAs="oneCell">
    <xdr:from>
      <xdr:col>37</xdr:col>
      <xdr:colOff>381000</xdr:colOff>
      <xdr:row>172</xdr:row>
      <xdr:rowOff>83344</xdr:rowOff>
    </xdr:from>
    <xdr:to>
      <xdr:col>47</xdr:col>
      <xdr:colOff>185003</xdr:colOff>
      <xdr:row>176</xdr:row>
      <xdr:rowOff>45154</xdr:rowOff>
    </xdr:to>
    <xdr:pic>
      <xdr:nvPicPr>
        <xdr:cNvPr id="74" name="Picture 73"/>
        <xdr:cNvPicPr>
          <a:picLocks noChangeAspect="1"/>
        </xdr:cNvPicPr>
      </xdr:nvPicPr>
      <xdr:blipFill>
        <a:blip xmlns:r="http://schemas.openxmlformats.org/officeDocument/2006/relationships" r:embed="rId14"/>
        <a:stretch>
          <a:fillRect/>
        </a:stretch>
      </xdr:blipFill>
      <xdr:spPr>
        <a:xfrm>
          <a:off x="23169563" y="33075563"/>
          <a:ext cx="5876190" cy="723810"/>
        </a:xfrm>
        <a:prstGeom prst="rect">
          <a:avLst/>
        </a:prstGeom>
      </xdr:spPr>
    </xdr:pic>
    <xdr:clientData/>
  </xdr:twoCellAnchor>
  <xdr:twoCellAnchor>
    <xdr:from>
      <xdr:col>42</xdr:col>
      <xdr:colOff>52387</xdr:colOff>
      <xdr:row>172</xdr:row>
      <xdr:rowOff>93398</xdr:rowOff>
    </xdr:from>
    <xdr:to>
      <xdr:col>43</xdr:col>
      <xdr:colOff>137053</xdr:colOff>
      <xdr:row>174</xdr:row>
      <xdr:rowOff>82815</xdr:rowOff>
    </xdr:to>
    <xdr:sp macro="" textlink="">
      <xdr:nvSpPr>
        <xdr:cNvPr id="76" name="TextBox 75"/>
        <xdr:cNvSpPr txBox="1"/>
      </xdr:nvSpPr>
      <xdr:spPr>
        <a:xfrm>
          <a:off x="25877043" y="33085617"/>
          <a:ext cx="691885" cy="3704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Step</a:t>
          </a:r>
          <a:r>
            <a:rPr lang="en-US" sz="1400" b="1" u="sng" baseline="0"/>
            <a:t> 4</a:t>
          </a:r>
          <a:endParaRPr lang="en-US" sz="1400" b="1" u="sng"/>
        </a:p>
      </xdr:txBody>
    </xdr:sp>
    <xdr:clientData/>
  </xdr:twoCellAnchor>
  <xdr:twoCellAnchor>
    <xdr:from>
      <xdr:col>17</xdr:col>
      <xdr:colOff>474518</xdr:colOff>
      <xdr:row>138</xdr:row>
      <xdr:rowOff>112567</xdr:rowOff>
    </xdr:from>
    <xdr:to>
      <xdr:col>19</xdr:col>
      <xdr:colOff>251114</xdr:colOff>
      <xdr:row>139</xdr:row>
      <xdr:rowOff>183572</xdr:rowOff>
    </xdr:to>
    <xdr:cxnSp macro="">
      <xdr:nvCxnSpPr>
        <xdr:cNvPr id="77" name="Straight Arrow Connector 76"/>
        <xdr:cNvCxnSpPr/>
      </xdr:nvCxnSpPr>
      <xdr:spPr>
        <a:xfrm flipH="1">
          <a:off x="11099223" y="26687317"/>
          <a:ext cx="988868" cy="261505"/>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1</xdr:col>
      <xdr:colOff>230188</xdr:colOff>
      <xdr:row>190</xdr:row>
      <xdr:rowOff>11906</xdr:rowOff>
    </xdr:from>
    <xdr:to>
      <xdr:col>15</xdr:col>
      <xdr:colOff>300553</xdr:colOff>
      <xdr:row>200</xdr:row>
      <xdr:rowOff>46591</xdr:rowOff>
    </xdr:to>
    <xdr:pic>
      <xdr:nvPicPr>
        <xdr:cNvPr id="4" name="Picture 3"/>
        <xdr:cNvPicPr>
          <a:picLocks noChangeAspect="1"/>
        </xdr:cNvPicPr>
      </xdr:nvPicPr>
      <xdr:blipFill>
        <a:blip xmlns:r="http://schemas.openxmlformats.org/officeDocument/2006/relationships" r:embed="rId15"/>
        <a:stretch>
          <a:fillRect/>
        </a:stretch>
      </xdr:blipFill>
      <xdr:spPr>
        <a:xfrm>
          <a:off x="1150938" y="36778406"/>
          <a:ext cx="8515865" cy="1939685"/>
        </a:xfrm>
        <a:prstGeom prst="rect">
          <a:avLst/>
        </a:prstGeom>
        <a:ln>
          <a:solidFill>
            <a:sysClr val="windowText" lastClr="000000"/>
          </a:solidFill>
        </a:ln>
      </xdr:spPr>
    </xdr:pic>
    <xdr:clientData/>
  </xdr:twoCellAnchor>
  <xdr:twoCellAnchor editAs="oneCell">
    <xdr:from>
      <xdr:col>1</xdr:col>
      <xdr:colOff>23812</xdr:colOff>
      <xdr:row>203</xdr:row>
      <xdr:rowOff>83344</xdr:rowOff>
    </xdr:from>
    <xdr:to>
      <xdr:col>22</xdr:col>
      <xdr:colOff>557933</xdr:colOff>
      <xdr:row>237</xdr:row>
      <xdr:rowOff>111106</xdr:rowOff>
    </xdr:to>
    <xdr:pic>
      <xdr:nvPicPr>
        <xdr:cNvPr id="5" name="Picture 4"/>
        <xdr:cNvPicPr>
          <a:picLocks noChangeAspect="1"/>
        </xdr:cNvPicPr>
      </xdr:nvPicPr>
      <xdr:blipFill>
        <a:blip xmlns:r="http://schemas.openxmlformats.org/officeDocument/2006/relationships" r:embed="rId16"/>
        <a:stretch>
          <a:fillRect/>
        </a:stretch>
      </xdr:blipFill>
      <xdr:spPr>
        <a:xfrm>
          <a:off x="952500" y="38576250"/>
          <a:ext cx="13285714" cy="6504762"/>
        </a:xfrm>
        <a:prstGeom prst="rect">
          <a:avLst/>
        </a:prstGeom>
        <a:ln>
          <a:solidFill>
            <a:sysClr val="windowText" lastClr="000000"/>
          </a:solidFill>
        </a:ln>
      </xdr:spPr>
    </xdr:pic>
    <xdr:clientData/>
  </xdr:twoCellAnchor>
  <xdr:twoCellAnchor editAs="oneCell">
    <xdr:from>
      <xdr:col>1</xdr:col>
      <xdr:colOff>23813</xdr:colOff>
      <xdr:row>242</xdr:row>
      <xdr:rowOff>71438</xdr:rowOff>
    </xdr:from>
    <xdr:to>
      <xdr:col>12</xdr:col>
      <xdr:colOff>544407</xdr:colOff>
      <xdr:row>276</xdr:row>
      <xdr:rowOff>146819</xdr:rowOff>
    </xdr:to>
    <xdr:pic>
      <xdr:nvPicPr>
        <xdr:cNvPr id="6" name="Picture 5"/>
        <xdr:cNvPicPr>
          <a:picLocks noChangeAspect="1"/>
        </xdr:cNvPicPr>
      </xdr:nvPicPr>
      <xdr:blipFill>
        <a:blip xmlns:r="http://schemas.openxmlformats.org/officeDocument/2006/relationships" r:embed="rId17"/>
        <a:stretch>
          <a:fillRect/>
        </a:stretch>
      </xdr:blipFill>
      <xdr:spPr>
        <a:xfrm>
          <a:off x="952501" y="46136719"/>
          <a:ext cx="7200000" cy="6552381"/>
        </a:xfrm>
        <a:prstGeom prst="rect">
          <a:avLst/>
        </a:prstGeom>
        <a:ln>
          <a:solidFill>
            <a:sysClr val="windowText" lastClr="000000"/>
          </a:solidFill>
        </a:ln>
      </xdr:spPr>
    </xdr:pic>
    <xdr:clientData/>
  </xdr:twoCellAnchor>
  <xdr:twoCellAnchor editAs="oneCell">
    <xdr:from>
      <xdr:col>13</xdr:col>
      <xdr:colOff>261938</xdr:colOff>
      <xdr:row>242</xdr:row>
      <xdr:rowOff>107156</xdr:rowOff>
    </xdr:from>
    <xdr:to>
      <xdr:col>17</xdr:col>
      <xdr:colOff>556872</xdr:colOff>
      <xdr:row>258</xdr:row>
      <xdr:rowOff>97251</xdr:rowOff>
    </xdr:to>
    <xdr:pic>
      <xdr:nvPicPr>
        <xdr:cNvPr id="8" name="Picture 7"/>
        <xdr:cNvPicPr>
          <a:picLocks noChangeAspect="1"/>
        </xdr:cNvPicPr>
      </xdr:nvPicPr>
      <xdr:blipFill>
        <a:blip xmlns:r="http://schemas.openxmlformats.org/officeDocument/2006/relationships" r:embed="rId18"/>
        <a:stretch>
          <a:fillRect/>
        </a:stretch>
      </xdr:blipFill>
      <xdr:spPr>
        <a:xfrm>
          <a:off x="8477251" y="46172437"/>
          <a:ext cx="2723809" cy="3038095"/>
        </a:xfrm>
        <a:prstGeom prst="rect">
          <a:avLst/>
        </a:prstGeom>
        <a:ln>
          <a:solidFill>
            <a:sysClr val="windowText" lastClr="000000"/>
          </a:solidFill>
        </a:ln>
      </xdr:spPr>
    </xdr:pic>
    <xdr:clientData/>
  </xdr:twoCellAnchor>
  <xdr:twoCellAnchor editAs="oneCell">
    <xdr:from>
      <xdr:col>18</xdr:col>
      <xdr:colOff>261939</xdr:colOff>
      <xdr:row>242</xdr:row>
      <xdr:rowOff>83344</xdr:rowOff>
    </xdr:from>
    <xdr:to>
      <xdr:col>23</xdr:col>
      <xdr:colOff>549654</xdr:colOff>
      <xdr:row>257</xdr:row>
      <xdr:rowOff>168701</xdr:rowOff>
    </xdr:to>
    <xdr:pic>
      <xdr:nvPicPr>
        <xdr:cNvPr id="11" name="Picture 10"/>
        <xdr:cNvPicPr>
          <a:picLocks noChangeAspect="1"/>
        </xdr:cNvPicPr>
      </xdr:nvPicPr>
      <xdr:blipFill>
        <a:blip xmlns:r="http://schemas.openxmlformats.org/officeDocument/2006/relationships" r:embed="rId19"/>
        <a:stretch>
          <a:fillRect/>
        </a:stretch>
      </xdr:blipFill>
      <xdr:spPr>
        <a:xfrm>
          <a:off x="11513345" y="46148625"/>
          <a:ext cx="3323809" cy="2942857"/>
        </a:xfrm>
        <a:prstGeom prst="rect">
          <a:avLst/>
        </a:prstGeom>
        <a:ln>
          <a:solidFill>
            <a:sysClr val="windowText" lastClr="000000"/>
          </a:solidFill>
        </a:ln>
      </xdr:spPr>
    </xdr:pic>
    <xdr:clientData/>
  </xdr:twoCellAnchor>
  <xdr:twoCellAnchor editAs="oneCell">
    <xdr:from>
      <xdr:col>0</xdr:col>
      <xdr:colOff>869157</xdr:colOff>
      <xdr:row>280</xdr:row>
      <xdr:rowOff>11905</xdr:rowOff>
    </xdr:from>
    <xdr:to>
      <xdr:col>23</xdr:col>
      <xdr:colOff>369094</xdr:colOff>
      <xdr:row>302</xdr:row>
      <xdr:rowOff>166686</xdr:rowOff>
    </xdr:to>
    <xdr:pic>
      <xdr:nvPicPr>
        <xdr:cNvPr id="13" name="Picture 12"/>
        <xdr:cNvPicPr>
          <a:picLocks noChangeAspect="1"/>
        </xdr:cNvPicPr>
      </xdr:nvPicPr>
      <xdr:blipFill rotWithShape="1">
        <a:blip xmlns:r="http://schemas.openxmlformats.org/officeDocument/2006/relationships" r:embed="rId20"/>
        <a:srcRect t="52901" r="62288" b="4849"/>
        <a:stretch/>
      </xdr:blipFill>
      <xdr:spPr>
        <a:xfrm>
          <a:off x="869157" y="53459061"/>
          <a:ext cx="13787437" cy="4345781"/>
        </a:xfrm>
        <a:prstGeom prst="rect">
          <a:avLst/>
        </a:prstGeom>
        <a:ln>
          <a:solidFill>
            <a:sysClr val="windowText" lastClr="000000"/>
          </a:solidFill>
        </a:ln>
      </xdr:spPr>
    </xdr:pic>
    <xdr:clientData/>
  </xdr:twoCellAnchor>
  <xdr:twoCellAnchor editAs="oneCell">
    <xdr:from>
      <xdr:col>0</xdr:col>
      <xdr:colOff>869156</xdr:colOff>
      <xdr:row>308</xdr:row>
      <xdr:rowOff>154781</xdr:rowOff>
    </xdr:from>
    <xdr:to>
      <xdr:col>14</xdr:col>
      <xdr:colOff>75196</xdr:colOff>
      <xdr:row>325</xdr:row>
      <xdr:rowOff>1995</xdr:rowOff>
    </xdr:to>
    <xdr:pic>
      <xdr:nvPicPr>
        <xdr:cNvPr id="19" name="Picture 18"/>
        <xdr:cNvPicPr>
          <a:picLocks noChangeAspect="1"/>
        </xdr:cNvPicPr>
      </xdr:nvPicPr>
      <xdr:blipFill>
        <a:blip xmlns:r="http://schemas.openxmlformats.org/officeDocument/2006/relationships" r:embed="rId21"/>
        <a:stretch>
          <a:fillRect/>
        </a:stretch>
      </xdr:blipFill>
      <xdr:spPr>
        <a:xfrm>
          <a:off x="869156" y="59078812"/>
          <a:ext cx="8028571" cy="3085714"/>
        </a:xfrm>
        <a:prstGeom prst="rect">
          <a:avLst/>
        </a:prstGeom>
        <a:ln>
          <a:solidFill>
            <a:sysClr val="windowText" lastClr="000000"/>
          </a:solidFill>
        </a:ln>
      </xdr:spPr>
    </xdr:pic>
    <xdr:clientData/>
  </xdr:twoCellAnchor>
  <xdr:twoCellAnchor editAs="oneCell">
    <xdr:from>
      <xdr:col>14</xdr:col>
      <xdr:colOff>535782</xdr:colOff>
      <xdr:row>308</xdr:row>
      <xdr:rowOff>71438</xdr:rowOff>
    </xdr:from>
    <xdr:to>
      <xdr:col>20</xdr:col>
      <xdr:colOff>92469</xdr:colOff>
      <xdr:row>319</xdr:row>
      <xdr:rowOff>147367</xdr:rowOff>
    </xdr:to>
    <xdr:pic>
      <xdr:nvPicPr>
        <xdr:cNvPr id="20" name="Picture 19"/>
        <xdr:cNvPicPr>
          <a:picLocks noChangeAspect="1"/>
        </xdr:cNvPicPr>
      </xdr:nvPicPr>
      <xdr:blipFill>
        <a:blip xmlns:r="http://schemas.openxmlformats.org/officeDocument/2006/relationships" r:embed="rId22"/>
        <a:stretch>
          <a:fillRect/>
        </a:stretch>
      </xdr:blipFill>
      <xdr:spPr>
        <a:xfrm>
          <a:off x="9358313" y="58995469"/>
          <a:ext cx="3200000" cy="2171429"/>
        </a:xfrm>
        <a:prstGeom prst="rect">
          <a:avLst/>
        </a:prstGeom>
        <a:ln>
          <a:solidFill>
            <a:sysClr val="windowText" lastClr="000000"/>
          </a:solidFill>
        </a:ln>
      </xdr:spPr>
    </xdr:pic>
    <xdr:clientData/>
  </xdr:twoCellAnchor>
  <xdr:twoCellAnchor editAs="oneCell">
    <xdr:from>
      <xdr:col>20</xdr:col>
      <xdr:colOff>47625</xdr:colOff>
      <xdr:row>308</xdr:row>
      <xdr:rowOff>178594</xdr:rowOff>
    </xdr:from>
    <xdr:to>
      <xdr:col>25</xdr:col>
      <xdr:colOff>106769</xdr:colOff>
      <xdr:row>319</xdr:row>
      <xdr:rowOff>140237</xdr:rowOff>
    </xdr:to>
    <xdr:pic>
      <xdr:nvPicPr>
        <xdr:cNvPr id="24" name="Picture 23"/>
        <xdr:cNvPicPr>
          <a:picLocks noChangeAspect="1"/>
        </xdr:cNvPicPr>
      </xdr:nvPicPr>
      <xdr:blipFill>
        <a:blip xmlns:r="http://schemas.openxmlformats.org/officeDocument/2006/relationships" r:embed="rId23"/>
        <a:stretch>
          <a:fillRect/>
        </a:stretch>
      </xdr:blipFill>
      <xdr:spPr>
        <a:xfrm>
          <a:off x="12513469" y="59102625"/>
          <a:ext cx="3095238" cy="2057143"/>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13607</xdr:colOff>
      <xdr:row>7</xdr:row>
      <xdr:rowOff>231322</xdr:rowOff>
    </xdr:from>
    <xdr:to>
      <xdr:col>27</xdr:col>
      <xdr:colOff>40821</xdr:colOff>
      <xdr:row>8</xdr:row>
      <xdr:rowOff>40821</xdr:rowOff>
    </xdr:to>
    <xdr:cxnSp macro="">
      <xdr:nvCxnSpPr>
        <xdr:cNvPr id="5" name="Straight Arrow Connector 4"/>
        <xdr:cNvCxnSpPr/>
      </xdr:nvCxnSpPr>
      <xdr:spPr>
        <a:xfrm>
          <a:off x="22601464" y="2054679"/>
          <a:ext cx="2190750" cy="54428"/>
        </a:xfrm>
        <a:prstGeom prst="straightConnector1">
          <a:avLst/>
        </a:prstGeom>
        <a:ln w="762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656166</xdr:colOff>
      <xdr:row>122</xdr:row>
      <xdr:rowOff>158750</xdr:rowOff>
    </xdr:from>
    <xdr:to>
      <xdr:col>36</xdr:col>
      <xdr:colOff>63500</xdr:colOff>
      <xdr:row>138</xdr:row>
      <xdr:rowOff>133349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0</xdr:colOff>
      <xdr:row>123</xdr:row>
      <xdr:rowOff>0</xdr:rowOff>
    </xdr:from>
    <xdr:to>
      <xdr:col>48</xdr:col>
      <xdr:colOff>518584</xdr:colOff>
      <xdr:row>138</xdr:row>
      <xdr:rowOff>165099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0</xdr:colOff>
      <xdr:row>123</xdr:row>
      <xdr:rowOff>0</xdr:rowOff>
    </xdr:from>
    <xdr:to>
      <xdr:col>109</xdr:col>
      <xdr:colOff>518585</xdr:colOff>
      <xdr:row>138</xdr:row>
      <xdr:rowOff>165099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455084</xdr:colOff>
      <xdr:row>140</xdr:row>
      <xdr:rowOff>31750</xdr:rowOff>
    </xdr:from>
    <xdr:to>
      <xdr:col>99</xdr:col>
      <xdr:colOff>359835</xdr:colOff>
      <xdr:row>156</xdr:row>
      <xdr:rowOff>6349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100</xdr:col>
      <xdr:colOff>455085</xdr:colOff>
      <xdr:row>140</xdr:row>
      <xdr:rowOff>31750</xdr:rowOff>
    </xdr:from>
    <xdr:to>
      <xdr:col>128</xdr:col>
      <xdr:colOff>359836</xdr:colOff>
      <xdr:row>156</xdr:row>
      <xdr:rowOff>6349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140</xdr:row>
      <xdr:rowOff>0</xdr:rowOff>
    </xdr:from>
    <xdr:to>
      <xdr:col>46</xdr:col>
      <xdr:colOff>264585</xdr:colOff>
      <xdr:row>155</xdr:row>
      <xdr:rowOff>165099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157</xdr:row>
      <xdr:rowOff>0</xdr:rowOff>
    </xdr:from>
    <xdr:to>
      <xdr:col>30</xdr:col>
      <xdr:colOff>560918</xdr:colOff>
      <xdr:row>172</xdr:row>
      <xdr:rowOff>165099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169334</xdr:colOff>
      <xdr:row>157</xdr:row>
      <xdr:rowOff>31750</xdr:rowOff>
    </xdr:from>
    <xdr:to>
      <xdr:col>43</xdr:col>
      <xdr:colOff>433919</xdr:colOff>
      <xdr:row>173</xdr:row>
      <xdr:rowOff>6349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44</xdr:col>
      <xdr:colOff>529168</xdr:colOff>
      <xdr:row>157</xdr:row>
      <xdr:rowOff>31750</xdr:rowOff>
    </xdr:from>
    <xdr:to>
      <xdr:col>80</xdr:col>
      <xdr:colOff>433919</xdr:colOff>
      <xdr:row>173</xdr:row>
      <xdr:rowOff>6349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47</xdr:col>
      <xdr:colOff>441476</xdr:colOff>
      <xdr:row>144</xdr:row>
      <xdr:rowOff>63500</xdr:rowOff>
    </xdr:from>
    <xdr:to>
      <xdr:col>99</xdr:col>
      <xdr:colOff>364370</xdr:colOff>
      <xdr:row>160</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144</xdr:row>
      <xdr:rowOff>31750</xdr:rowOff>
    </xdr:from>
    <xdr:to>
      <xdr:col>46</xdr:col>
      <xdr:colOff>249465</xdr:colOff>
      <xdr:row>160</xdr:row>
      <xdr:rowOff>6349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109</xdr:col>
      <xdr:colOff>49892</xdr:colOff>
      <xdr:row>144</xdr:row>
      <xdr:rowOff>0</xdr:rowOff>
    </xdr:from>
    <xdr:to>
      <xdr:col>128</xdr:col>
      <xdr:colOff>585108</xdr:colOff>
      <xdr:row>159</xdr:row>
      <xdr:rowOff>165099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127</xdr:row>
      <xdr:rowOff>0</xdr:rowOff>
    </xdr:from>
    <xdr:to>
      <xdr:col>46</xdr:col>
      <xdr:colOff>249465</xdr:colOff>
      <xdr:row>142</xdr:row>
      <xdr:rowOff>165099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441476</xdr:colOff>
      <xdr:row>127</xdr:row>
      <xdr:rowOff>31750</xdr:rowOff>
    </xdr:from>
    <xdr:to>
      <xdr:col>99</xdr:col>
      <xdr:colOff>364370</xdr:colOff>
      <xdr:row>143</xdr:row>
      <xdr:rowOff>6349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100</xdr:col>
      <xdr:colOff>461132</xdr:colOff>
      <xdr:row>127</xdr:row>
      <xdr:rowOff>31750</xdr:rowOff>
    </xdr:from>
    <xdr:to>
      <xdr:col>128</xdr:col>
      <xdr:colOff>384026</xdr:colOff>
      <xdr:row>143</xdr:row>
      <xdr:rowOff>6349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161</xdr:row>
      <xdr:rowOff>0</xdr:rowOff>
    </xdr:from>
    <xdr:to>
      <xdr:col>46</xdr:col>
      <xdr:colOff>249465</xdr:colOff>
      <xdr:row>176</xdr:row>
      <xdr:rowOff>165099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47</xdr:col>
      <xdr:colOff>441476</xdr:colOff>
      <xdr:row>161</xdr:row>
      <xdr:rowOff>31750</xdr:rowOff>
    </xdr:from>
    <xdr:to>
      <xdr:col>99</xdr:col>
      <xdr:colOff>364370</xdr:colOff>
      <xdr:row>177</xdr:row>
      <xdr:rowOff>6349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100</xdr:col>
      <xdr:colOff>461132</xdr:colOff>
      <xdr:row>161</xdr:row>
      <xdr:rowOff>31750</xdr:rowOff>
    </xdr:from>
    <xdr:to>
      <xdr:col>128</xdr:col>
      <xdr:colOff>384026</xdr:colOff>
      <xdr:row>177</xdr:row>
      <xdr:rowOff>6349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R79"/>
  <sheetViews>
    <sheetView showGridLines="0" tabSelected="1" zoomScale="90" zoomScaleNormal="90" zoomScaleSheetLayoutView="90" workbookViewId="0">
      <selection activeCell="B22" sqref="B22"/>
    </sheetView>
  </sheetViews>
  <sheetFormatPr defaultRowHeight="15" x14ac:dyDescent="0.25"/>
  <cols>
    <col min="1" max="1" width="30.28515625" customWidth="1"/>
    <col min="2" max="2" width="26.5703125" customWidth="1"/>
    <col min="3" max="3" width="11.42578125" customWidth="1"/>
    <col min="4" max="4" width="10.28515625" customWidth="1"/>
    <col min="5" max="5" width="28.140625" customWidth="1"/>
    <col min="6" max="6" width="15.85546875" customWidth="1"/>
    <col min="7" max="7" width="10.85546875" customWidth="1"/>
    <col min="8" max="8" width="14.140625" customWidth="1"/>
    <col min="12" max="12" width="17.140625" customWidth="1"/>
    <col min="13" max="13" width="5.42578125" customWidth="1"/>
    <col min="14" max="14" width="21" customWidth="1"/>
    <col min="15" max="15" width="71.5703125" customWidth="1"/>
    <col min="16" max="16" width="18.5703125" customWidth="1"/>
    <col min="17" max="17" width="12.140625" customWidth="1"/>
    <col min="18" max="18" width="16.140625" customWidth="1"/>
    <col min="19" max="19" width="11.7109375" customWidth="1"/>
  </cols>
  <sheetData>
    <row r="1" spans="1:15" ht="54" customHeight="1" thickTop="1" x14ac:dyDescent="0.55000000000000004">
      <c r="A1" s="722"/>
      <c r="B1" s="723"/>
      <c r="C1" s="724"/>
      <c r="D1" s="724"/>
      <c r="E1" s="724"/>
      <c r="F1" s="724"/>
      <c r="G1" s="724"/>
      <c r="H1" s="724"/>
      <c r="I1" s="724"/>
      <c r="J1" s="724"/>
      <c r="K1" s="725"/>
      <c r="L1" s="726"/>
      <c r="M1" s="221"/>
    </row>
    <row r="2" spans="1:15" ht="31.5" x14ac:dyDescent="0.5">
      <c r="A2" s="727" t="s">
        <v>240</v>
      </c>
      <c r="B2" s="728"/>
      <c r="C2" s="223"/>
      <c r="D2" s="223"/>
      <c r="E2" s="223"/>
      <c r="F2" s="221"/>
      <c r="G2" s="223"/>
      <c r="H2" s="223"/>
      <c r="I2" s="223"/>
      <c r="J2" s="223"/>
      <c r="K2" s="221"/>
      <c r="L2" s="729"/>
      <c r="M2" s="221"/>
    </row>
    <row r="3" spans="1:15" ht="21" x14ac:dyDescent="0.35">
      <c r="A3" s="730" t="s">
        <v>1</v>
      </c>
      <c r="B3" s="223"/>
      <c r="C3" s="223"/>
      <c r="D3" s="223"/>
      <c r="E3" s="223"/>
      <c r="F3" s="221"/>
      <c r="G3" s="223"/>
      <c r="H3" s="223"/>
      <c r="I3" s="223"/>
      <c r="J3" s="223"/>
      <c r="K3" s="221"/>
      <c r="L3" s="729"/>
      <c r="M3" s="221"/>
    </row>
    <row r="4" spans="1:15" x14ac:dyDescent="0.25">
      <c r="A4" s="731" t="s">
        <v>436</v>
      </c>
      <c r="B4" s="223"/>
      <c r="C4" s="223"/>
      <c r="D4" s="223"/>
      <c r="E4" s="223"/>
      <c r="F4" s="223"/>
      <c r="G4" s="223"/>
      <c r="H4" s="223"/>
      <c r="I4" s="223"/>
      <c r="J4" s="223"/>
      <c r="K4" s="223"/>
      <c r="L4" s="729"/>
      <c r="M4" s="221"/>
    </row>
    <row r="5" spans="1:15" ht="16.5" thickBot="1" x14ac:dyDescent="0.3">
      <c r="A5" s="732" t="s">
        <v>106</v>
      </c>
      <c r="B5" s="242"/>
      <c r="C5" s="223"/>
      <c r="D5" s="223"/>
      <c r="E5" s="223"/>
      <c r="F5" s="223"/>
      <c r="G5" s="223"/>
      <c r="H5" s="223"/>
      <c r="I5" s="223"/>
      <c r="J5" s="223"/>
      <c r="K5" s="223"/>
      <c r="L5" s="733"/>
      <c r="M5" s="221"/>
    </row>
    <row r="6" spans="1:15" x14ac:dyDescent="0.25">
      <c r="A6" s="734"/>
      <c r="B6" s="735"/>
      <c r="C6" s="735"/>
      <c r="D6" s="736"/>
      <c r="E6" s="737"/>
      <c r="F6" s="737"/>
      <c r="G6" s="737"/>
      <c r="H6" s="737"/>
      <c r="I6" s="737"/>
      <c r="J6" s="737"/>
      <c r="K6" s="737"/>
      <c r="L6" s="738"/>
      <c r="M6" s="221"/>
    </row>
    <row r="7" spans="1:15" ht="23.25" x14ac:dyDescent="0.35">
      <c r="A7" s="739" t="s">
        <v>2</v>
      </c>
      <c r="B7" s="740"/>
      <c r="C7" s="741" t="s">
        <v>338</v>
      </c>
      <c r="D7" s="942" t="s">
        <v>8</v>
      </c>
      <c r="E7" s="943"/>
      <c r="F7" s="742"/>
      <c r="G7" s="742"/>
      <c r="H7" s="863"/>
      <c r="I7" s="863"/>
      <c r="J7" s="863"/>
      <c r="K7" s="863"/>
      <c r="L7" s="864"/>
      <c r="M7" s="221"/>
    </row>
    <row r="8" spans="1:15" ht="18.75" x14ac:dyDescent="0.3">
      <c r="A8" s="743" t="s">
        <v>3</v>
      </c>
      <c r="B8" s="139" t="s">
        <v>175</v>
      </c>
      <c r="C8" s="744"/>
      <c r="D8" s="745"/>
      <c r="E8" s="746" t="s">
        <v>87</v>
      </c>
      <c r="F8" s="747" t="e">
        <f ca="1">SHEETDATA!P2</f>
        <v>#N/A</v>
      </c>
      <c r="G8" s="748"/>
      <c r="H8" s="749"/>
      <c r="I8" s="749"/>
      <c r="J8" s="749"/>
      <c r="K8" s="749"/>
      <c r="L8" s="750"/>
      <c r="M8" s="221"/>
      <c r="N8" s="360" t="str">
        <f ca="1">IF(AND('DATA ENTRY'!O9="",'DATA ENTRY'!O10="",'DATA ENTRY'!O11="",'DATA ENTRY'!O12="",'DATA ENTRY'!O13=""),"","WARNINGS:")</f>
        <v/>
      </c>
    </row>
    <row r="9" spans="1:15" ht="18.75" x14ac:dyDescent="0.3">
      <c r="A9" s="751" t="s">
        <v>94</v>
      </c>
      <c r="B9" s="140" t="s">
        <v>177</v>
      </c>
      <c r="C9" s="752"/>
      <c r="D9" s="753"/>
      <c r="E9" s="746" t="s">
        <v>9</v>
      </c>
      <c r="F9" s="754">
        <f ca="1">IFERROR(SHEETDATA!P3,0)</f>
        <v>0</v>
      </c>
      <c r="G9" s="748" t="s">
        <v>42</v>
      </c>
      <c r="H9" s="755">
        <f ca="1">F9/10.764</f>
        <v>0</v>
      </c>
      <c r="I9" s="756" t="s">
        <v>318</v>
      </c>
      <c r="J9" s="756"/>
      <c r="K9" s="756"/>
      <c r="L9" s="757"/>
      <c r="M9" s="221"/>
      <c r="N9" s="109" t="str">
        <f>IF(O9="","","LOUVER LENGTH:")</f>
        <v/>
      </c>
      <c r="O9" t="str">
        <f>IF(OR(B10="ENTER LENGTH",B8="SELECT MODEL"),"",IF(AND(B10&lt;SHEETDATA!V17,B9="Inch"),"Louver Length must be at least "&amp;SHEETDATA!V17&amp;" inches (ACTUAL).",IF(AND(B10&lt;SHEETDATA!Z17,B9="mm"),"Louver Length must be at least "&amp;SHEETDATA!Z17&amp;" mm (ACTUAL).",IF(AND(B10&gt;SHEETDATA!AD17,B9="Inch"),"Louver Length must be less than or equal to "&amp;SHEETDATA!AD17&amp;" inches (ACTUAL).",IF(AND(B10&gt;SHEETDATA!AH17,B9="mm"),"Louver Length must be less than or equal to "&amp;SHEETDATA!AH17&amp;" mm (ACTUAL).","")))))</f>
        <v/>
      </c>
    </row>
    <row r="10" spans="1:15" ht="18.75" x14ac:dyDescent="0.3">
      <c r="A10" s="751" t="s">
        <v>255</v>
      </c>
      <c r="B10" s="372" t="s">
        <v>429</v>
      </c>
      <c r="C10" s="752" t="str">
        <f>IF(B9="Inch","in.",IF(B9="mm","mm",""))</f>
        <v/>
      </c>
      <c r="D10" s="753"/>
      <c r="E10" s="746" t="s">
        <v>10</v>
      </c>
      <c r="F10" s="761">
        <f ca="1">IFERROR(SHEETDATA!P4,0)</f>
        <v>0</v>
      </c>
      <c r="G10" s="756" t="s">
        <v>13</v>
      </c>
      <c r="H10" s="869">
        <f ca="1">F10</f>
        <v>0</v>
      </c>
      <c r="I10" s="758" t="s">
        <v>13</v>
      </c>
      <c r="J10" s="758"/>
      <c r="K10" s="758"/>
      <c r="L10" s="759"/>
      <c r="M10" s="221"/>
      <c r="N10" s="109" t="str">
        <f>IF(O10="","","LOUVER WIDTH:")</f>
        <v/>
      </c>
      <c r="O10" t="str">
        <f>IF(OR(B11="ENTER WIDTH",B8="SELECT MODEL"),"",IF(B10&lt;B11,"Louver Width must be less than Louver Length.",IF(AND(B11&lt;SHEETDATA!W17,B9="Inch"),"Louver Width must be at least "&amp;SHEETDATA!W17&amp;" inches (ACTUAL).",IF(AND(B11&lt;SHEETDATA!AA17,B9="mm"),"Louver Width must be at least "&amp;SHEETDATA!AA17&amp;" mm (ACTUAL).",IF(AND(B11&gt;SHEETDATA!AE17,B9="Inch"),"Louver Width must be less than or equal to "&amp;SHEETDATA!AE17&amp;" inches (ACTUAL).",IF(AND(B11&gt;SHEETDATA!AI17,B9="mm"),"Louver Width must be less than or equal to "&amp;SHEETDATA!AI17&amp;" mm (ACTUAL).",""))))))</f>
        <v/>
      </c>
    </row>
    <row r="11" spans="1:15" ht="18.75" x14ac:dyDescent="0.3">
      <c r="A11" s="751" t="s">
        <v>256</v>
      </c>
      <c r="B11" s="372" t="s">
        <v>430</v>
      </c>
      <c r="C11" s="752" t="str">
        <f>IF(B9="Inch","in.",IF(B9="mm","mm",""))</f>
        <v/>
      </c>
      <c r="D11" s="753"/>
      <c r="E11" s="746" t="s">
        <v>264</v>
      </c>
      <c r="F11" s="754">
        <f ca="1">IFERROR(SHEETDATA!P12,0)</f>
        <v>0</v>
      </c>
      <c r="G11" s="748" t="s">
        <v>42</v>
      </c>
      <c r="H11" s="760">
        <f ca="1">F11/10.764</f>
        <v>0</v>
      </c>
      <c r="I11" s="756" t="s">
        <v>318</v>
      </c>
      <c r="J11" s="758"/>
      <c r="K11" s="758"/>
      <c r="L11" s="759"/>
      <c r="M11" s="221"/>
      <c r="N11" s="109" t="str">
        <f>IF(O11="","","LOUVER HEIGHT:")</f>
        <v/>
      </c>
      <c r="O11" t="str">
        <f>IF(OR(B12="ENTER HEIGHT",B8="SELECT MODEL"),"", IF(AND(B12&lt;SHEETDATA!X17,B9="Inch"), "Louver Height must be at least "&amp;SHEETDATA!X17&amp;" inches (ACTUAL).",IF(AND(B12&lt;SHEETDATA!AB17,B9="mm"),"Louver Height must be at least "&amp;SHEETDATA!AB17&amp;" mm (ACTUAL).",IF(AND(B12&gt;SHEETDATA!AF17,B9="Inch"),"Louver Height must be less than or equal to "&amp;SHEETDATA!AF17&amp;" inches (ACTUAL).",IF(AND(B12&gt;SHEETDATA!AJ17,B9="mm"),"Louver Height must be less than or equal to "&amp;SHEETDATA!AJ17&amp;" mm (ACTUAL).","")))))</f>
        <v/>
      </c>
    </row>
    <row r="12" spans="1:15" ht="18.75" x14ac:dyDescent="0.3">
      <c r="A12" s="751" t="s">
        <v>351</v>
      </c>
      <c r="B12" s="373" t="s">
        <v>347</v>
      </c>
      <c r="C12" s="752" t="str">
        <f>IF(B9="Inch","in.",IF(B9="mm","mm",""))</f>
        <v/>
      </c>
      <c r="D12" s="753"/>
      <c r="E12" s="746" t="s">
        <v>11</v>
      </c>
      <c r="F12" s="761">
        <f ca="1">IFERROR(SHEETDATA!P5,0)</f>
        <v>0</v>
      </c>
      <c r="G12" s="756" t="s">
        <v>0</v>
      </c>
      <c r="H12" s="762">
        <f ca="1">F12*0.00508</f>
        <v>0</v>
      </c>
      <c r="I12" s="756" t="s">
        <v>319</v>
      </c>
      <c r="J12" s="756"/>
      <c r="K12" s="756"/>
      <c r="L12" s="757"/>
      <c r="M12" s="221"/>
      <c r="N12" s="109" t="str">
        <f>IF(O12="","","FREE AREA VELOCITY:")</f>
        <v/>
      </c>
      <c r="O12" s="109" t="str">
        <f>IF(F13="N/A","",IF(F12&gt;=F13,"Exceeding Water Penetration Point, reduce Free Area Velocity.",IF(AND(F12&lt;F13,F12&gt;=(F13*0.9)),"Approaching Water Penetration Point, consider reducing Free Area Velocity.","")))</f>
        <v/>
      </c>
    </row>
    <row r="13" spans="1:15" ht="18.75" x14ac:dyDescent="0.3">
      <c r="A13" s="751" t="s">
        <v>46</v>
      </c>
      <c r="B13" s="941" t="s">
        <v>431</v>
      </c>
      <c r="C13" s="752" t="str">
        <f>IF(B9="INCH","CFM",IF(B9="mm","L/s",""))</f>
        <v/>
      </c>
      <c r="D13" s="753"/>
      <c r="E13" s="746" t="s">
        <v>47</v>
      </c>
      <c r="F13" s="746" t="str">
        <f>IF(B8="SELECT MODEL","N/A",IF(B14="INTAKE",INDEX(SHEETDATA!H2:I14, MATCH('DATA ENTRY'!B8,SHEETDATA!H2:H14,0),2),"N/A"))</f>
        <v>N/A</v>
      </c>
      <c r="G13" s="756" t="s">
        <v>0</v>
      </c>
      <c r="H13" s="762" t="str">
        <f>IF(F13="N/A","N/A",F13*0.00508)</f>
        <v>N/A</v>
      </c>
      <c r="I13" s="756" t="s">
        <v>319</v>
      </c>
      <c r="J13" s="756"/>
      <c r="K13" s="756"/>
      <c r="L13" s="757"/>
      <c r="M13" s="221"/>
      <c r="N13" s="109" t="str">
        <f ca="1">IF(O13="","","PRESSURE DROP:")</f>
        <v/>
      </c>
      <c r="O13" s="109" t="str">
        <f ca="1">IF(F14&gt;4.81034238243,"Exceeding recommended pressure drop limit, reduce pressure drop.","")</f>
        <v/>
      </c>
    </row>
    <row r="14" spans="1:15" ht="18.75" x14ac:dyDescent="0.3">
      <c r="A14" s="751" t="s">
        <v>4</v>
      </c>
      <c r="B14" s="140" t="s">
        <v>176</v>
      </c>
      <c r="C14" s="763"/>
      <c r="D14" s="753"/>
      <c r="E14" s="746" t="s">
        <v>12</v>
      </c>
      <c r="F14" s="764">
        <f ca="1">IFERROR(SHEETDATA!P6,0)</f>
        <v>0</v>
      </c>
      <c r="G14" s="756" t="s">
        <v>85</v>
      </c>
      <c r="H14" s="755">
        <f ca="1">F14*248.84</f>
        <v>0</v>
      </c>
      <c r="I14" s="756" t="s">
        <v>320</v>
      </c>
      <c r="J14" s="756"/>
      <c r="K14" s="756"/>
      <c r="L14" s="757"/>
      <c r="M14" s="221"/>
      <c r="N14" s="109" t="str">
        <f ca="1">IF(O14="","","THROAT AREA:")</f>
        <v/>
      </c>
      <c r="O14" t="str">
        <f ca="1">IF(F11&gt;F9,"Throat Area exceeding Free Area, recommend increasing free area.","")</f>
        <v/>
      </c>
    </row>
    <row r="15" spans="1:15" ht="18.75" x14ac:dyDescent="0.3">
      <c r="A15" s="751" t="s">
        <v>266</v>
      </c>
      <c r="B15" s="140" t="s">
        <v>267</v>
      </c>
      <c r="C15" s="763"/>
      <c r="D15" s="753"/>
      <c r="E15" s="746" t="s">
        <v>273</v>
      </c>
      <c r="F15" s="746" t="e">
        <f ca="1">SHEETDATA!P7</f>
        <v>#N/A</v>
      </c>
      <c r="G15" s="756"/>
      <c r="H15" s="753" t="e">
        <f ca="1">F15</f>
        <v>#N/A</v>
      </c>
      <c r="I15" s="756"/>
      <c r="J15" s="756"/>
      <c r="K15" s="756"/>
      <c r="L15" s="757"/>
      <c r="M15" s="221"/>
    </row>
    <row r="16" spans="1:15" ht="18.75" x14ac:dyDescent="0.3">
      <c r="A16" s="765" t="s">
        <v>322</v>
      </c>
      <c r="B16" s="752"/>
      <c r="C16" s="752"/>
      <c r="D16" s="753"/>
      <c r="E16" s="746" t="s">
        <v>164</v>
      </c>
      <c r="F16" s="761">
        <f ca="1">IFERROR(SHEETDATA!P13,0)</f>
        <v>0</v>
      </c>
      <c r="G16" s="756" t="s">
        <v>72</v>
      </c>
      <c r="H16" s="766">
        <f ca="1">F16/2.205</f>
        <v>0</v>
      </c>
      <c r="I16" s="756" t="s">
        <v>321</v>
      </c>
      <c r="J16" s="756"/>
      <c r="K16" s="756"/>
      <c r="L16" s="757"/>
      <c r="M16" s="767"/>
    </row>
    <row r="17" spans="1:15" ht="18.75" x14ac:dyDescent="0.3">
      <c r="A17" s="751" t="s">
        <v>323</v>
      </c>
      <c r="B17" s="590" t="s">
        <v>324</v>
      </c>
      <c r="C17" s="752"/>
      <c r="D17" s="753"/>
      <c r="E17" s="746"/>
      <c r="F17" s="761"/>
      <c r="G17" s="756"/>
      <c r="H17" s="766"/>
      <c r="I17" s="756"/>
      <c r="J17" s="756"/>
      <c r="K17" s="756"/>
      <c r="L17" s="757"/>
      <c r="M17" s="767" t="str">
        <f>IF(B8="SELECT MODEL","","Note: Standard Minimum Size for "&amp;B8&amp;" is: "&amp;SHEETDATA!U18&amp;" (L x W x H)")</f>
        <v/>
      </c>
    </row>
    <row r="18" spans="1:15" ht="19.5" thickBot="1" x14ac:dyDescent="0.35">
      <c r="A18" s="768" t="s">
        <v>325</v>
      </c>
      <c r="B18" s="591" t="s">
        <v>326</v>
      </c>
      <c r="C18" s="769"/>
      <c r="D18" s="770"/>
      <c r="E18" s="771"/>
      <c r="F18" s="771"/>
      <c r="G18" s="771"/>
      <c r="H18" s="770"/>
      <c r="I18" s="771"/>
      <c r="J18" s="771"/>
      <c r="K18" s="771"/>
      <c r="L18" s="772"/>
      <c r="M18" s="767" t="str">
        <f>IF(B8="SELECT MODEL","","Maximum Standard Dimension for "&amp;B8&amp;" is: "&amp;SHEETDATA!AC18&amp;" (L x W x H)")</f>
        <v/>
      </c>
      <c r="O18" s="441"/>
    </row>
    <row r="19" spans="1:15" ht="15.75" thickTop="1" x14ac:dyDescent="0.25">
      <c r="A19" s="734"/>
      <c r="B19" s="735"/>
      <c r="C19" s="735"/>
      <c r="D19" s="736"/>
      <c r="E19" s="737"/>
      <c r="F19" s="737"/>
      <c r="G19" s="737"/>
      <c r="H19" s="737"/>
      <c r="I19" s="737"/>
      <c r="J19" s="737"/>
      <c r="K19" s="737"/>
      <c r="L19" s="738"/>
      <c r="M19" s="221"/>
    </row>
    <row r="20" spans="1:15" ht="23.25" x14ac:dyDescent="0.35">
      <c r="A20" s="739" t="s">
        <v>2</v>
      </c>
      <c r="B20" s="773"/>
      <c r="C20" s="741" t="s">
        <v>343</v>
      </c>
      <c r="D20" s="942" t="s">
        <v>8</v>
      </c>
      <c r="E20" s="943"/>
      <c r="F20" s="742"/>
      <c r="G20" s="742"/>
      <c r="H20" s="865"/>
      <c r="I20" s="865"/>
      <c r="J20" s="865"/>
      <c r="K20" s="865"/>
      <c r="L20" s="864"/>
      <c r="M20" s="221"/>
    </row>
    <row r="21" spans="1:15" ht="18.75" x14ac:dyDescent="0.3">
      <c r="A21" s="743" t="s">
        <v>3</v>
      </c>
      <c r="B21" s="139" t="s">
        <v>175</v>
      </c>
      <c r="C21" s="744"/>
      <c r="D21" s="745"/>
      <c r="E21" s="746" t="s">
        <v>87</v>
      </c>
      <c r="F21" s="747" t="e">
        <f ca="1">SHEETDATA!P20</f>
        <v>#N/A</v>
      </c>
      <c r="G21" s="748"/>
      <c r="H21" s="749"/>
      <c r="I21" s="749"/>
      <c r="J21" s="749"/>
      <c r="K21" s="749"/>
      <c r="L21" s="750"/>
      <c r="M21" s="221"/>
      <c r="N21" s="360" t="str">
        <f ca="1">IF(AND('DATA ENTRY'!O22="",'DATA ENTRY'!O23="",'DATA ENTRY'!O25="",'DATA ENTRY'!O26=""),"","WARNINGS:")</f>
        <v/>
      </c>
    </row>
    <row r="22" spans="1:15" ht="18.75" x14ac:dyDescent="0.3">
      <c r="A22" s="751" t="s">
        <v>94</v>
      </c>
      <c r="B22" s="140" t="s">
        <v>177</v>
      </c>
      <c r="C22" s="752"/>
      <c r="D22" s="753"/>
      <c r="E22" s="746" t="s">
        <v>9</v>
      </c>
      <c r="F22" s="754">
        <f ca="1">IFERROR(SHEETDATA!P21,0)</f>
        <v>0</v>
      </c>
      <c r="G22" s="748" t="s">
        <v>42</v>
      </c>
      <c r="H22" s="755">
        <f ca="1">F22/10.764</f>
        <v>0</v>
      </c>
      <c r="I22" s="756" t="s">
        <v>318</v>
      </c>
      <c r="J22" s="756"/>
      <c r="K22" s="756"/>
      <c r="L22" s="757"/>
      <c r="M22" s="221"/>
      <c r="N22" s="109" t="str">
        <f>IF(O22="","","LOUVER LENGTH:")</f>
        <v/>
      </c>
      <c r="O22" t="str">
        <f>IF(OR(B23="ENTER LENGTH",B21="SELECT MODEL",B21="DELETE HEIGHT VALUE"),"",IF(AND(B23&lt;SHEETDATA!V20,B22="Inch"),"Louver Length must be at least "&amp;SHEETDATA!V20&amp;" inches (ACTUAL).",IF(AND(B23&lt;SHEETDATA!Z20,B22="mm"),"Louver Length must be at least "&amp;SHEETDATA!Z20&amp;" mm (ACTUAL).",IF(AND(B23&gt;SHEETDATA!AD20,B22="Inch"),"Louver Length must be less than or equal to "&amp;SHEETDATA!AD20&amp;" inches (ACTUAL).",IF(AND(B23&gt;SHEETDATA!AH20,B22="mm"),"Louver Length must be less than or equal to "&amp;SHEETDATA!AH20&amp;" mm (ACTUAL).","")))))</f>
        <v/>
      </c>
    </row>
    <row r="23" spans="1:15" ht="18.75" x14ac:dyDescent="0.3">
      <c r="A23" s="751" t="s">
        <v>255</v>
      </c>
      <c r="B23" s="372" t="s">
        <v>429</v>
      </c>
      <c r="C23" s="752" t="str">
        <f>IF(B22="Inch","in.",IF(B22="mm","mm",""))</f>
        <v/>
      </c>
      <c r="D23" s="753"/>
      <c r="E23" s="746" t="s">
        <v>10</v>
      </c>
      <c r="F23" s="761">
        <f ca="1">IFERROR(SHEETDATA!P22,0)</f>
        <v>0</v>
      </c>
      <c r="G23" s="756" t="s">
        <v>13</v>
      </c>
      <c r="H23" s="869">
        <f ca="1">F23</f>
        <v>0</v>
      </c>
      <c r="I23" s="758" t="s">
        <v>13</v>
      </c>
      <c r="J23" s="758"/>
      <c r="K23" s="758"/>
      <c r="L23" s="759"/>
      <c r="M23" s="221"/>
      <c r="N23" s="109" t="str">
        <f>IF(O23="","","LOUVER WIDTH:")</f>
        <v/>
      </c>
      <c r="O23" t="str">
        <f>IF(OR(B24="ENTER WIDTH",B21="SELECT MODEL",B21="DELETE HEIGHT VALUE"),"",IF(B23&lt;B24,"Louver Width must be less than Louver Length.",IF(AND(B24&lt;SHEETDATA!W20,B22="Inch"),"Louver Width must be at least "&amp;SHEETDATA!W20&amp;" inches (ACTUAL).",IF(AND(B24&lt;SHEETDATA!AA20,B22="mm"),"Louver Width must be at least "&amp;SHEETDATA!AA20&amp;" mm (ACTUAL).",IF(AND(B24&gt;SHEETDATA!AE20,B22="Inch"),"Louver Width must be less than or equal to "&amp;SHEETDATA!AE20&amp;" inches (ACTUAL).",IF(AND(B24&gt;SHEETDATA!AI20,B22="mm"),"Louver Width must be less than or equal to "&amp;SHEETDATA!AI20&amp;" mm (ACTUAL).",""))))))</f>
        <v/>
      </c>
    </row>
    <row r="24" spans="1:15" ht="18.75" x14ac:dyDescent="0.3">
      <c r="A24" s="751" t="s">
        <v>256</v>
      </c>
      <c r="B24" s="372" t="s">
        <v>430</v>
      </c>
      <c r="C24" s="752" t="str">
        <f>IF(B22="Inch","in.",IF(B22="mm","mm",""))</f>
        <v/>
      </c>
      <c r="D24" s="753"/>
      <c r="E24" s="746" t="s">
        <v>264</v>
      </c>
      <c r="F24" s="754">
        <f ca="1">IFERROR(SHEETDATA!P30,0)</f>
        <v>0</v>
      </c>
      <c r="G24" s="748" t="s">
        <v>42</v>
      </c>
      <c r="H24" s="760">
        <f ca="1">F24/10.764</f>
        <v>0</v>
      </c>
      <c r="I24" s="756" t="s">
        <v>318</v>
      </c>
      <c r="J24" s="758"/>
      <c r="K24" s="758"/>
      <c r="L24" s="759"/>
      <c r="M24" s="221"/>
      <c r="N24" s="109" t="str">
        <f>IF(O24="","","MODEL:")</f>
        <v/>
      </c>
      <c r="O24" t="str">
        <f>IF(B21="DELETE HEIGHT VALUE","TO SELECT MODEL DELETE THE CURRENT HEIGHT VALUE","")</f>
        <v/>
      </c>
    </row>
    <row r="25" spans="1:15" ht="18.75" x14ac:dyDescent="0.3">
      <c r="A25" s="751" t="s">
        <v>351</v>
      </c>
      <c r="B25" s="373" t="s">
        <v>347</v>
      </c>
      <c r="C25" s="752" t="str">
        <f>IF(B22="Inch","in.",IF(B22="mm","mm",""))</f>
        <v/>
      </c>
      <c r="D25" s="753"/>
      <c r="E25" s="746" t="s">
        <v>11</v>
      </c>
      <c r="F25" s="761">
        <f ca="1">IFERROR(SHEETDATA!P23,0)</f>
        <v>0</v>
      </c>
      <c r="G25" s="756" t="s">
        <v>0</v>
      </c>
      <c r="H25" s="762">
        <f ca="1">F25*0.00508</f>
        <v>0</v>
      </c>
      <c r="I25" s="756" t="s">
        <v>319</v>
      </c>
      <c r="J25" s="756"/>
      <c r="K25" s="756"/>
      <c r="L25" s="757"/>
      <c r="M25" s="221"/>
      <c r="N25" s="109" t="str">
        <f>IF(O25="","","FREE AREA VELOCITY:")</f>
        <v/>
      </c>
      <c r="O25" s="109" t="str">
        <f t="array" ref="O25">IF(F26="N/A","",IF(F25&gt;=F26,"Exceeding Water Penetration Point, reduce Free Area Velocity.",IF(AND(F25&lt;F26,F25&gt;=(F26*0.9)),"Approaching Water Penetration Point, consider reducing Free Area Velocity.","")))</f>
        <v/>
      </c>
    </row>
    <row r="26" spans="1:15" ht="18.75" x14ac:dyDescent="0.3">
      <c r="A26" s="751" t="s">
        <v>46</v>
      </c>
      <c r="B26" s="941" t="s">
        <v>431</v>
      </c>
      <c r="C26" s="752" t="str">
        <f>IF(B22="INCH","CFM",IF(B22="mm","L/s",""))</f>
        <v/>
      </c>
      <c r="D26" s="753"/>
      <c r="E26" s="746" t="s">
        <v>47</v>
      </c>
      <c r="F26" s="746" t="str">
        <f>IF(B21="SELECT MODEL","N/A",IF(B27="INTAKE",INDEX(SHEETDATA!H2:I14, MATCH('DATA ENTRY'!B21,SHEETDATA!H2:H14,0),2),"N/A"))</f>
        <v>N/A</v>
      </c>
      <c r="G26" s="756" t="s">
        <v>0</v>
      </c>
      <c r="H26" s="762" t="str">
        <f>IF(F26="N/A","N/A",F26*0.00508)</f>
        <v>N/A</v>
      </c>
      <c r="I26" s="756" t="s">
        <v>319</v>
      </c>
      <c r="J26" s="756"/>
      <c r="K26" s="756"/>
      <c r="L26" s="757"/>
      <c r="M26" s="221"/>
      <c r="N26" s="109" t="str">
        <f ca="1">IF(O26="","","PRESSURE DROP:")</f>
        <v/>
      </c>
      <c r="O26" s="109" t="str">
        <f ca="1">IF(F27&gt;4.81034238243,"Exceeding recommended pressure drop limit, reduce pressure drop.","")</f>
        <v/>
      </c>
    </row>
    <row r="27" spans="1:15" ht="18.75" x14ac:dyDescent="0.3">
      <c r="A27" s="751" t="s">
        <v>4</v>
      </c>
      <c r="B27" s="140" t="s">
        <v>176</v>
      </c>
      <c r="C27" s="763"/>
      <c r="D27" s="753"/>
      <c r="E27" s="746" t="s">
        <v>12</v>
      </c>
      <c r="F27" s="764">
        <f ca="1">IFERROR(SHEETDATA!P24,0)</f>
        <v>0</v>
      </c>
      <c r="G27" s="756" t="s">
        <v>85</v>
      </c>
      <c r="H27" s="766">
        <f ca="1">F27*248.84</f>
        <v>0</v>
      </c>
      <c r="I27" s="756" t="s">
        <v>320</v>
      </c>
      <c r="J27" s="756"/>
      <c r="K27" s="756"/>
      <c r="L27" s="757"/>
      <c r="M27" s="221"/>
      <c r="N27" s="109" t="str">
        <f ca="1">IF(O27="","","THROAT AREA:")</f>
        <v/>
      </c>
      <c r="O27" t="str">
        <f ca="1">IF(F24&gt;F22,"Throat Area exceeding Free Area, recommend increasing free area.","")</f>
        <v/>
      </c>
    </row>
    <row r="28" spans="1:15" ht="18.75" x14ac:dyDescent="0.3">
      <c r="A28" s="751" t="s">
        <v>266</v>
      </c>
      <c r="B28" s="140" t="s">
        <v>267</v>
      </c>
      <c r="C28" s="752"/>
      <c r="D28" s="753"/>
      <c r="E28" s="746" t="s">
        <v>164</v>
      </c>
      <c r="F28" s="761">
        <f ca="1">IFERROR(SHEETDATA!P31,0)</f>
        <v>0</v>
      </c>
      <c r="G28" s="756" t="s">
        <v>72</v>
      </c>
      <c r="H28" s="766">
        <f ca="1">F28/2.205</f>
        <v>0</v>
      </c>
      <c r="I28" s="756" t="s">
        <v>321</v>
      </c>
      <c r="J28" s="756"/>
      <c r="K28" s="756"/>
      <c r="L28" s="757"/>
      <c r="M28" s="221"/>
    </row>
    <row r="29" spans="1:15" ht="18.75" x14ac:dyDescent="0.3">
      <c r="A29" s="765" t="s">
        <v>322</v>
      </c>
      <c r="B29" s="752"/>
      <c r="C29" s="752"/>
      <c r="D29" s="753"/>
      <c r="E29" s="746"/>
      <c r="F29" s="678"/>
      <c r="G29" s="779"/>
      <c r="H29" s="602"/>
      <c r="I29" s="678"/>
      <c r="J29" s="756"/>
      <c r="K29" s="756"/>
      <c r="L29" s="757"/>
      <c r="M29" s="221"/>
    </row>
    <row r="30" spans="1:15" ht="18.75" x14ac:dyDescent="0.3">
      <c r="A30" s="751" t="s">
        <v>323</v>
      </c>
      <c r="B30" s="590" t="s">
        <v>324</v>
      </c>
      <c r="C30" s="752"/>
      <c r="D30" s="753"/>
      <c r="E30" s="746"/>
      <c r="F30" s="761"/>
      <c r="G30" s="780"/>
      <c r="H30" s="748"/>
      <c r="I30" s="756"/>
      <c r="J30" s="756"/>
      <c r="K30" s="756"/>
      <c r="L30" s="757"/>
      <c r="M30" s="767" t="str">
        <f>IF(B21="SELECT MODEL","","Note: Standard Minimum Size for "&amp;B21&amp;" is: "&amp;SHEETDATA!U21&amp;" (L x W x H)")</f>
        <v/>
      </c>
    </row>
    <row r="31" spans="1:15" ht="19.5" thickBot="1" x14ac:dyDescent="0.35">
      <c r="A31" s="768" t="s">
        <v>325</v>
      </c>
      <c r="B31" s="591" t="s">
        <v>326</v>
      </c>
      <c r="C31" s="769"/>
      <c r="D31" s="770"/>
      <c r="E31" s="771"/>
      <c r="F31" s="771"/>
      <c r="G31" s="771"/>
      <c r="H31" s="770"/>
      <c r="I31" s="771"/>
      <c r="J31" s="771"/>
      <c r="K31" s="771"/>
      <c r="L31" s="772"/>
      <c r="M31" s="767" t="str">
        <f>IF(B21="SELECT MODEL","","Maximum Standard Dimension for "&amp;B21&amp;" is: "&amp;SHEETDATA!AC21&amp;" (L x W x H)")</f>
        <v/>
      </c>
      <c r="O31" s="441"/>
    </row>
    <row r="32" spans="1:15" ht="15.75" thickTop="1" x14ac:dyDescent="0.25">
      <c r="A32" s="221"/>
      <c r="B32" s="221"/>
      <c r="C32" s="221"/>
      <c r="D32" s="221"/>
      <c r="E32" s="221"/>
      <c r="F32" s="221"/>
      <c r="G32" s="221"/>
      <c r="H32" s="221"/>
      <c r="I32" s="221"/>
      <c r="J32" s="221"/>
      <c r="K32" s="221"/>
      <c r="L32" s="221"/>
      <c r="M32" s="221"/>
    </row>
    <row r="33" spans="1:14" ht="18.75" x14ac:dyDescent="0.3">
      <c r="A33" s="767" t="s">
        <v>228</v>
      </c>
      <c r="B33" s="221"/>
      <c r="C33" s="221"/>
      <c r="D33" s="221"/>
      <c r="E33" s="221"/>
      <c r="F33" s="221"/>
      <c r="G33" s="221"/>
      <c r="H33" s="221"/>
      <c r="I33" s="221"/>
      <c r="J33" s="221"/>
      <c r="K33" s="221"/>
      <c r="L33" s="221"/>
      <c r="M33" s="221"/>
    </row>
    <row r="34" spans="1:14" ht="18.75" x14ac:dyDescent="0.3">
      <c r="A34" s="767" t="s">
        <v>138</v>
      </c>
      <c r="B34" s="221"/>
      <c r="C34" s="221"/>
      <c r="D34" s="221"/>
      <c r="E34" s="221"/>
      <c r="F34" s="221"/>
      <c r="G34" s="221"/>
      <c r="H34" s="221"/>
      <c r="I34" s="221"/>
      <c r="J34" s="221"/>
      <c r="K34" s="221"/>
      <c r="L34" s="221"/>
      <c r="M34" s="221"/>
    </row>
    <row r="35" spans="1:14" x14ac:dyDescent="0.25">
      <c r="A35" s="221"/>
      <c r="B35" s="221"/>
      <c r="C35" s="221"/>
      <c r="D35" s="221"/>
      <c r="E35" s="221"/>
      <c r="F35" s="221"/>
      <c r="G35" s="221"/>
      <c r="H35" s="221"/>
      <c r="I35" s="221"/>
      <c r="J35" s="221"/>
      <c r="K35" s="221"/>
      <c r="L35" s="221"/>
      <c r="M35" s="221"/>
    </row>
    <row r="36" spans="1:14" ht="24" thickBot="1" x14ac:dyDescent="0.4">
      <c r="A36" s="221"/>
      <c r="B36" s="221"/>
      <c r="C36" s="221"/>
      <c r="D36" s="221"/>
      <c r="E36" s="221"/>
      <c r="F36" s="221"/>
      <c r="G36" s="221"/>
      <c r="H36" s="221"/>
      <c r="I36" s="221"/>
      <c r="J36" s="221"/>
      <c r="K36" s="221"/>
      <c r="L36" s="221"/>
      <c r="M36" s="221"/>
      <c r="N36" s="60"/>
    </row>
    <row r="37" spans="1:14" ht="15.75" x14ac:dyDescent="0.25">
      <c r="A37" s="774" t="s">
        <v>314</v>
      </c>
      <c r="B37" s="775" t="str">
        <f>IF(A38="L/s to CFM:","L/s","CFM")</f>
        <v>L/s</v>
      </c>
      <c r="C37" s="776" t="str">
        <f>IF(A38="L/s to CFM:","CFM","L/s")</f>
        <v>CFM</v>
      </c>
      <c r="D37" s="221"/>
      <c r="E37" s="221"/>
      <c r="F37" s="221"/>
      <c r="G37" s="221"/>
      <c r="H37" s="221"/>
      <c r="I37" s="221"/>
      <c r="J37" s="221"/>
      <c r="K37" s="221"/>
      <c r="L37" s="221"/>
      <c r="M37" s="221"/>
    </row>
    <row r="38" spans="1:14" ht="16.5" thickBot="1" x14ac:dyDescent="0.3">
      <c r="A38" s="588" t="s">
        <v>315</v>
      </c>
      <c r="B38" s="589">
        <v>0</v>
      </c>
      <c r="C38" s="777">
        <f>IF(A38="L/s to CFM:",B38*2.1188799727597,B38/2.1188799727597)</f>
        <v>0</v>
      </c>
      <c r="D38" s="221"/>
      <c r="E38" s="221"/>
      <c r="F38" s="221"/>
      <c r="G38" s="221"/>
      <c r="H38" s="221"/>
      <c r="I38" s="221"/>
      <c r="J38" s="221"/>
      <c r="K38" s="221"/>
      <c r="L38" s="221"/>
      <c r="M38" s="221"/>
    </row>
    <row r="39" spans="1:14" x14ac:dyDescent="0.25">
      <c r="A39" s="221"/>
      <c r="B39" s="221"/>
      <c r="C39" s="221"/>
      <c r="D39" s="221"/>
      <c r="E39" s="221"/>
      <c r="F39" s="221"/>
      <c r="G39" s="221"/>
      <c r="H39" s="221"/>
      <c r="I39" s="221"/>
      <c r="J39" s="221"/>
      <c r="K39" s="221"/>
      <c r="L39" s="221"/>
      <c r="M39" s="221"/>
    </row>
    <row r="40" spans="1:14" x14ac:dyDescent="0.25">
      <c r="A40" s="221"/>
      <c r="B40" s="221"/>
      <c r="C40" s="221"/>
      <c r="D40" s="221"/>
      <c r="E40" s="221"/>
      <c r="F40" s="221"/>
      <c r="G40" s="221"/>
      <c r="H40" s="221"/>
      <c r="I40" s="221"/>
      <c r="J40" s="221"/>
      <c r="K40" s="221"/>
      <c r="L40" s="221"/>
      <c r="M40" s="221"/>
    </row>
    <row r="41" spans="1:14" x14ac:dyDescent="0.25">
      <c r="A41" s="221"/>
      <c r="B41" s="221"/>
      <c r="C41" s="221"/>
      <c r="D41" s="221"/>
      <c r="E41" s="221"/>
      <c r="F41" s="221"/>
      <c r="G41" s="221"/>
      <c r="H41" s="221"/>
      <c r="I41" s="221"/>
      <c r="J41" s="221"/>
      <c r="K41" s="221"/>
      <c r="L41" s="221"/>
      <c r="M41" s="221"/>
    </row>
    <row r="42" spans="1:14" x14ac:dyDescent="0.25">
      <c r="A42" s="221"/>
      <c r="B42" s="221"/>
      <c r="C42" s="221"/>
      <c r="D42" s="221"/>
      <c r="E42" s="221"/>
      <c r="F42" s="221"/>
      <c r="G42" s="221"/>
      <c r="H42" s="221"/>
      <c r="I42" s="221"/>
      <c r="J42" s="221"/>
      <c r="K42" s="221"/>
      <c r="L42" s="221"/>
      <c r="M42" s="221"/>
    </row>
    <row r="43" spans="1:14" x14ac:dyDescent="0.25">
      <c r="A43" s="221"/>
      <c r="B43" s="221"/>
      <c r="C43" s="221"/>
      <c r="D43" s="221"/>
      <c r="E43" s="221"/>
      <c r="F43" s="221"/>
      <c r="G43" s="221"/>
      <c r="H43" s="221"/>
      <c r="I43" s="221"/>
      <c r="J43" s="221"/>
      <c r="K43" s="221"/>
      <c r="L43" s="221"/>
      <c r="M43" s="221"/>
    </row>
    <row r="44" spans="1:14" x14ac:dyDescent="0.25">
      <c r="A44" s="221"/>
      <c r="B44" s="221"/>
      <c r="C44" s="221"/>
      <c r="D44" s="221"/>
      <c r="E44" s="221"/>
      <c r="F44" s="221"/>
      <c r="G44" s="221"/>
      <c r="H44" s="221"/>
      <c r="I44" s="221"/>
      <c r="J44" s="221"/>
      <c r="K44" s="221"/>
      <c r="L44" s="221"/>
      <c r="M44" s="221"/>
    </row>
    <row r="45" spans="1:14" ht="18.75" x14ac:dyDescent="0.3">
      <c r="A45" s="221"/>
      <c r="B45" s="221"/>
      <c r="C45" s="221"/>
      <c r="D45" s="221"/>
      <c r="E45" s="778"/>
      <c r="F45" s="778"/>
      <c r="G45" s="221"/>
      <c r="H45" s="221"/>
      <c r="I45" s="221"/>
      <c r="J45" s="221"/>
      <c r="K45" s="221"/>
      <c r="L45" s="221"/>
      <c r="M45" s="221"/>
    </row>
    <row r="46" spans="1:14" x14ac:dyDescent="0.25">
      <c r="A46" s="221"/>
      <c r="B46" s="221"/>
      <c r="C46" s="221"/>
      <c r="D46" s="221"/>
      <c r="E46" s="221"/>
      <c r="F46" s="221"/>
      <c r="G46" s="221"/>
      <c r="H46" s="221"/>
      <c r="I46" s="221"/>
      <c r="J46" s="221"/>
      <c r="K46" s="221"/>
      <c r="L46" s="221"/>
      <c r="M46" s="221"/>
    </row>
    <row r="47" spans="1:14" x14ac:dyDescent="0.25">
      <c r="A47" s="221"/>
      <c r="B47" s="221"/>
      <c r="C47" s="221"/>
      <c r="D47" s="221"/>
      <c r="E47" s="221"/>
      <c r="F47" s="221"/>
      <c r="G47" s="221"/>
      <c r="H47" s="221"/>
      <c r="I47" s="221"/>
      <c r="J47" s="221"/>
      <c r="K47" s="221"/>
      <c r="L47" s="221"/>
      <c r="M47" s="221"/>
    </row>
    <row r="48" spans="1:14" x14ac:dyDescent="0.25">
      <c r="A48" s="221"/>
      <c r="B48" s="221"/>
      <c r="C48" s="221"/>
      <c r="D48" s="221"/>
      <c r="E48" s="221"/>
      <c r="F48" s="221"/>
      <c r="G48" s="221"/>
      <c r="H48" s="221"/>
      <c r="I48" s="221"/>
      <c r="J48" s="221"/>
      <c r="K48" s="221"/>
      <c r="L48" s="221"/>
      <c r="M48" s="221"/>
    </row>
    <row r="49" spans="1:13" x14ac:dyDescent="0.25">
      <c r="A49" s="221"/>
      <c r="B49" s="221"/>
      <c r="C49" s="221"/>
      <c r="D49" s="221"/>
      <c r="E49" s="221"/>
      <c r="F49" s="221"/>
      <c r="G49" s="221"/>
      <c r="H49" s="221"/>
      <c r="I49" s="221"/>
      <c r="J49" s="221"/>
      <c r="K49" s="221"/>
      <c r="L49" s="221"/>
      <c r="M49" s="221"/>
    </row>
    <row r="50" spans="1:13" x14ac:dyDescent="0.25">
      <c r="A50" s="221"/>
      <c r="B50" s="221"/>
      <c r="C50" s="221"/>
      <c r="D50" s="221"/>
      <c r="E50" s="221"/>
      <c r="F50" s="221"/>
      <c r="G50" s="221"/>
      <c r="H50" s="221"/>
      <c r="I50" s="221"/>
      <c r="J50" s="221"/>
      <c r="K50" s="221"/>
      <c r="L50" s="221"/>
      <c r="M50" s="221"/>
    </row>
    <row r="51" spans="1:13" x14ac:dyDescent="0.25">
      <c r="A51" s="221"/>
      <c r="B51" s="221"/>
      <c r="C51" s="221"/>
      <c r="D51" s="221"/>
      <c r="E51" s="221"/>
      <c r="F51" s="221"/>
      <c r="G51" s="221"/>
      <c r="H51" s="221"/>
      <c r="I51" s="221"/>
      <c r="J51" s="221"/>
      <c r="K51" s="221"/>
      <c r="L51" s="221"/>
      <c r="M51" s="221"/>
    </row>
    <row r="52" spans="1:13" x14ac:dyDescent="0.25">
      <c r="A52" s="221"/>
      <c r="B52" s="221"/>
      <c r="C52" s="221"/>
      <c r="D52" s="221"/>
      <c r="E52" s="221"/>
      <c r="F52" s="221"/>
      <c r="G52" s="221"/>
      <c r="H52" s="221"/>
      <c r="I52" s="221"/>
      <c r="J52" s="221"/>
      <c r="K52" s="221"/>
      <c r="L52" s="221"/>
      <c r="M52" s="221"/>
    </row>
    <row r="53" spans="1:13" ht="29.25" customHeight="1" x14ac:dyDescent="0.25">
      <c r="A53" s="221"/>
      <c r="B53" s="221"/>
      <c r="C53" s="221"/>
      <c r="D53" s="221"/>
      <c r="E53" s="221"/>
      <c r="F53" s="221"/>
      <c r="G53" s="221"/>
      <c r="H53" s="221"/>
      <c r="I53" s="221"/>
      <c r="J53" s="221"/>
      <c r="K53" s="221"/>
      <c r="L53" s="221"/>
      <c r="M53" s="221"/>
    </row>
    <row r="54" spans="1:13" x14ac:dyDescent="0.25">
      <c r="A54" s="221"/>
      <c r="B54" s="221"/>
      <c r="C54" s="221"/>
      <c r="D54" s="221"/>
      <c r="E54" s="221"/>
      <c r="F54" s="221"/>
      <c r="G54" s="221"/>
      <c r="H54" s="221"/>
      <c r="I54" s="221"/>
      <c r="J54" s="221"/>
      <c r="K54" s="221"/>
      <c r="L54" s="221"/>
      <c r="M54" s="221"/>
    </row>
    <row r="55" spans="1:13" x14ac:dyDescent="0.25">
      <c r="A55" s="221"/>
      <c r="B55" s="221"/>
      <c r="C55" s="221"/>
      <c r="D55" s="221"/>
      <c r="E55" s="221"/>
      <c r="F55" s="221"/>
      <c r="G55" s="221"/>
      <c r="H55" s="221"/>
      <c r="I55" s="221"/>
      <c r="J55" s="221"/>
      <c r="K55" s="221"/>
      <c r="L55" s="221"/>
      <c r="M55" s="221"/>
    </row>
    <row r="56" spans="1:13" x14ac:dyDescent="0.25">
      <c r="A56" s="221"/>
      <c r="B56" s="221"/>
      <c r="C56" s="221"/>
      <c r="D56" s="221"/>
      <c r="E56" s="221"/>
      <c r="F56" s="221"/>
      <c r="G56" s="221"/>
      <c r="H56" s="221"/>
      <c r="I56" s="221"/>
      <c r="J56" s="221"/>
      <c r="K56" s="221"/>
      <c r="L56" s="221"/>
      <c r="M56" s="221"/>
    </row>
    <row r="57" spans="1:13" ht="38.25" customHeight="1" x14ac:dyDescent="0.25">
      <c r="A57" s="221"/>
      <c r="B57" s="221"/>
      <c r="C57" s="221"/>
      <c r="D57" s="221"/>
      <c r="E57" s="221"/>
      <c r="F57" s="221"/>
      <c r="G57" s="221"/>
      <c r="H57" s="221"/>
      <c r="I57" s="221"/>
      <c r="J57" s="221"/>
      <c r="K57" s="221"/>
      <c r="L57" s="221"/>
      <c r="M57" s="221"/>
    </row>
    <row r="60" spans="1:13" ht="18.75" x14ac:dyDescent="0.3">
      <c r="E60" s="44"/>
      <c r="F60" s="44"/>
      <c r="G60" s="44"/>
    </row>
    <row r="61" spans="1:13" ht="18.75" x14ac:dyDescent="0.3">
      <c r="E61" s="44"/>
      <c r="F61" s="44"/>
      <c r="G61" s="44"/>
      <c r="H61" s="44"/>
      <c r="I61" s="44"/>
      <c r="J61" s="44"/>
      <c r="K61" s="44"/>
      <c r="L61" s="44"/>
      <c r="M61" s="44"/>
    </row>
    <row r="62" spans="1:13" ht="18.75" x14ac:dyDescent="0.3">
      <c r="H62" s="44"/>
      <c r="I62" s="44"/>
      <c r="J62" s="44"/>
      <c r="K62" s="44"/>
      <c r="L62" s="44"/>
      <c r="M62" s="44"/>
    </row>
    <row r="77" spans="14:18" x14ac:dyDescent="0.25">
      <c r="N77" s="62"/>
      <c r="O77" s="62"/>
      <c r="P77" s="62"/>
      <c r="Q77" s="62"/>
      <c r="R77" s="62"/>
    </row>
    <row r="78" spans="14:18" x14ac:dyDescent="0.25">
      <c r="N78" s="62"/>
      <c r="O78" s="62"/>
      <c r="P78" s="62"/>
      <c r="Q78" s="62"/>
      <c r="R78" s="62"/>
    </row>
    <row r="79" spans="14:18" x14ac:dyDescent="0.25">
      <c r="N79" s="62"/>
      <c r="O79" s="62"/>
      <c r="P79" s="62"/>
      <c r="Q79" s="62"/>
      <c r="R79" s="62"/>
    </row>
  </sheetData>
  <sheetProtection algorithmName="SHA-512" hashValue="bGo6or3YhP0bsFhYjTgMlYBphGhBx13bvBB9i1tCiy/0Oal9lLce8mxUgBpaIBNYnHkWyf/r30t9YtT/h26kLg==" saltValue="Qc9rqvNUVY+uQJzXE9moMw==" spinCount="100000" sheet="1" selectLockedCells="1"/>
  <mergeCells count="2">
    <mergeCell ref="D7:E7"/>
    <mergeCell ref="D20:E20"/>
  </mergeCells>
  <conditionalFormatting sqref="F12">
    <cfRule type="expression" dxfId="38" priority="64">
      <formula>IF($F$12&lt;=($F$13*0.9),TRUE,FALSE)</formula>
    </cfRule>
  </conditionalFormatting>
  <conditionalFormatting sqref="F14 N13:O13 H14">
    <cfRule type="expression" dxfId="37" priority="54">
      <formula>IF($F$14&gt;4.8103428243,TRUE,FALSE)</formula>
    </cfRule>
  </conditionalFormatting>
  <conditionalFormatting sqref="F12 N12:O12">
    <cfRule type="expression" dxfId="36" priority="65">
      <formula>IF(AND($F$12&gt;($F$13*0.9),$F$12&lt;=$F$13),TRUE,FALSE)</formula>
    </cfRule>
    <cfRule type="expression" dxfId="35" priority="66">
      <formula>IF($F$12&gt;$F$13,TRUE,FALSE)</formula>
    </cfRule>
  </conditionalFormatting>
  <conditionalFormatting sqref="N11:O11">
    <cfRule type="expression" dxfId="34" priority="51">
      <formula>IF($N$11="LOUVER HEIGHT:",TRUE,FALSE)</formula>
    </cfRule>
  </conditionalFormatting>
  <conditionalFormatting sqref="N10:O10">
    <cfRule type="expression" dxfId="33" priority="46">
      <formula>IF($N$10="LOUVER WIDTH:",TRUE,FALSE)</formula>
    </cfRule>
  </conditionalFormatting>
  <conditionalFormatting sqref="N9:O9">
    <cfRule type="expression" dxfId="32" priority="45">
      <formula>IF($N$9="LOUVER LENGTH:",TRUE,FALSE)</formula>
    </cfRule>
  </conditionalFormatting>
  <conditionalFormatting sqref="N14 O14 F11 H11">
    <cfRule type="expression" dxfId="31" priority="43">
      <formula>IF($N$14="THROAT AREA:",TRUE,FALSE)</formula>
    </cfRule>
  </conditionalFormatting>
  <conditionalFormatting sqref="F25">
    <cfRule type="expression" dxfId="30" priority="37">
      <formula>IF($F$25&lt;=($F$26*0.9),TRUE,FALSE)</formula>
    </cfRule>
  </conditionalFormatting>
  <conditionalFormatting sqref="F27 N26:O26 H27">
    <cfRule type="expression" dxfId="29" priority="36">
      <formula>IF($F$27&gt;4.8103428243,TRUE,FALSE)</formula>
    </cfRule>
  </conditionalFormatting>
  <conditionalFormatting sqref="F25 N25:O25">
    <cfRule type="expression" dxfId="28" priority="38">
      <formula>IF(AND($F$25&gt;($F$26*0.9),$F$25&lt;=$F$26),TRUE,FALSE)</formula>
    </cfRule>
    <cfRule type="expression" dxfId="27" priority="39">
      <formula>IF($F$25&gt;$F$26,TRUE,FALSE)</formula>
    </cfRule>
  </conditionalFormatting>
  <conditionalFormatting sqref="N24:O24">
    <cfRule type="expression" dxfId="26" priority="35">
      <formula>IF($N$24="LOUVER HEIGHT:",TRUE,FALSE)</formula>
    </cfRule>
  </conditionalFormatting>
  <conditionalFormatting sqref="N27:O27 F24 H24">
    <cfRule type="expression" dxfId="25" priority="32">
      <formula>IF($N$27="THROAT AREA:",TRUE,FALSE)</formula>
    </cfRule>
  </conditionalFormatting>
  <conditionalFormatting sqref="H12">
    <cfRule type="expression" dxfId="24" priority="29">
      <formula>IF($F$12&lt;=($F$13*0.9),TRUE,FALSE)</formula>
    </cfRule>
  </conditionalFormatting>
  <conditionalFormatting sqref="H12">
    <cfRule type="expression" dxfId="23" priority="30">
      <formula>IF(AND($F$12&gt;($F$13*0.9),$F$12&lt;=$F$13),TRUE,FALSE)</formula>
    </cfRule>
    <cfRule type="expression" dxfId="22" priority="31">
      <formula>IF($F$12&gt;$F$13,TRUE,FALSE)</formula>
    </cfRule>
  </conditionalFormatting>
  <conditionalFormatting sqref="H25">
    <cfRule type="expression" dxfId="21" priority="26">
      <formula>IF($F$25&lt;=($F$26*0.9),TRUE,FALSE)</formula>
    </cfRule>
  </conditionalFormatting>
  <conditionalFormatting sqref="H25">
    <cfRule type="expression" dxfId="20" priority="27">
      <formula>IF(AND($F$25&gt;($F$26*0.9),$F$25&lt;=$F$26),TRUE,FALSE)</formula>
    </cfRule>
    <cfRule type="expression" dxfId="19" priority="28">
      <formula>IF($F$25&gt;$F$26,TRUE,FALSE)</formula>
    </cfRule>
  </conditionalFormatting>
  <conditionalFormatting sqref="N22:O22">
    <cfRule type="expression" dxfId="18" priority="23">
      <formula>IF($N$22="LOUVER LENGTH:",TRUE,FALSE)</formula>
    </cfRule>
  </conditionalFormatting>
  <conditionalFormatting sqref="N23:O23">
    <cfRule type="expression" dxfId="17" priority="20">
      <formula>IF($N$23="LOUVER WIDTH:",TRUE,FALSE)</formula>
    </cfRule>
  </conditionalFormatting>
  <conditionalFormatting sqref="N24:O24 B21">
    <cfRule type="expression" dxfId="16" priority="19">
      <formula>IF($N$24="MODEL:",TRUE,FALSE)</formula>
    </cfRule>
  </conditionalFormatting>
  <conditionalFormatting sqref="B12">
    <cfRule type="expression" dxfId="15" priority="12">
      <formula>IF($N$11="LOUVER HEIGHT:",TRUE,FALSE)</formula>
    </cfRule>
  </conditionalFormatting>
  <conditionalFormatting sqref="B11">
    <cfRule type="expression" dxfId="14" priority="11">
      <formula>IF($N$10="LOUVER WIDTH:",TRUE,FALSE)</formula>
    </cfRule>
  </conditionalFormatting>
  <conditionalFormatting sqref="B10">
    <cfRule type="expression" dxfId="13" priority="10">
      <formula>IF($N$9="LOUVER LENGTH:",TRUE,FALSE)</formula>
    </cfRule>
  </conditionalFormatting>
  <conditionalFormatting sqref="B24">
    <cfRule type="expression" dxfId="12" priority="4">
      <formula>IF($N$10="LOUVER WIDTH:",TRUE,FALSE)</formula>
    </cfRule>
  </conditionalFormatting>
  <conditionalFormatting sqref="B23">
    <cfRule type="expression" dxfId="11" priority="3">
      <formula>IF($N$9="LOUVER LENGTH:",TRUE,FALSE)</formula>
    </cfRule>
  </conditionalFormatting>
  <conditionalFormatting sqref="B25">
    <cfRule type="expression" dxfId="10" priority="2">
      <formula>IF($N$24="LOUVER HEIGHT:",TRUE,FALSE)</formula>
    </cfRule>
  </conditionalFormatting>
  <conditionalFormatting sqref="B25">
    <cfRule type="expression" dxfId="9" priority="1">
      <formula>IF($N$24="MODEL:",TRUE,FALSE)</formula>
    </cfRule>
  </conditionalFormatting>
  <dataValidations xWindow="288" yWindow="791" count="3">
    <dataValidation type="list" allowBlank="1" showErrorMessage="1" sqref="B21">
      <formula1>IF(OR(B25="ENTER HEIGHT",B25=""),MITERCORNER,INDIRECT("null"))</formula1>
    </dataValidation>
    <dataValidation type="list" allowBlank="1" showInputMessage="1" showErrorMessage="1" sqref="B8">
      <formula1>BOXCORNER</formula1>
    </dataValidation>
    <dataValidation type="list" allowBlank="1" showInputMessage="1" showErrorMessage="1" errorTitle="INVALID HEIGHT" error="Please select a height from the drop down list based on the chosen model._x000a_" sqref="B25">
      <formula1>INDIRECT($B$21)</formula1>
    </dataValidation>
  </dataValidations>
  <pageMargins left="0.7" right="0.7" top="0.75" bottom="0.75" header="0.3" footer="0.3"/>
  <pageSetup orientation="portrait" r:id="rId1"/>
  <ignoredErrors>
    <ignoredError sqref="H10 H23" formula="1"/>
    <ignoredError sqref="H15 F15" evalError="1"/>
  </ignoredErrors>
  <drawing r:id="rId2"/>
  <extLst>
    <ext xmlns:x14="http://schemas.microsoft.com/office/spreadsheetml/2009/9/main" uri="{CCE6A557-97BC-4b89-ADB6-D9C93CAAB3DF}">
      <x14:dataValidations xmlns:xm="http://schemas.microsoft.com/office/excel/2006/main" xWindow="288" yWindow="791" count="4">
        <x14:dataValidation type="list" allowBlank="1" showInputMessage="1" showErrorMessage="1">
          <x14:formula1>
            <xm:f>SHEETDATA!$E$2:$E$4</xm:f>
          </x14:formula1>
          <xm:sqref>B14 B27</xm:sqref>
        </x14:dataValidation>
        <x14:dataValidation type="list" allowBlank="1" showInputMessage="1" showErrorMessage="1">
          <x14:formula1>
            <xm:f>SHEETDATA!$E$10:$E$12</xm:f>
          </x14:formula1>
          <xm:sqref>B9 B22</xm:sqref>
        </x14:dataValidation>
        <x14:dataValidation type="list" allowBlank="1" showInputMessage="1" showErrorMessage="1">
          <x14:formula1>
            <xm:f>SHEETDATA!$E$5:$E$8</xm:f>
          </x14:formula1>
          <xm:sqref>B15 B28</xm:sqref>
        </x14:dataValidation>
        <x14:dataValidation type="list" allowBlank="1" showInputMessage="1" showErrorMessage="1">
          <x14:formula1>
            <xm:f>SHEETDATA!$E$14:$E$15</xm:f>
          </x14:formula1>
          <xm:sqref>A38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82"/>
  <sheetViews>
    <sheetView topLeftCell="AX1" zoomScale="55" zoomScaleNormal="55" workbookViewId="0">
      <selection activeCell="T39" sqref="T39"/>
    </sheetView>
  </sheetViews>
  <sheetFormatPr defaultRowHeight="15" x14ac:dyDescent="0.25"/>
  <cols>
    <col min="1" max="1" width="12.85546875" customWidth="1"/>
    <col min="2" max="2" width="20.28515625" customWidth="1"/>
    <col min="3" max="3" width="17.42578125"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28515625" customWidth="1"/>
    <col min="19" max="19" width="13.42578125" customWidth="1"/>
    <col min="20" max="20" width="10.28515625" customWidth="1"/>
    <col min="21" max="21" width="19.7109375" customWidth="1"/>
    <col min="22" max="22" width="14" customWidth="1"/>
    <col min="23" max="23" width="15.42578125" customWidth="1"/>
    <col min="24" max="24" width="12.85546875" customWidth="1"/>
    <col min="25" max="25" width="11.5703125" customWidth="1"/>
    <col min="26" max="26" width="11.7109375" customWidth="1"/>
    <col min="28" max="29" width="9.140625" customWidth="1"/>
    <col min="30" max="30" width="11.85546875" customWidth="1"/>
    <col min="31" max="31" width="9.140625" customWidth="1"/>
    <col min="32" max="32" width="8.7109375" customWidth="1"/>
    <col min="33" max="35" width="9.140625" customWidth="1"/>
    <col min="37" max="37" width="13.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188" t="s">
        <v>36</v>
      </c>
      <c r="C1" s="213" t="s">
        <v>192</v>
      </c>
      <c r="D1" s="189"/>
      <c r="E1" s="189"/>
      <c r="F1" s="189"/>
      <c r="G1" s="189"/>
      <c r="H1" s="189"/>
      <c r="I1" s="190"/>
    </row>
    <row r="2" spans="2:25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8" ht="18.75" x14ac:dyDescent="0.3">
      <c r="B3" s="214" t="s">
        <v>181</v>
      </c>
      <c r="C3" s="187" t="str">
        <f>IF('DATA ENTRY'!B9="mm",'DATA ENTRY'!B10/25.4,'DATA ENTRY'!B10)</f>
        <v>ENTER LENGTH</v>
      </c>
      <c r="D3" s="179"/>
      <c r="E3" s="40"/>
      <c r="F3" s="40"/>
      <c r="G3" s="215" t="s">
        <v>229</v>
      </c>
      <c r="H3" s="187">
        <v>12</v>
      </c>
      <c r="I3" s="191">
        <v>240</v>
      </c>
      <c r="N3" s="41"/>
      <c r="O3" s="40"/>
      <c r="P3" s="40"/>
      <c r="Q3" s="40"/>
      <c r="R3" s="40"/>
      <c r="S3" s="40"/>
      <c r="T3" s="40"/>
      <c r="U3" s="40"/>
      <c r="V3" s="40"/>
      <c r="W3" s="169"/>
    </row>
    <row r="4" spans="2:258" ht="18.75" x14ac:dyDescent="0.3">
      <c r="B4" s="214" t="s">
        <v>38</v>
      </c>
      <c r="C4" s="187" t="str">
        <f>IF('DATA ENTRY'!B9="mm",'DATA ENTRY'!B11/25.4,'DATA ENTRY'!B11)</f>
        <v>ENTER WIDTH</v>
      </c>
      <c r="D4" s="179"/>
      <c r="E4" s="40"/>
      <c r="F4" s="40"/>
      <c r="G4" s="215" t="s">
        <v>230</v>
      </c>
      <c r="H4" s="187">
        <v>12</v>
      </c>
      <c r="I4" s="191">
        <v>120</v>
      </c>
      <c r="N4" s="41"/>
      <c r="O4" s="173" t="str">
        <f>C1&amp;"_MODEL"</f>
        <v>BCDE635_MODEL</v>
      </c>
      <c r="P4" s="173" t="s">
        <v>239</v>
      </c>
      <c r="Q4" s="173"/>
      <c r="R4" s="173"/>
      <c r="S4" s="173"/>
      <c r="T4" s="40"/>
      <c r="U4" s="40"/>
      <c r="V4" s="179" t="s">
        <v>93</v>
      </c>
      <c r="W4" s="169"/>
    </row>
    <row r="5" spans="2:258" ht="18.75" x14ac:dyDescent="0.3">
      <c r="B5" s="214" t="s">
        <v>39</v>
      </c>
      <c r="C5" s="187" t="str">
        <f>IF(AND('DATA ENTRY'!B9="mm",'DATA ENTRY'!B12&gt;=257,'DATA ENTRY'!B12&lt;=257.4),10.13,IF('DATA ENTRY'!B9="mm",'DATA ENTRY'!B12/25.4,'DATA ENTRY'!B12))</f>
        <v>ENTER HEIGHT</v>
      </c>
      <c r="D5" s="179"/>
      <c r="E5" s="40"/>
      <c r="F5" s="40"/>
      <c r="G5" s="215" t="s">
        <v>231</v>
      </c>
      <c r="H5" s="187">
        <v>10.130000000000001</v>
      </c>
      <c r="I5" s="191">
        <v>72</v>
      </c>
      <c r="N5" s="171" t="s">
        <v>79</v>
      </c>
      <c r="O5" s="173" t="str">
        <f>C1&amp;"_FA"</f>
        <v>BCDE635_FA</v>
      </c>
      <c r="P5" s="175" t="str">
        <f>D83</f>
        <v/>
      </c>
      <c r="Q5" s="173" t="s">
        <v>42</v>
      </c>
      <c r="R5" s="40"/>
      <c r="S5" s="40"/>
      <c r="T5" s="40"/>
      <c r="U5" s="40"/>
      <c r="V5" s="173" t="str">
        <f>C1&amp;"_W"</f>
        <v>BCDE635_W</v>
      </c>
      <c r="W5" s="178" t="str">
        <f>C3</f>
        <v>ENTER LENGTH</v>
      </c>
    </row>
    <row r="6" spans="2:258" ht="18.75" x14ac:dyDescent="0.3">
      <c r="B6" s="214" t="s">
        <v>40</v>
      </c>
      <c r="C6" s="483" t="str">
        <f>IF('DATA ENTRY'!B9="mm",'DATA ENTRY'!B13*2.1188799727597,'DATA ENTRY'!B13)</f>
        <v>ENTER AIR VOLUME</v>
      </c>
      <c r="D6" s="215"/>
      <c r="E6" s="215"/>
      <c r="F6" s="40"/>
      <c r="G6" s="40"/>
      <c r="H6" s="40"/>
      <c r="I6" s="169"/>
      <c r="N6" s="171" t="s">
        <v>56</v>
      </c>
      <c r="O6" s="173" t="str">
        <f>C1&amp;"_FA%"</f>
        <v>BCDE635_FA%</v>
      </c>
      <c r="P6" s="176" t="e">
        <f>D85</f>
        <v>#VALUE!</v>
      </c>
      <c r="Q6" s="173" t="s">
        <v>13</v>
      </c>
      <c r="R6" s="40"/>
      <c r="S6" s="40"/>
      <c r="T6" s="40"/>
      <c r="U6" s="40"/>
      <c r="V6" s="173" t="str">
        <f>C1&amp;"_H"</f>
        <v>BCDE635_H</v>
      </c>
      <c r="W6" s="178" t="str">
        <f>C4</f>
        <v>ENTER WIDTH</v>
      </c>
    </row>
    <row r="7" spans="2:258" ht="18.75" x14ac:dyDescent="0.3">
      <c r="B7" s="214" t="s">
        <v>41</v>
      </c>
      <c r="C7" s="215" t="str">
        <f>'DATA ENTRY'!B14</f>
        <v>SELECT AIR DIRECTION</v>
      </c>
      <c r="D7" s="215"/>
      <c r="E7" s="215"/>
      <c r="F7" s="40"/>
      <c r="G7" s="40"/>
      <c r="H7" s="40"/>
      <c r="I7" s="169"/>
      <c r="N7" s="171" t="s">
        <v>82</v>
      </c>
      <c r="O7" s="173" t="str">
        <f>C1&amp;"_VEL"</f>
        <v>BCDE635_VEL</v>
      </c>
      <c r="P7" s="176" t="e">
        <f>D87</f>
        <v>#VALUE!</v>
      </c>
      <c r="Q7" s="173" t="s">
        <v>0</v>
      </c>
      <c r="R7" s="40"/>
      <c r="S7" s="40"/>
      <c r="T7" s="40"/>
      <c r="U7" s="40"/>
      <c r="V7" s="173" t="str">
        <f>C1&amp;"_SL"</f>
        <v>BCDE635_SL</v>
      </c>
      <c r="W7" s="178" t="e">
        <f>C9</f>
        <v>#VALUE!</v>
      </c>
    </row>
    <row r="8" spans="2:258" ht="18.75" x14ac:dyDescent="0.3">
      <c r="B8" s="214"/>
      <c r="C8" s="215"/>
      <c r="D8" s="215"/>
      <c r="E8" s="215"/>
      <c r="F8" s="40"/>
      <c r="G8" s="40"/>
      <c r="H8" s="40"/>
      <c r="I8" s="169"/>
      <c r="N8" s="171" t="s">
        <v>80</v>
      </c>
      <c r="O8" s="173" t="str">
        <f>C1&amp;"_Intake"</f>
        <v>BCDE635_Intake</v>
      </c>
      <c r="P8" s="177" t="e">
        <f>D88</f>
        <v>#VALUE!</v>
      </c>
      <c r="Q8" s="173" t="s">
        <v>85</v>
      </c>
      <c r="R8" s="40"/>
      <c r="S8" s="40"/>
      <c r="T8" s="40"/>
      <c r="U8" s="40"/>
      <c r="V8" s="173" t="str">
        <f>C1&amp;"_SW"</f>
        <v>BCDE635_SW</v>
      </c>
      <c r="W8" s="178" t="e">
        <f>F9</f>
        <v>#VALUE!</v>
      </c>
    </row>
    <row r="9" spans="2:258" ht="18.75" x14ac:dyDescent="0.3">
      <c r="B9" s="214" t="s">
        <v>183</v>
      </c>
      <c r="C9" s="462" t="e">
        <f>CEILING(C3/60,1)</f>
        <v>#VALUE!</v>
      </c>
      <c r="D9" s="215"/>
      <c r="E9" s="215" t="s">
        <v>60</v>
      </c>
      <c r="F9" s="462" t="e">
        <f>CEILING(C4/60,1)</f>
        <v>#VALUE!</v>
      </c>
      <c r="G9" s="40"/>
      <c r="H9" s="215" t="s">
        <v>61</v>
      </c>
      <c r="I9" s="463" t="e">
        <f>CEILING(C5/72,1)</f>
        <v>#VALUE!</v>
      </c>
      <c r="N9" s="171" t="s">
        <v>81</v>
      </c>
      <c r="O9" s="173" t="str">
        <f>C1&amp;"_Exhaust"</f>
        <v>BCDE635_Exhaust</v>
      </c>
      <c r="P9" s="177" t="e">
        <f>D89</f>
        <v>#VALUE!</v>
      </c>
      <c r="Q9" s="173" t="s">
        <v>85</v>
      </c>
      <c r="R9" s="40"/>
      <c r="S9" s="40"/>
      <c r="T9" s="40"/>
      <c r="U9" s="40"/>
      <c r="V9" s="173" t="str">
        <f>C1&amp;"_TA"</f>
        <v>BCDE635_TA</v>
      </c>
      <c r="W9" s="178">
        <f>IF(OR(C3&lt;H3,C4&lt;H4,C5&lt;H5,C3&gt;I3,C4&gt;I4,C5&gt;I5),0,(C3*C4)/144)</f>
        <v>0</v>
      </c>
    </row>
    <row r="10" spans="2:258" ht="18.75" x14ac:dyDescent="0.3">
      <c r="B10" s="214" t="s">
        <v>184</v>
      </c>
      <c r="C10" s="462" t="e">
        <f>(C3/C9)</f>
        <v>#VALUE!</v>
      </c>
      <c r="D10" s="215"/>
      <c r="E10" s="215" t="s">
        <v>58</v>
      </c>
      <c r="F10" s="462" t="e">
        <f>(C4/F9)</f>
        <v>#VALUE!</v>
      </c>
      <c r="G10" s="40"/>
      <c r="H10" s="215" t="s">
        <v>51</v>
      </c>
      <c r="I10" s="463" t="e">
        <f>(C5/I9)</f>
        <v>#VALUE!</v>
      </c>
      <c r="N10" s="171" t="s">
        <v>86</v>
      </c>
      <c r="O10" s="173" t="str">
        <f>C1&amp;"_SEC"</f>
        <v>BCDE635_SEC</v>
      </c>
      <c r="P10" s="173">
        <f>IF(OR(C3&lt;H3,C4&lt;H4,C5&lt;H5,C3&gt;I3,C4&gt;I4,C5&gt;I5),0,D13)</f>
        <v>0</v>
      </c>
      <c r="Q10" s="173"/>
      <c r="R10" s="40"/>
      <c r="S10" s="40"/>
      <c r="T10" s="40"/>
      <c r="U10" s="40"/>
      <c r="V10" s="40"/>
      <c r="W10" s="169"/>
    </row>
    <row r="11" spans="2:258" ht="18.75" x14ac:dyDescent="0.3">
      <c r="B11" s="214"/>
      <c r="C11" s="215"/>
      <c r="D11" s="215"/>
      <c r="E11" s="215"/>
      <c r="F11" s="215"/>
      <c r="G11" s="40"/>
      <c r="H11" s="40"/>
      <c r="I11" s="169"/>
      <c r="N11" s="171" t="s">
        <v>83</v>
      </c>
      <c r="O11" s="173" t="str">
        <f>C1&amp;"_SECW"</f>
        <v>BCDE635_SECW</v>
      </c>
      <c r="P11" s="194" t="e">
        <f>IF(OR(D3&gt;I3,D4&gt;I4,D5&gt;I5),0,AB81)</f>
        <v>#VALUE!</v>
      </c>
      <c r="Q11" s="173" t="s">
        <v>72</v>
      </c>
      <c r="R11" s="40"/>
      <c r="S11" s="40"/>
      <c r="T11" s="40"/>
      <c r="U11" s="40"/>
      <c r="V11" s="40"/>
      <c r="W11" s="169"/>
    </row>
    <row r="12" spans="2:258" ht="19.5" thickBot="1" x14ac:dyDescent="0.35">
      <c r="B12" s="41"/>
      <c r="C12" s="214" t="s">
        <v>185</v>
      </c>
      <c r="D12" s="462" t="e">
        <f>C9*I9</f>
        <v>#VALUE!</v>
      </c>
      <c r="E12" s="215"/>
      <c r="F12" s="215" t="s">
        <v>186</v>
      </c>
      <c r="G12" s="462" t="e">
        <f>F9*I9</f>
        <v>#VALUE!</v>
      </c>
      <c r="H12" s="40"/>
      <c r="I12" s="169"/>
      <c r="N12" s="172" t="s">
        <v>84</v>
      </c>
      <c r="O12" s="174" t="str">
        <f>C1&amp;"_TW"</f>
        <v>BCDE635_TW</v>
      </c>
      <c r="P12" s="416">
        <f>IF(OR(C3&lt;H3,C4&lt;H4,C5&lt;H5,C3&gt;I3,C4&gt;I4,C5&gt;I5),0,AB80)</f>
        <v>0</v>
      </c>
      <c r="Q12" s="174" t="s">
        <v>72</v>
      </c>
      <c r="R12" s="43"/>
      <c r="S12" s="43"/>
      <c r="T12" s="43"/>
      <c r="U12" s="43"/>
      <c r="V12" s="43"/>
      <c r="W12" s="170"/>
    </row>
    <row r="13" spans="2:258" ht="18.75" x14ac:dyDescent="0.3">
      <c r="B13" s="41"/>
      <c r="C13" s="215" t="s">
        <v>187</v>
      </c>
      <c r="D13" s="462" t="e">
        <f>IF(OR(C10=0,F10=0,I10=0),0,((2*D12)+(2*G12)))</f>
        <v>#VALUE!</v>
      </c>
      <c r="E13" s="187"/>
      <c r="F13" s="187"/>
      <c r="G13" s="187"/>
      <c r="H13" s="40"/>
      <c r="I13" s="169"/>
      <c r="L13" s="71"/>
      <c r="M13" s="71"/>
      <c r="N13" s="425"/>
      <c r="O13" s="425"/>
      <c r="P13" s="425"/>
      <c r="Q13" s="425"/>
      <c r="R13" s="193"/>
      <c r="S13" s="193"/>
      <c r="T13" s="193"/>
      <c r="U13" s="193"/>
      <c r="V13" s="193"/>
      <c r="W13" s="193"/>
      <c r="X13" s="71"/>
    </row>
    <row r="14" spans="2:258" ht="15.75" thickBot="1" x14ac:dyDescent="0.3">
      <c r="B14" s="42"/>
      <c r="C14" s="43"/>
      <c r="D14" s="43"/>
      <c r="E14" s="43"/>
      <c r="F14" s="43"/>
      <c r="G14" s="43"/>
      <c r="H14" s="43"/>
      <c r="I14" s="170"/>
      <c r="L14" s="71"/>
      <c r="M14" s="71"/>
      <c r="N14" s="71"/>
      <c r="O14" s="71"/>
      <c r="P14" s="71"/>
      <c r="Q14" s="71"/>
      <c r="R14" s="71"/>
      <c r="S14" s="71"/>
      <c r="T14" s="71"/>
      <c r="U14" s="71"/>
      <c r="V14" s="71"/>
      <c r="W14" s="71"/>
      <c r="X14" s="71"/>
    </row>
    <row r="15" spans="2:258" ht="27.75" thickTop="1" thickBot="1" x14ac:dyDescent="0.45">
      <c r="B15" s="73" t="s">
        <v>50</v>
      </c>
      <c r="C15" s="74"/>
      <c r="D15" s="998" t="s">
        <v>227</v>
      </c>
      <c r="E15" s="999"/>
      <c r="F15" s="999"/>
      <c r="G15" s="999"/>
      <c r="H15" s="999"/>
      <c r="I15" s="999"/>
      <c r="J15" s="999"/>
      <c r="K15" s="999"/>
      <c r="L15" s="999"/>
      <c r="M15" s="999"/>
      <c r="N15" s="999"/>
      <c r="O15" s="999"/>
      <c r="P15" s="999"/>
      <c r="Q15" s="999"/>
      <c r="R15" s="999"/>
      <c r="S15" s="999"/>
      <c r="T15" s="999"/>
      <c r="U15" s="999"/>
      <c r="V15" s="999"/>
      <c r="W15" s="1000"/>
      <c r="X15" s="74"/>
      <c r="Y15" s="75"/>
      <c r="AT15" s="978" t="s">
        <v>358</v>
      </c>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79"/>
      <c r="DW15" s="979"/>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79"/>
      <c r="ET15" s="979"/>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79"/>
      <c r="FT15" s="979"/>
      <c r="FU15" s="979"/>
      <c r="FV15" s="979"/>
      <c r="FW15" s="979"/>
      <c r="FX15" s="979"/>
      <c r="FY15" s="979"/>
      <c r="FZ15" s="979"/>
      <c r="GA15" s="979"/>
      <c r="GB15" s="979"/>
      <c r="GC15" s="979"/>
      <c r="GD15" s="979"/>
      <c r="GE15" s="979"/>
      <c r="GF15" s="979"/>
      <c r="GG15" s="979"/>
      <c r="GH15" s="979"/>
      <c r="GI15" s="979"/>
      <c r="GJ15" s="979"/>
      <c r="GK15" s="979"/>
      <c r="GL15" s="979"/>
      <c r="GM15" s="979"/>
      <c r="GN15" s="979"/>
      <c r="GO15" s="979"/>
      <c r="GP15" s="979"/>
      <c r="GQ15" s="979"/>
      <c r="GR15" s="979"/>
      <c r="GS15" s="979"/>
      <c r="GT15" s="979"/>
      <c r="GU15" s="979"/>
      <c r="GV15" s="979"/>
      <c r="GW15" s="979"/>
      <c r="GX15" s="979"/>
      <c r="GY15" s="979"/>
      <c r="GZ15" s="979"/>
      <c r="HA15" s="979"/>
      <c r="HB15" s="979"/>
      <c r="HC15" s="979"/>
      <c r="HD15" s="979"/>
      <c r="HE15" s="979"/>
      <c r="HF15" s="979"/>
      <c r="HG15" s="979"/>
      <c r="HH15" s="979"/>
      <c r="HI15" s="979"/>
      <c r="HJ15" s="979"/>
      <c r="HK15" s="979"/>
      <c r="HL15" s="979"/>
      <c r="HM15" s="979"/>
      <c r="HN15" s="979"/>
      <c r="HO15" s="979"/>
      <c r="HP15" s="979"/>
      <c r="HQ15" s="979"/>
      <c r="HR15" s="979"/>
      <c r="HS15" s="979"/>
      <c r="HT15" s="979"/>
      <c r="HU15" s="979"/>
      <c r="HV15" s="979"/>
      <c r="HW15" s="979"/>
      <c r="HX15" s="979"/>
      <c r="HY15" s="979"/>
      <c r="HZ15" s="979"/>
      <c r="IA15" s="979"/>
      <c r="IB15" s="979"/>
      <c r="IC15" s="979"/>
      <c r="ID15" s="979"/>
      <c r="IE15" s="979"/>
      <c r="IF15" s="979"/>
      <c r="IG15" s="979"/>
      <c r="IH15" s="979"/>
      <c r="II15" s="979"/>
      <c r="IJ15" s="979"/>
      <c r="IK15" s="979"/>
      <c r="IL15" s="979"/>
      <c r="IM15" s="979"/>
      <c r="IN15" s="979"/>
      <c r="IO15" s="979"/>
      <c r="IP15" s="979"/>
      <c r="IQ15" s="979"/>
      <c r="IR15" s="979"/>
      <c r="IS15" s="979"/>
      <c r="IT15" s="979"/>
      <c r="IU15" s="979"/>
      <c r="IV15" s="979"/>
      <c r="IW15" s="979"/>
      <c r="IX15" s="980"/>
    </row>
    <row r="16" spans="2:258" ht="15.75" customHeight="1" thickBot="1" x14ac:dyDescent="0.3">
      <c r="B16" s="47"/>
      <c r="C16" s="49"/>
      <c r="D16" s="49">
        <v>9</v>
      </c>
      <c r="E16" s="49">
        <v>12</v>
      </c>
      <c r="F16" s="49">
        <f>E16+6</f>
        <v>18</v>
      </c>
      <c r="G16" s="49">
        <f>F16+6</f>
        <v>24</v>
      </c>
      <c r="H16" s="49">
        <f>G16+6</f>
        <v>30</v>
      </c>
      <c r="I16" s="49">
        <f>H16+6</f>
        <v>36</v>
      </c>
      <c r="J16" s="49">
        <v>42</v>
      </c>
      <c r="K16" s="49">
        <v>48</v>
      </c>
      <c r="L16" s="49">
        <v>54</v>
      </c>
      <c r="M16" s="49">
        <v>60</v>
      </c>
      <c r="N16" s="49">
        <v>66</v>
      </c>
      <c r="O16" s="49">
        <v>72</v>
      </c>
      <c r="P16" s="49">
        <v>78</v>
      </c>
      <c r="Q16" s="49">
        <v>84</v>
      </c>
      <c r="R16" s="49">
        <v>90</v>
      </c>
      <c r="S16" s="49">
        <v>96</v>
      </c>
      <c r="T16" s="49">
        <v>102</v>
      </c>
      <c r="U16" s="49">
        <v>108</v>
      </c>
      <c r="V16" s="49">
        <v>114</v>
      </c>
      <c r="W16" s="49">
        <v>120</v>
      </c>
      <c r="X16" s="45"/>
      <c r="Y16" s="46"/>
      <c r="AT16" s="3"/>
      <c r="AU16" s="4"/>
      <c r="AV16" s="4"/>
      <c r="AW16" s="4"/>
      <c r="AX16" s="4"/>
      <c r="AY16" s="4"/>
      <c r="AZ16" s="4"/>
      <c r="BA16" s="4"/>
      <c r="BB16" s="4"/>
      <c r="BC16" s="4"/>
      <c r="BD16" s="4"/>
      <c r="BE16" s="4"/>
      <c r="BF16" s="4"/>
      <c r="BG16" s="4"/>
      <c r="BH16" s="5"/>
      <c r="BI16" s="6"/>
      <c r="BJ16" s="6"/>
      <c r="BK16" s="6"/>
      <c r="BL16" s="6"/>
      <c r="BM16" s="6"/>
      <c r="BN16" s="6"/>
      <c r="BO16" s="6"/>
      <c r="BP16" s="6"/>
      <c r="BQ16" s="6"/>
      <c r="BR16" s="5"/>
      <c r="BS16" s="6"/>
      <c r="BT16" s="6"/>
      <c r="BU16" s="6"/>
      <c r="BV16" s="6"/>
      <c r="BW16" s="6"/>
      <c r="BX16" s="6"/>
      <c r="BY16" s="6"/>
      <c r="BZ16" s="6"/>
      <c r="CA16" s="6"/>
      <c r="CB16" s="5"/>
      <c r="CC16" s="6"/>
      <c r="CD16" s="6"/>
      <c r="CE16" s="6"/>
      <c r="CF16" s="6"/>
      <c r="CG16" s="6"/>
      <c r="CH16" s="6"/>
      <c r="CI16" s="6"/>
      <c r="CJ16" s="6"/>
      <c r="CK16" s="6"/>
      <c r="CL16" s="5"/>
      <c r="CM16" s="6"/>
      <c r="CN16" s="6"/>
      <c r="CO16" s="6"/>
      <c r="CP16" s="6"/>
      <c r="CQ16" s="6"/>
      <c r="CR16" s="6"/>
      <c r="CS16" s="6"/>
      <c r="CT16" s="6"/>
      <c r="CU16" s="6"/>
      <c r="CV16" s="5"/>
      <c r="CW16" s="6"/>
      <c r="CX16" s="6"/>
      <c r="CY16" s="6"/>
      <c r="CZ16" s="6"/>
      <c r="DA16" s="6"/>
      <c r="DB16" s="6"/>
      <c r="DC16" s="6"/>
      <c r="DD16" s="6"/>
      <c r="DE16" s="6"/>
      <c r="DF16" s="5"/>
      <c r="DG16" s="6"/>
      <c r="DH16" s="6"/>
      <c r="DI16" s="6"/>
      <c r="DJ16" s="6"/>
      <c r="DK16" s="6"/>
      <c r="DL16" s="6"/>
      <c r="DM16" s="6"/>
      <c r="DN16" s="6"/>
      <c r="DO16" s="6"/>
      <c r="DP16" s="5"/>
      <c r="DQ16" s="6"/>
      <c r="DR16" s="6"/>
      <c r="DS16" s="6"/>
      <c r="DT16" s="6"/>
      <c r="DU16" s="6"/>
      <c r="DV16" s="6"/>
      <c r="DW16" s="6"/>
      <c r="DX16" s="6"/>
      <c r="DY16" s="6"/>
      <c r="DZ16" s="5"/>
      <c r="EA16" s="6"/>
      <c r="EB16" s="6"/>
      <c r="EC16" s="6"/>
      <c r="ED16" s="6"/>
      <c r="EE16" s="6"/>
      <c r="EF16" s="6"/>
      <c r="EG16" s="6"/>
      <c r="EH16" s="6"/>
      <c r="EI16" s="6"/>
      <c r="EJ16" s="5"/>
      <c r="EK16" s="6"/>
      <c r="EL16" s="6"/>
      <c r="EM16" s="6"/>
      <c r="EN16" s="6"/>
      <c r="EO16" s="6"/>
      <c r="EP16" s="6"/>
      <c r="EQ16" s="6"/>
      <c r="ER16" s="6"/>
      <c r="ES16" s="6"/>
      <c r="ET16" s="5"/>
      <c r="EU16" s="6"/>
      <c r="EV16" s="6"/>
      <c r="EW16" s="6"/>
      <c r="EX16" s="6"/>
      <c r="EY16" s="6"/>
      <c r="EZ16" s="6"/>
      <c r="FA16" s="6"/>
      <c r="FB16" s="6"/>
      <c r="FC16" s="6"/>
      <c r="FD16" s="5"/>
      <c r="FE16" s="6"/>
      <c r="FF16" s="6"/>
      <c r="FG16" s="6"/>
      <c r="FH16" s="6"/>
      <c r="FI16" s="6"/>
      <c r="FJ16" s="6"/>
      <c r="FK16" s="6"/>
      <c r="FL16" s="6"/>
      <c r="FM16" s="6"/>
      <c r="FN16" s="5"/>
      <c r="FO16" s="6"/>
      <c r="FP16" s="6"/>
      <c r="FQ16" s="6"/>
      <c r="FR16" s="6"/>
      <c r="FS16" s="6"/>
      <c r="FT16" s="6"/>
      <c r="FU16" s="6"/>
      <c r="FV16" s="6"/>
      <c r="FW16" s="6"/>
      <c r="FX16" s="5"/>
      <c r="FY16" s="6"/>
      <c r="FZ16" s="6"/>
      <c r="GA16" s="6"/>
      <c r="GB16" s="6"/>
      <c r="GC16" s="6"/>
      <c r="GD16" s="6"/>
      <c r="GE16" s="6"/>
      <c r="GF16" s="6"/>
      <c r="GG16" s="6"/>
      <c r="GH16" s="5"/>
      <c r="GI16" s="6"/>
      <c r="GJ16" s="6"/>
      <c r="GK16" s="6"/>
      <c r="GL16" s="6"/>
      <c r="GM16" s="6"/>
      <c r="GN16" s="6"/>
      <c r="GO16" s="6"/>
      <c r="GP16" s="6"/>
      <c r="GQ16" s="6"/>
      <c r="GR16" s="5"/>
      <c r="GS16" s="6"/>
      <c r="GT16" s="6"/>
      <c r="GU16" s="6"/>
      <c r="GV16" s="6"/>
      <c r="GW16" s="6"/>
      <c r="GX16" s="6"/>
      <c r="GY16" s="6"/>
      <c r="GZ16" s="6"/>
      <c r="HA16" s="6"/>
      <c r="HB16" s="5"/>
      <c r="HC16" s="6"/>
      <c r="HD16" s="6"/>
      <c r="HE16" s="6"/>
      <c r="HF16" s="6"/>
      <c r="HG16" s="6"/>
      <c r="HH16" s="6"/>
      <c r="HI16" s="6"/>
      <c r="HJ16" s="6"/>
      <c r="HK16" s="6"/>
      <c r="HL16" s="5"/>
      <c r="HM16" s="6"/>
      <c r="HN16" s="6"/>
      <c r="HO16" s="6"/>
      <c r="HP16" s="6"/>
      <c r="HQ16" s="6"/>
      <c r="HR16" s="6"/>
      <c r="HS16" s="6"/>
      <c r="HT16" s="6"/>
      <c r="HU16" s="6"/>
      <c r="HV16" s="5"/>
      <c r="HW16" s="6"/>
      <c r="HX16" s="6"/>
      <c r="HY16" s="6"/>
      <c r="HZ16" s="6"/>
      <c r="IA16" s="6"/>
      <c r="IB16" s="6"/>
      <c r="IC16" s="6"/>
      <c r="ID16" s="6"/>
      <c r="IE16" s="6"/>
      <c r="IF16" s="5"/>
      <c r="IG16" s="6"/>
      <c r="IH16" s="6"/>
      <c r="II16" s="6"/>
      <c r="IJ16" s="6"/>
      <c r="IK16" s="6"/>
      <c r="IL16" s="6"/>
      <c r="IM16" s="6"/>
      <c r="IN16" s="4"/>
      <c r="IO16" s="4"/>
      <c r="IP16" s="4"/>
      <c r="IQ16" s="4"/>
      <c r="IR16" s="4"/>
      <c r="IS16" s="4"/>
      <c r="IT16" s="4"/>
      <c r="IU16" s="4"/>
      <c r="IV16" s="4"/>
      <c r="IW16" s="4"/>
      <c r="IX16" s="7"/>
    </row>
    <row r="17" spans="2:258" ht="16.5" thickBot="1" x14ac:dyDescent="0.3">
      <c r="B17" s="81" t="s">
        <v>95</v>
      </c>
      <c r="C17" s="148">
        <v>1</v>
      </c>
      <c r="D17" s="464">
        <v>2</v>
      </c>
      <c r="E17" s="465">
        <v>3</v>
      </c>
      <c r="F17" s="465">
        <v>4</v>
      </c>
      <c r="G17" s="465">
        <v>5</v>
      </c>
      <c r="H17" s="465">
        <v>6</v>
      </c>
      <c r="I17" s="465">
        <v>7</v>
      </c>
      <c r="J17" s="465">
        <v>8</v>
      </c>
      <c r="K17" s="465">
        <v>9</v>
      </c>
      <c r="L17" s="465">
        <v>10</v>
      </c>
      <c r="M17" s="465">
        <v>11</v>
      </c>
      <c r="N17" s="465">
        <v>12</v>
      </c>
      <c r="O17" s="465">
        <v>13</v>
      </c>
      <c r="P17" s="465">
        <v>14</v>
      </c>
      <c r="Q17" s="465">
        <v>15</v>
      </c>
      <c r="R17" s="465">
        <v>16</v>
      </c>
      <c r="S17" s="465">
        <v>17</v>
      </c>
      <c r="T17" s="465">
        <v>18</v>
      </c>
      <c r="U17" s="465">
        <v>19</v>
      </c>
      <c r="V17" s="465">
        <v>20</v>
      </c>
      <c r="W17" s="466">
        <v>21</v>
      </c>
      <c r="X17" s="113"/>
      <c r="Y17" s="46"/>
      <c r="AT17" s="3"/>
      <c r="AU17" s="981" t="s">
        <v>14</v>
      </c>
      <c r="AV17" s="982"/>
      <c r="AW17" s="987" t="s">
        <v>15</v>
      </c>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8"/>
      <c r="GE17" s="988"/>
      <c r="GF17" s="988"/>
      <c r="GG17" s="988"/>
      <c r="GH17" s="988"/>
      <c r="GI17" s="988"/>
      <c r="GJ17" s="988"/>
      <c r="GK17" s="988"/>
      <c r="GL17" s="988"/>
      <c r="GM17" s="988"/>
      <c r="GN17" s="988"/>
      <c r="GO17" s="988"/>
      <c r="GP17" s="988"/>
      <c r="GQ17" s="988"/>
      <c r="GR17" s="988"/>
      <c r="GS17" s="988"/>
      <c r="GT17" s="988"/>
      <c r="GU17" s="988"/>
      <c r="GV17" s="988"/>
      <c r="GW17" s="988"/>
      <c r="GX17" s="988"/>
      <c r="GY17" s="988"/>
      <c r="GZ17" s="988"/>
      <c r="HA17" s="988"/>
      <c r="HB17" s="988"/>
      <c r="HC17" s="988"/>
      <c r="HD17" s="988"/>
      <c r="HE17" s="988"/>
      <c r="HF17" s="988"/>
      <c r="HG17" s="988"/>
      <c r="HH17" s="988"/>
      <c r="HI17" s="988"/>
      <c r="HJ17" s="988"/>
      <c r="HK17" s="988"/>
      <c r="HL17" s="988"/>
      <c r="HM17" s="988"/>
      <c r="HN17" s="988"/>
      <c r="HO17" s="988"/>
      <c r="HP17" s="988"/>
      <c r="HQ17" s="988"/>
      <c r="HR17" s="988"/>
      <c r="HS17" s="988"/>
      <c r="HT17" s="988"/>
      <c r="HU17" s="988"/>
      <c r="HV17" s="988"/>
      <c r="HW17" s="988"/>
      <c r="HX17" s="988"/>
      <c r="HY17" s="988"/>
      <c r="HZ17" s="988"/>
      <c r="IA17" s="988"/>
      <c r="IB17" s="988"/>
      <c r="IC17" s="988"/>
      <c r="ID17" s="988"/>
      <c r="IE17" s="988"/>
      <c r="IF17" s="988"/>
      <c r="IG17" s="988"/>
      <c r="IH17" s="456"/>
      <c r="II17" s="456"/>
      <c r="IJ17" s="456"/>
      <c r="IK17" s="456"/>
      <c r="IL17" s="456"/>
      <c r="IM17" s="456"/>
      <c r="IN17" s="141"/>
      <c r="IO17" s="143"/>
      <c r="IP17" s="4"/>
      <c r="IQ17" s="8"/>
      <c r="IR17" s="8"/>
      <c r="IS17" s="8"/>
      <c r="IT17" s="8"/>
      <c r="IU17" s="8"/>
      <c r="IV17" s="8"/>
      <c r="IW17" s="8"/>
      <c r="IX17" s="7"/>
    </row>
    <row r="18" spans="2:258" ht="15" customHeight="1" thickBot="1" x14ac:dyDescent="0.3">
      <c r="B18" s="79">
        <f>H5</f>
        <v>10.130000000000001</v>
      </c>
      <c r="C18" s="149">
        <v>2</v>
      </c>
      <c r="D18" s="486"/>
      <c r="E18" s="467">
        <f>BH21/((E$16*B18)/144)</f>
        <v>0.24697268838433692</v>
      </c>
      <c r="F18" s="467">
        <f t="shared" ref="F18:F29" si="0">BR21/((F$16*$B18)/144)</f>
        <v>0.28087090051552044</v>
      </c>
      <c r="G18" s="467">
        <f t="shared" ref="G18:G29" si="1">CB21/((G$16*$B18)/144)</f>
        <v>0.29782000658111218</v>
      </c>
      <c r="H18" s="467">
        <f t="shared" ref="H18:H29" si="2">CL21/((H$16*$B18)/144)</f>
        <v>0.30798947022046724</v>
      </c>
      <c r="I18" s="467">
        <f t="shared" ref="I18:I29" si="3">CV21/((I$16*$B18)/144)</f>
        <v>0.31476911264670393</v>
      </c>
      <c r="J18" s="467">
        <f t="shared" ref="J18:J29" si="4">DF21/((J$16*$B18)/144)</f>
        <v>0.31961171437973013</v>
      </c>
      <c r="K18" s="467">
        <f t="shared" ref="K18:K29" si="5">DP21/((K$16*$B18)/144)</f>
        <v>0.3232436656794998</v>
      </c>
      <c r="L18" s="467">
        <f t="shared" ref="L18:L29" si="6">DZ21/((L$16*$B18)/144)</f>
        <v>0.31961171437973018</v>
      </c>
      <c r="M18" s="467">
        <f t="shared" ref="M18:M29" si="7">EJ21/((M$16*$B18)/144)</f>
        <v>0.32251727541954589</v>
      </c>
      <c r="N18" s="489"/>
      <c r="O18" s="489"/>
      <c r="P18" s="489"/>
      <c r="Q18" s="489"/>
      <c r="R18" s="489"/>
      <c r="S18" s="489"/>
      <c r="T18" s="489"/>
      <c r="U18" s="489"/>
      <c r="V18" s="489"/>
      <c r="W18" s="489"/>
      <c r="X18" s="76"/>
      <c r="Y18" s="77"/>
      <c r="Z18" s="61"/>
      <c r="AA18" s="61"/>
      <c r="AT18" s="3"/>
      <c r="AU18" s="983"/>
      <c r="AV18" s="984"/>
      <c r="AW18" s="989"/>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c r="EE18" s="990"/>
      <c r="EF18" s="990"/>
      <c r="EG18" s="990"/>
      <c r="EH18" s="990"/>
      <c r="EI18" s="990"/>
      <c r="EJ18" s="990"/>
      <c r="EK18" s="990"/>
      <c r="EL18" s="990"/>
      <c r="EM18" s="990"/>
      <c r="EN18" s="990"/>
      <c r="EO18" s="990"/>
      <c r="EP18" s="990"/>
      <c r="EQ18" s="990"/>
      <c r="ER18" s="990"/>
      <c r="ES18" s="990"/>
      <c r="ET18" s="990"/>
      <c r="EU18" s="990"/>
      <c r="EV18" s="990"/>
      <c r="EW18" s="990"/>
      <c r="EX18" s="990"/>
      <c r="EY18" s="990"/>
      <c r="EZ18" s="990"/>
      <c r="FA18" s="990"/>
      <c r="FB18" s="990"/>
      <c r="FC18" s="990"/>
      <c r="FD18" s="990"/>
      <c r="FE18" s="990"/>
      <c r="FF18" s="990"/>
      <c r="FG18" s="990"/>
      <c r="FH18" s="990"/>
      <c r="FI18" s="990"/>
      <c r="FJ18" s="990"/>
      <c r="FK18" s="990"/>
      <c r="FL18" s="990"/>
      <c r="FM18" s="990"/>
      <c r="FN18" s="990"/>
      <c r="FO18" s="990"/>
      <c r="FP18" s="990"/>
      <c r="FQ18" s="990"/>
      <c r="FR18" s="990"/>
      <c r="FS18" s="990"/>
      <c r="FT18" s="990"/>
      <c r="FU18" s="990"/>
      <c r="FV18" s="990"/>
      <c r="FW18" s="990"/>
      <c r="FX18" s="990"/>
      <c r="FY18" s="990"/>
      <c r="FZ18" s="990"/>
      <c r="GA18" s="990"/>
      <c r="GB18" s="990"/>
      <c r="GC18" s="990"/>
      <c r="GD18" s="990"/>
      <c r="GE18" s="990"/>
      <c r="GF18" s="990"/>
      <c r="GG18" s="990"/>
      <c r="GH18" s="990"/>
      <c r="GI18" s="990"/>
      <c r="GJ18" s="990"/>
      <c r="GK18" s="990"/>
      <c r="GL18" s="990"/>
      <c r="GM18" s="990"/>
      <c r="GN18" s="990"/>
      <c r="GO18" s="990"/>
      <c r="GP18" s="990"/>
      <c r="GQ18" s="990"/>
      <c r="GR18" s="990"/>
      <c r="GS18" s="990"/>
      <c r="GT18" s="990"/>
      <c r="GU18" s="990"/>
      <c r="GV18" s="990"/>
      <c r="GW18" s="990"/>
      <c r="GX18" s="990"/>
      <c r="GY18" s="990"/>
      <c r="GZ18" s="990"/>
      <c r="HA18" s="990"/>
      <c r="HB18" s="990"/>
      <c r="HC18" s="990"/>
      <c r="HD18" s="990"/>
      <c r="HE18" s="990"/>
      <c r="HF18" s="990"/>
      <c r="HG18" s="990"/>
      <c r="HH18" s="990"/>
      <c r="HI18" s="990"/>
      <c r="HJ18" s="990"/>
      <c r="HK18" s="990"/>
      <c r="HL18" s="990"/>
      <c r="HM18" s="990"/>
      <c r="HN18" s="990"/>
      <c r="HO18" s="990"/>
      <c r="HP18" s="990"/>
      <c r="HQ18" s="990"/>
      <c r="HR18" s="990"/>
      <c r="HS18" s="990"/>
      <c r="HT18" s="990"/>
      <c r="HU18" s="990"/>
      <c r="HV18" s="990"/>
      <c r="HW18" s="990"/>
      <c r="HX18" s="990"/>
      <c r="HY18" s="990"/>
      <c r="HZ18" s="990"/>
      <c r="IA18" s="990"/>
      <c r="IB18" s="990"/>
      <c r="IC18" s="990"/>
      <c r="ID18" s="990"/>
      <c r="IE18" s="990"/>
      <c r="IF18" s="990"/>
      <c r="IG18" s="990"/>
      <c r="IH18" s="457"/>
      <c r="II18" s="457"/>
      <c r="IJ18" s="457"/>
      <c r="IK18" s="457"/>
      <c r="IL18" s="457"/>
      <c r="IM18" s="457"/>
      <c r="IN18" s="142"/>
      <c r="IO18" s="144"/>
      <c r="IP18" s="4"/>
      <c r="IQ18" s="991" t="s">
        <v>16</v>
      </c>
      <c r="IR18" s="992"/>
      <c r="IS18" s="992"/>
      <c r="IT18" s="992"/>
      <c r="IU18" s="992"/>
      <c r="IV18" s="992"/>
      <c r="IW18" s="993"/>
      <c r="IX18" s="7"/>
    </row>
    <row r="19" spans="2:258" ht="15.75" thickBot="1" x14ac:dyDescent="0.3">
      <c r="B19" s="79">
        <v>12</v>
      </c>
      <c r="C19" s="148">
        <v>3</v>
      </c>
      <c r="D19" s="487"/>
      <c r="E19" s="468">
        <f t="shared" ref="E19:E29" si="8">BH22/((E$16*B19)/144)</f>
        <v>0.31078125000000001</v>
      </c>
      <c r="F19" s="468">
        <f>BR22/((F$16*$B19)/144)</f>
        <v>0.35343750000000002</v>
      </c>
      <c r="G19" s="784">
        <f>CB22/((G$16*$B19)/144)</f>
        <v>0.37476562499999999</v>
      </c>
      <c r="H19" s="468">
        <f t="shared" si="2"/>
        <v>0.38756250000000003</v>
      </c>
      <c r="I19" s="468">
        <f t="shared" si="3"/>
        <v>0.39609375000000008</v>
      </c>
      <c r="J19" s="468">
        <f t="shared" si="4"/>
        <v>0.40218750000000003</v>
      </c>
      <c r="K19" s="468">
        <f t="shared" si="5"/>
        <v>0.40675781250000004</v>
      </c>
      <c r="L19" s="468">
        <f t="shared" si="6"/>
        <v>0.40218749999999998</v>
      </c>
      <c r="M19" s="468">
        <f t="shared" si="7"/>
        <v>0.40584375</v>
      </c>
      <c r="N19" s="488"/>
      <c r="O19" s="488"/>
      <c r="P19" s="488"/>
      <c r="Q19" s="488"/>
      <c r="R19" s="488"/>
      <c r="S19" s="488"/>
      <c r="T19" s="488"/>
      <c r="U19" s="488"/>
      <c r="V19" s="488"/>
      <c r="W19" s="488"/>
      <c r="X19" s="76"/>
      <c r="Y19" s="46"/>
      <c r="AA19" s="61"/>
      <c r="AT19" s="3"/>
      <c r="AU19" s="985"/>
      <c r="AV19" s="986"/>
      <c r="AW19" s="9"/>
      <c r="AX19" s="145">
        <v>9</v>
      </c>
      <c r="AY19" s="11" t="str">
        <f>"("&amp;ROUND(AX19*25.4/50,0)*50&amp;")"</f>
        <v>(250)</v>
      </c>
      <c r="AZ19" s="12" t="s">
        <v>17</v>
      </c>
      <c r="BA19" s="12" t="s">
        <v>18</v>
      </c>
      <c r="BB19" s="12" t="s">
        <v>19</v>
      </c>
      <c r="BC19" s="12" t="s">
        <v>20</v>
      </c>
      <c r="BD19" s="12" t="s">
        <v>21</v>
      </c>
      <c r="BE19" s="12" t="s">
        <v>22</v>
      </c>
      <c r="BF19" s="12" t="s">
        <v>23</v>
      </c>
      <c r="BG19" s="12" t="s">
        <v>24</v>
      </c>
      <c r="BH19" s="10">
        <v>12</v>
      </c>
      <c r="BI19" s="11" t="str">
        <f>"("&amp;ROUND(BH19*25.4/50,0)*50&amp;")"</f>
        <v>(300)</v>
      </c>
      <c r="BJ19" s="12" t="s">
        <v>17</v>
      </c>
      <c r="BK19" s="12" t="s">
        <v>18</v>
      </c>
      <c r="BL19" s="12" t="s">
        <v>19</v>
      </c>
      <c r="BM19" s="12" t="s">
        <v>20</v>
      </c>
      <c r="BN19" s="12" t="s">
        <v>21</v>
      </c>
      <c r="BO19" s="12" t="s">
        <v>22</v>
      </c>
      <c r="BP19" s="12" t="s">
        <v>23</v>
      </c>
      <c r="BQ19" s="12" t="s">
        <v>24</v>
      </c>
      <c r="BR19" s="10">
        <f>BH19+6</f>
        <v>18</v>
      </c>
      <c r="BS19" s="11" t="str">
        <f>"("&amp;ROUND(BR19*25.4/50,0)*50&amp;")"</f>
        <v>(450)</v>
      </c>
      <c r="BT19" s="12" t="s">
        <v>17</v>
      </c>
      <c r="BU19" s="12" t="s">
        <v>18</v>
      </c>
      <c r="BV19" s="12" t="s">
        <v>19</v>
      </c>
      <c r="BW19" s="12" t="s">
        <v>20</v>
      </c>
      <c r="BX19" s="12" t="s">
        <v>21</v>
      </c>
      <c r="BY19" s="12" t="s">
        <v>22</v>
      </c>
      <c r="BZ19" s="12" t="s">
        <v>23</v>
      </c>
      <c r="CA19" s="12" t="s">
        <v>24</v>
      </c>
      <c r="CB19" s="10">
        <f>BR19+6</f>
        <v>24</v>
      </c>
      <c r="CC19" s="11" t="str">
        <f>"("&amp;ROUND(CB19*25.4/50,0)*50&amp;")"</f>
        <v>(600)</v>
      </c>
      <c r="CD19" s="12" t="s">
        <v>17</v>
      </c>
      <c r="CE19" s="12" t="s">
        <v>18</v>
      </c>
      <c r="CF19" s="12" t="s">
        <v>19</v>
      </c>
      <c r="CG19" s="12" t="s">
        <v>20</v>
      </c>
      <c r="CH19" s="12" t="s">
        <v>21</v>
      </c>
      <c r="CI19" s="12" t="s">
        <v>22</v>
      </c>
      <c r="CJ19" s="12" t="s">
        <v>23</v>
      </c>
      <c r="CK19" s="12" t="s">
        <v>24</v>
      </c>
      <c r="CL19" s="10">
        <f>CB19+6</f>
        <v>30</v>
      </c>
      <c r="CM19" s="11" t="str">
        <f>"("&amp;ROUND(CL19*25.4/50,0)*50&amp;")"</f>
        <v>(750)</v>
      </c>
      <c r="CN19" s="12" t="s">
        <v>17</v>
      </c>
      <c r="CO19" s="12" t="s">
        <v>18</v>
      </c>
      <c r="CP19" s="12" t="s">
        <v>19</v>
      </c>
      <c r="CQ19" s="12" t="s">
        <v>20</v>
      </c>
      <c r="CR19" s="12" t="s">
        <v>21</v>
      </c>
      <c r="CS19" s="12" t="s">
        <v>22</v>
      </c>
      <c r="CT19" s="12" t="s">
        <v>23</v>
      </c>
      <c r="CU19" s="12" t="s">
        <v>24</v>
      </c>
      <c r="CV19" s="10">
        <f>CL19+6</f>
        <v>36</v>
      </c>
      <c r="CW19" s="11" t="str">
        <f>"("&amp;ROUND(CV19*25.4/50,0)*50&amp;")"</f>
        <v>(900)</v>
      </c>
      <c r="CX19" s="12" t="s">
        <v>17</v>
      </c>
      <c r="CY19" s="12" t="s">
        <v>18</v>
      </c>
      <c r="CZ19" s="12" t="s">
        <v>19</v>
      </c>
      <c r="DA19" s="12" t="s">
        <v>20</v>
      </c>
      <c r="DB19" s="12" t="s">
        <v>21</v>
      </c>
      <c r="DC19" s="12" t="s">
        <v>22</v>
      </c>
      <c r="DD19" s="12" t="s">
        <v>23</v>
      </c>
      <c r="DE19" s="12" t="s">
        <v>24</v>
      </c>
      <c r="DF19" s="10">
        <f>CV19+6</f>
        <v>42</v>
      </c>
      <c r="DG19" s="11" t="str">
        <f>"("&amp;ROUND(DF19*25.4/50,0)*50&amp;")"</f>
        <v>(1050)</v>
      </c>
      <c r="DH19" s="12" t="s">
        <v>17</v>
      </c>
      <c r="DI19" s="12" t="s">
        <v>18</v>
      </c>
      <c r="DJ19" s="12" t="s">
        <v>19</v>
      </c>
      <c r="DK19" s="12" t="s">
        <v>20</v>
      </c>
      <c r="DL19" s="12" t="s">
        <v>21</v>
      </c>
      <c r="DM19" s="12" t="s">
        <v>22</v>
      </c>
      <c r="DN19" s="12" t="s">
        <v>23</v>
      </c>
      <c r="DO19" s="12" t="s">
        <v>24</v>
      </c>
      <c r="DP19" s="10">
        <f>DF19+6</f>
        <v>48</v>
      </c>
      <c r="DQ19" s="11" t="str">
        <f>"("&amp;ROUND(DP19*25.4/50,0)*50&amp;")"</f>
        <v>(1200)</v>
      </c>
      <c r="DR19" s="12" t="s">
        <v>17</v>
      </c>
      <c r="DS19" s="12" t="s">
        <v>18</v>
      </c>
      <c r="DT19" s="12" t="s">
        <v>19</v>
      </c>
      <c r="DU19" s="12" t="s">
        <v>20</v>
      </c>
      <c r="DV19" s="12" t="s">
        <v>21</v>
      </c>
      <c r="DW19" s="12" t="s">
        <v>22</v>
      </c>
      <c r="DX19" s="12" t="s">
        <v>23</v>
      </c>
      <c r="DY19" s="12" t="s">
        <v>24</v>
      </c>
      <c r="DZ19" s="10">
        <f>DP19+6</f>
        <v>54</v>
      </c>
      <c r="EA19" s="11" t="str">
        <f>"("&amp;ROUND(DZ19*25.4/50,0)*50&amp;")"</f>
        <v>(1350)</v>
      </c>
      <c r="EB19" s="12" t="s">
        <v>17</v>
      </c>
      <c r="EC19" s="12" t="s">
        <v>18</v>
      </c>
      <c r="ED19" s="12" t="s">
        <v>19</v>
      </c>
      <c r="EE19" s="12" t="s">
        <v>20</v>
      </c>
      <c r="EF19" s="12" t="s">
        <v>21</v>
      </c>
      <c r="EG19" s="12" t="s">
        <v>22</v>
      </c>
      <c r="EH19" s="12" t="s">
        <v>23</v>
      </c>
      <c r="EI19" s="12" t="s">
        <v>24</v>
      </c>
      <c r="EJ19" s="10">
        <f>DZ19+6</f>
        <v>60</v>
      </c>
      <c r="EK19" s="11" t="str">
        <f>"("&amp;ROUND(EJ19*25.4/50,0)*50&amp;")"</f>
        <v>(1500)</v>
      </c>
      <c r="EL19" s="12" t="s">
        <v>17</v>
      </c>
      <c r="EM19" s="12" t="s">
        <v>18</v>
      </c>
      <c r="EN19" s="12" t="s">
        <v>19</v>
      </c>
      <c r="EO19" s="12" t="s">
        <v>20</v>
      </c>
      <c r="EP19" s="12" t="s">
        <v>21</v>
      </c>
      <c r="EQ19" s="12" t="s">
        <v>22</v>
      </c>
      <c r="ER19" s="12" t="s">
        <v>23</v>
      </c>
      <c r="ES19" s="12" t="s">
        <v>24</v>
      </c>
      <c r="ET19" s="10">
        <f>EJ19+6</f>
        <v>66</v>
      </c>
      <c r="EU19" s="11" t="str">
        <f>"("&amp;ROUND(ET19*25.4/50,0)*50&amp;")"</f>
        <v>(1700)</v>
      </c>
      <c r="EV19" s="12" t="s">
        <v>17</v>
      </c>
      <c r="EW19" s="12" t="s">
        <v>18</v>
      </c>
      <c r="EX19" s="12" t="s">
        <v>19</v>
      </c>
      <c r="EY19" s="12" t="s">
        <v>20</v>
      </c>
      <c r="EZ19" s="12" t="s">
        <v>21</v>
      </c>
      <c r="FA19" s="12" t="s">
        <v>22</v>
      </c>
      <c r="FB19" s="12" t="s">
        <v>23</v>
      </c>
      <c r="FC19" s="12" t="s">
        <v>24</v>
      </c>
      <c r="FD19" s="10">
        <f>ET19+6</f>
        <v>72</v>
      </c>
      <c r="FE19" s="11" t="str">
        <f>"("&amp;ROUND(FD19*25.4/50,0)*50&amp;")"</f>
        <v>(1850)</v>
      </c>
      <c r="FF19" s="12" t="s">
        <v>17</v>
      </c>
      <c r="FG19" s="12" t="s">
        <v>18</v>
      </c>
      <c r="FH19" s="12" t="s">
        <v>19</v>
      </c>
      <c r="FI19" s="12" t="s">
        <v>20</v>
      </c>
      <c r="FJ19" s="12" t="s">
        <v>21</v>
      </c>
      <c r="FK19" s="12" t="s">
        <v>22</v>
      </c>
      <c r="FL19" s="12" t="s">
        <v>23</v>
      </c>
      <c r="FM19" s="12" t="s">
        <v>24</v>
      </c>
      <c r="FN19" s="10">
        <f>FD19+6</f>
        <v>78</v>
      </c>
      <c r="FO19" s="11" t="str">
        <f>"("&amp;ROUND(FN19*25.4/50,0)*50&amp;")"</f>
        <v>(2000)</v>
      </c>
      <c r="FP19" s="12" t="s">
        <v>17</v>
      </c>
      <c r="FQ19" s="12" t="s">
        <v>18</v>
      </c>
      <c r="FR19" s="12" t="s">
        <v>19</v>
      </c>
      <c r="FS19" s="12" t="s">
        <v>20</v>
      </c>
      <c r="FT19" s="12" t="s">
        <v>21</v>
      </c>
      <c r="FU19" s="12" t="s">
        <v>22</v>
      </c>
      <c r="FV19" s="12" t="s">
        <v>23</v>
      </c>
      <c r="FW19" s="12" t="s">
        <v>24</v>
      </c>
      <c r="FX19" s="10">
        <f>FN19+6</f>
        <v>84</v>
      </c>
      <c r="FY19" s="11" t="str">
        <f>"("&amp;ROUND(FX19*25.4/50,0)*50&amp;")"</f>
        <v>(2150)</v>
      </c>
      <c r="FZ19" s="12" t="s">
        <v>17</v>
      </c>
      <c r="GA19" s="12" t="s">
        <v>18</v>
      </c>
      <c r="GB19" s="12" t="s">
        <v>19</v>
      </c>
      <c r="GC19" s="12" t="s">
        <v>20</v>
      </c>
      <c r="GD19" s="12" t="s">
        <v>21</v>
      </c>
      <c r="GE19" s="12" t="s">
        <v>22</v>
      </c>
      <c r="GF19" s="12" t="s">
        <v>23</v>
      </c>
      <c r="GG19" s="12" t="s">
        <v>24</v>
      </c>
      <c r="GH19" s="10">
        <f>FX19+6</f>
        <v>90</v>
      </c>
      <c r="GI19" s="11" t="str">
        <f>"("&amp;ROUND(GH19*25.4/50,0)*50&amp;")"</f>
        <v>(2300)</v>
      </c>
      <c r="GJ19" s="12" t="s">
        <v>17</v>
      </c>
      <c r="GK19" s="12" t="s">
        <v>18</v>
      </c>
      <c r="GL19" s="12" t="s">
        <v>19</v>
      </c>
      <c r="GM19" s="12" t="s">
        <v>20</v>
      </c>
      <c r="GN19" s="12" t="s">
        <v>21</v>
      </c>
      <c r="GO19" s="12" t="s">
        <v>22</v>
      </c>
      <c r="GP19" s="12" t="s">
        <v>23</v>
      </c>
      <c r="GQ19" s="12" t="s">
        <v>24</v>
      </c>
      <c r="GR19" s="10">
        <f>GH19+6</f>
        <v>96</v>
      </c>
      <c r="GS19" s="11" t="str">
        <f>"("&amp;ROUND(GR19*25.4/50,0)*50&amp;")"</f>
        <v>(2450)</v>
      </c>
      <c r="GT19" s="12" t="s">
        <v>17</v>
      </c>
      <c r="GU19" s="12" t="s">
        <v>18</v>
      </c>
      <c r="GV19" s="12" t="s">
        <v>19</v>
      </c>
      <c r="GW19" s="12" t="s">
        <v>20</v>
      </c>
      <c r="GX19" s="12" t="s">
        <v>21</v>
      </c>
      <c r="GY19" s="12" t="s">
        <v>22</v>
      </c>
      <c r="GZ19" s="12" t="s">
        <v>23</v>
      </c>
      <c r="HA19" s="12" t="s">
        <v>24</v>
      </c>
      <c r="HB19" s="10">
        <f>GR19+6</f>
        <v>102</v>
      </c>
      <c r="HC19" s="11" t="str">
        <f>"("&amp;ROUND(HB19*25.4/50,0)*50&amp;")"</f>
        <v>(2600)</v>
      </c>
      <c r="HD19" s="12" t="s">
        <v>17</v>
      </c>
      <c r="HE19" s="12" t="s">
        <v>18</v>
      </c>
      <c r="HF19" s="12" t="s">
        <v>19</v>
      </c>
      <c r="HG19" s="12" t="s">
        <v>20</v>
      </c>
      <c r="HH19" s="12" t="s">
        <v>21</v>
      </c>
      <c r="HI19" s="12" t="s">
        <v>22</v>
      </c>
      <c r="HJ19" s="12" t="s">
        <v>23</v>
      </c>
      <c r="HK19" s="12" t="s">
        <v>24</v>
      </c>
      <c r="HL19" s="10">
        <f>HB19+6</f>
        <v>108</v>
      </c>
      <c r="HM19" s="11" t="str">
        <f>"("&amp;ROUND(HL19*25.4/50,0)*50&amp;")"</f>
        <v>(2750)</v>
      </c>
      <c r="HN19" s="12" t="s">
        <v>17</v>
      </c>
      <c r="HO19" s="12" t="s">
        <v>18</v>
      </c>
      <c r="HP19" s="12" t="s">
        <v>19</v>
      </c>
      <c r="HQ19" s="12" t="s">
        <v>20</v>
      </c>
      <c r="HR19" s="12" t="s">
        <v>21</v>
      </c>
      <c r="HS19" s="12" t="s">
        <v>22</v>
      </c>
      <c r="HT19" s="12" t="s">
        <v>23</v>
      </c>
      <c r="HU19" s="12" t="s">
        <v>24</v>
      </c>
      <c r="HV19" s="10">
        <f>HL19+6</f>
        <v>114</v>
      </c>
      <c r="HW19" s="11" t="str">
        <f>"("&amp;ROUND(HV19*25.4/50,0)*50&amp;")"</f>
        <v>(2900)</v>
      </c>
      <c r="HX19" s="12" t="s">
        <v>17</v>
      </c>
      <c r="HY19" s="12" t="s">
        <v>18</v>
      </c>
      <c r="HZ19" s="12" t="s">
        <v>19</v>
      </c>
      <c r="IA19" s="12" t="s">
        <v>20</v>
      </c>
      <c r="IB19" s="12" t="s">
        <v>21</v>
      </c>
      <c r="IC19" s="12" t="s">
        <v>22</v>
      </c>
      <c r="ID19" s="12" t="s">
        <v>23</v>
      </c>
      <c r="IE19" s="12" t="s">
        <v>24</v>
      </c>
      <c r="IF19" s="10">
        <f>HV19+6</f>
        <v>120</v>
      </c>
      <c r="IG19" s="11" t="str">
        <f>"("&amp;ROUND(IF19*25.4/50,0)*50&amp;")"</f>
        <v>(3050)</v>
      </c>
      <c r="IH19" s="12" t="s">
        <v>17</v>
      </c>
      <c r="II19" s="12" t="s">
        <v>18</v>
      </c>
      <c r="IJ19" s="12" t="s">
        <v>19</v>
      </c>
      <c r="IK19" s="12" t="s">
        <v>20</v>
      </c>
      <c r="IL19" s="12" t="s">
        <v>21</v>
      </c>
      <c r="IM19" s="12" t="s">
        <v>22</v>
      </c>
      <c r="IN19" s="12" t="s">
        <v>23</v>
      </c>
      <c r="IO19" s="12" t="s">
        <v>24</v>
      </c>
      <c r="IP19" s="14"/>
      <c r="IQ19" s="15" t="s">
        <v>25</v>
      </c>
      <c r="IR19" s="15" t="s">
        <v>26</v>
      </c>
      <c r="IS19" s="15" t="s">
        <v>27</v>
      </c>
      <c r="IT19" s="15" t="s">
        <v>28</v>
      </c>
      <c r="IU19" s="15" t="s">
        <v>29</v>
      </c>
      <c r="IV19" s="15" t="s">
        <v>30</v>
      </c>
      <c r="IW19" s="15" t="s">
        <v>31</v>
      </c>
      <c r="IX19" s="7"/>
    </row>
    <row r="20" spans="2:258" ht="15.75" thickBot="1" x14ac:dyDescent="0.3">
      <c r="B20" s="79">
        <f>B19+6</f>
        <v>18</v>
      </c>
      <c r="C20" s="147">
        <v>4</v>
      </c>
      <c r="D20" s="487"/>
      <c r="E20" s="468">
        <f t="shared" si="8"/>
        <v>0.34358101851851847</v>
      </c>
      <c r="F20" s="468">
        <f t="shared" si="0"/>
        <v>0.39073919753086417</v>
      </c>
      <c r="G20" s="784">
        <f>CB23/((G$16*$B20)/144)</f>
        <v>0.41431828703703705</v>
      </c>
      <c r="H20" s="468">
        <f t="shared" si="2"/>
        <v>0.42846574074074073</v>
      </c>
      <c r="I20" s="468">
        <f t="shared" si="3"/>
        <v>0.43789737654320987</v>
      </c>
      <c r="J20" s="468">
        <f t="shared" si="4"/>
        <v>0.44463425925925926</v>
      </c>
      <c r="K20" s="468">
        <f t="shared" si="5"/>
        <v>0.44968692129629623</v>
      </c>
      <c r="L20" s="468">
        <f t="shared" si="6"/>
        <v>0.44463425925925926</v>
      </c>
      <c r="M20" s="468">
        <f t="shared" si="7"/>
        <v>0.44867638888888889</v>
      </c>
      <c r="N20" s="488"/>
      <c r="O20" s="488"/>
      <c r="P20" s="488"/>
      <c r="Q20" s="488"/>
      <c r="R20" s="488"/>
      <c r="S20" s="488"/>
      <c r="T20" s="488"/>
      <c r="U20" s="488"/>
      <c r="V20" s="488"/>
      <c r="W20" s="488"/>
      <c r="X20" s="76"/>
      <c r="Y20" s="46"/>
      <c r="AA20" s="61"/>
      <c r="AT20" s="3"/>
      <c r="AU20" s="9"/>
      <c r="AV20" s="16"/>
      <c r="AW20" s="17"/>
      <c r="AX20" s="17"/>
      <c r="AY20" s="17"/>
      <c r="AZ20" s="11"/>
      <c r="BA20" s="11"/>
      <c r="BB20" s="11"/>
      <c r="BC20" s="11"/>
      <c r="BD20" s="11"/>
      <c r="BE20" s="11"/>
      <c r="BF20" s="11"/>
      <c r="BG20" s="11"/>
      <c r="BH20" s="10"/>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4"/>
      <c r="IQ20" s="15"/>
      <c r="IR20" s="15"/>
      <c r="IS20" s="15"/>
      <c r="IT20" s="15"/>
      <c r="IU20" s="15"/>
      <c r="IV20" s="15"/>
      <c r="IW20" s="15"/>
      <c r="IX20" s="7"/>
    </row>
    <row r="21" spans="2:258" ht="18" customHeight="1" thickBot="1" x14ac:dyDescent="0.3">
      <c r="B21" s="79">
        <f t="shared" ref="B21:B37" si="9">B20+6</f>
        <v>24</v>
      </c>
      <c r="C21" s="148">
        <v>5</v>
      </c>
      <c r="D21" s="487"/>
      <c r="E21" s="468">
        <f t="shared" si="8"/>
        <v>0.38595312500000001</v>
      </c>
      <c r="F21" s="468">
        <f t="shared" si="0"/>
        <v>0.43892708333333336</v>
      </c>
      <c r="G21" s="468">
        <f t="shared" si="1"/>
        <v>0.46541406250000006</v>
      </c>
      <c r="H21" s="468">
        <f t="shared" si="2"/>
        <v>0.48130624999999999</v>
      </c>
      <c r="I21" s="468">
        <f t="shared" si="3"/>
        <v>0.49190104166666665</v>
      </c>
      <c r="J21" s="468">
        <f t="shared" si="4"/>
        <v>0.49946875000000002</v>
      </c>
      <c r="K21" s="468">
        <f t="shared" si="5"/>
        <v>0.50514453125000003</v>
      </c>
      <c r="L21" s="468">
        <f t="shared" si="6"/>
        <v>0.49946875000000002</v>
      </c>
      <c r="M21" s="468">
        <f t="shared" si="7"/>
        <v>0.50400937500000009</v>
      </c>
      <c r="N21" s="488"/>
      <c r="O21" s="488"/>
      <c r="P21" s="488"/>
      <c r="Q21" s="488"/>
      <c r="R21" s="488"/>
      <c r="S21" s="488"/>
      <c r="T21" s="488"/>
      <c r="U21" s="488"/>
      <c r="V21" s="488"/>
      <c r="W21" s="488"/>
      <c r="X21" s="76"/>
      <c r="Y21" s="46"/>
      <c r="AA21" s="61"/>
      <c r="AT21" s="3"/>
      <c r="AU21" s="145">
        <f>H5</f>
        <v>10.130000000000001</v>
      </c>
      <c r="AV21" s="11" t="str">
        <f t="shared" ref="AV21:AV40" si="10">"("&amp;ROUND(AU21*25.4/50,0)*50&amp;")"</f>
        <v>(250)</v>
      </c>
      <c r="AW21" s="146"/>
      <c r="AX21" s="19">
        <f t="shared" ref="AX21:AX40" si="11">($IR21+(($IQ21-1)*$IS21)+$IT21)*BG21/144</f>
        <v>0.13490277777777779</v>
      </c>
      <c r="AY21" s="20" t="str">
        <f t="shared" ref="AY21:AY40" si="12">"("&amp;FIXED(AX21*0.092903,2)&amp;")"</f>
        <v>(0.01)</v>
      </c>
      <c r="AZ21" s="21">
        <v>2</v>
      </c>
      <c r="BA21" s="21">
        <f t="shared" ref="BA21:BA40" si="13">$IU$22*AZ21</f>
        <v>3.5</v>
      </c>
      <c r="BB21" s="21">
        <v>0</v>
      </c>
      <c r="BC21" s="21">
        <f t="shared" ref="BC21:BC40" si="14">$IW$22*BB21</f>
        <v>0</v>
      </c>
      <c r="BD21" s="21">
        <v>0</v>
      </c>
      <c r="BE21" s="21">
        <f t="shared" ref="BE21:BE40" si="15">$IV$22*BD21</f>
        <v>0</v>
      </c>
      <c r="BF21" s="21">
        <f t="shared" ref="BF21:BF40" si="16">BA21+BC21+BE21</f>
        <v>3.5</v>
      </c>
      <c r="BG21" s="22">
        <f t="shared" ref="BG21:BG40" si="17">AX$19-BA21-BC21-BE21</f>
        <v>5.5</v>
      </c>
      <c r="BH21" s="19">
        <f t="shared" ref="BH21:BH40" si="18">($IR21+(($IQ21-1)*$IS21)+$IT21)*BQ21/144</f>
        <v>0.20848611111111109</v>
      </c>
      <c r="BI21" s="20" t="str">
        <f t="shared" ref="BI21:BI40" si="19">"("&amp;FIXED(BH21*0.092903,2)&amp;")"</f>
        <v>(0.02)</v>
      </c>
      <c r="BJ21" s="21">
        <v>2</v>
      </c>
      <c r="BK21" s="21">
        <f t="shared" ref="BK21:BK40" si="20">$IU$22*BJ21</f>
        <v>3.5</v>
      </c>
      <c r="BL21" s="21">
        <v>0</v>
      </c>
      <c r="BM21" s="21">
        <f t="shared" ref="BM21:BM40" si="21">$IW$22*BL21</f>
        <v>0</v>
      </c>
      <c r="BN21" s="21">
        <v>0</v>
      </c>
      <c r="BO21" s="21">
        <f t="shared" ref="BO21:BO40" si="22">$IV$22*BN21</f>
        <v>0</v>
      </c>
      <c r="BP21" s="21">
        <f t="shared" ref="BP21:BP40" si="23">BK21+BM21+BO21</f>
        <v>3.5</v>
      </c>
      <c r="BQ21" s="22">
        <f t="shared" ref="BQ21:BQ40" si="24">BH$19-BK21-BM21-BO21</f>
        <v>8.5</v>
      </c>
      <c r="BR21" s="19">
        <f t="shared" ref="BR21:BR40" si="25">($IR21+(($IQ21-1)*$IS21)+$IT21)*CA21/144</f>
        <v>0.35565277777777776</v>
      </c>
      <c r="BS21" s="20" t="str">
        <f t="shared" ref="BS21:BS40" si="26">"("&amp;ROUND(BR21*0.092903,2)&amp;")"</f>
        <v>(0.03)</v>
      </c>
      <c r="BT21" s="21">
        <v>2</v>
      </c>
      <c r="BU21" s="21">
        <f t="shared" ref="BU21:BU40" si="27">$IU$22*BT21</f>
        <v>3.5</v>
      </c>
      <c r="BV21" s="21">
        <v>0</v>
      </c>
      <c r="BW21" s="21">
        <f t="shared" ref="BW21:BW40" si="28">$IW$22*BV21</f>
        <v>0</v>
      </c>
      <c r="BX21" s="21">
        <v>0</v>
      </c>
      <c r="BY21" s="21">
        <f t="shared" ref="BY21:BY40" si="29">$IV$22*BX21</f>
        <v>0</v>
      </c>
      <c r="BZ21" s="21">
        <f t="shared" ref="BZ21:BZ40" si="30">BU21+BW21+BY21</f>
        <v>3.5</v>
      </c>
      <c r="CA21" s="22">
        <f t="shared" ref="CA21:CA40" si="31">BR$19-BU21-BW21-BY21</f>
        <v>14.5</v>
      </c>
      <c r="CB21" s="19">
        <f t="shared" ref="CB21:CB40" si="32">($IR21+(($IQ21-1)*$IS21)+$IT21)*CK21/144</f>
        <v>0.50281944444444449</v>
      </c>
      <c r="CC21" s="20" t="str">
        <f t="shared" ref="CC21:CC40" si="33">"("&amp;ROUND(CB21*0.092903,2)&amp;")"</f>
        <v>(0.05)</v>
      </c>
      <c r="CD21" s="21">
        <v>2</v>
      </c>
      <c r="CE21" s="21">
        <f t="shared" ref="CE21:CE40" si="34">$IU$22*CD21</f>
        <v>3.5</v>
      </c>
      <c r="CF21" s="21">
        <v>0</v>
      </c>
      <c r="CG21" s="21">
        <f t="shared" ref="CG21:CG40" si="35">$IW$22*CF21</f>
        <v>0</v>
      </c>
      <c r="CH21" s="21">
        <v>0</v>
      </c>
      <c r="CI21" s="21">
        <f t="shared" ref="CI21:CI40" si="36">$IV$22*CH21</f>
        <v>0</v>
      </c>
      <c r="CJ21" s="21">
        <f t="shared" ref="CJ21:CJ40" si="37">CE21+CG21+CI21</f>
        <v>3.5</v>
      </c>
      <c r="CK21" s="22">
        <f t="shared" ref="CK21:CK40" si="38">CB$19-CE21-CG21-CI21</f>
        <v>20.5</v>
      </c>
      <c r="CL21" s="19">
        <f t="shared" ref="CL21:CL40" si="39">($IR21+(($IQ21-1)*$IS21)+$IT21)*CU21/144</f>
        <v>0.64998611111111115</v>
      </c>
      <c r="CM21" s="20" t="str">
        <f t="shared" ref="CM21:CM40" si="40">"("&amp;ROUND(CL21*0.092903,2)&amp;")"</f>
        <v>(0.06)</v>
      </c>
      <c r="CN21" s="21">
        <v>2</v>
      </c>
      <c r="CO21" s="21">
        <f t="shared" ref="CO21:CO40" si="41">$IU$22*CN21</f>
        <v>3.5</v>
      </c>
      <c r="CP21" s="21">
        <v>0</v>
      </c>
      <c r="CQ21" s="21">
        <f t="shared" ref="CQ21:CQ40" si="42">$IW$22*CP21</f>
        <v>0</v>
      </c>
      <c r="CR21" s="21">
        <v>0</v>
      </c>
      <c r="CS21" s="21">
        <f t="shared" ref="CS21:CS40" si="43">$IV$22*CR21</f>
        <v>0</v>
      </c>
      <c r="CT21" s="21">
        <f t="shared" ref="CT21:CT40" si="44">CO21+CQ21+CS21</f>
        <v>3.5</v>
      </c>
      <c r="CU21" s="22">
        <f t="shared" ref="CU21:CU40" si="45">CL$19-CO21-CQ21-CS21</f>
        <v>26.5</v>
      </c>
      <c r="CV21" s="19">
        <f t="shared" ref="CV21:CV40" si="46">($IR21+(($IQ21-1)*$IS21)+$IT21)*DE21/144</f>
        <v>0.79715277777777782</v>
      </c>
      <c r="CW21" s="20" t="str">
        <f t="shared" ref="CW21:CW40" si="47">"("&amp;ROUND(CV21*0.092903,2)&amp;")"</f>
        <v>(0.07)</v>
      </c>
      <c r="CX21" s="21">
        <v>2</v>
      </c>
      <c r="CY21" s="21">
        <f t="shared" ref="CY21:CY40" si="48">$IU$22*CX21</f>
        <v>3.5</v>
      </c>
      <c r="CZ21" s="21">
        <v>0</v>
      </c>
      <c r="DA21" s="21">
        <f t="shared" ref="DA21:DA40" si="49">$IW$22*CZ21</f>
        <v>0</v>
      </c>
      <c r="DB21" s="21">
        <v>0</v>
      </c>
      <c r="DC21" s="21">
        <f t="shared" ref="DC21:DC40" si="50">$IV$22*DB21</f>
        <v>0</v>
      </c>
      <c r="DD21" s="21">
        <f t="shared" ref="DD21:DD40" si="51">CY21+DA21+DC21</f>
        <v>3.5</v>
      </c>
      <c r="DE21" s="22">
        <f t="shared" ref="DE21:DE40" si="52">CV$19-CY21-DA21-DC21</f>
        <v>32.5</v>
      </c>
      <c r="DF21" s="19">
        <f t="shared" ref="DF21:DF40" si="53">($IR21+(($IQ21-1)*$IS21)+$IT21)*DO21/144</f>
        <v>0.94431944444444449</v>
      </c>
      <c r="DG21" s="20" t="str">
        <f t="shared" ref="DG21:DG40" si="54">"("&amp;ROUND(DF21*0.092903,2)&amp;")"</f>
        <v>(0.09)</v>
      </c>
      <c r="DH21" s="21">
        <v>2</v>
      </c>
      <c r="DI21" s="21">
        <f t="shared" ref="DI21:DI40" si="55">$IU$22*DH21</f>
        <v>3.5</v>
      </c>
      <c r="DJ21" s="21">
        <v>0</v>
      </c>
      <c r="DK21" s="21">
        <f t="shared" ref="DK21:DK40" si="56">$IW$22*DJ21</f>
        <v>0</v>
      </c>
      <c r="DL21" s="21">
        <v>0</v>
      </c>
      <c r="DM21" s="21">
        <f t="shared" ref="DM21:DM40" si="57">$IV$22*DL21</f>
        <v>0</v>
      </c>
      <c r="DN21" s="21">
        <f t="shared" ref="DN21:DN40" si="58">DI21+DK21+DM21</f>
        <v>3.5</v>
      </c>
      <c r="DO21" s="22">
        <f t="shared" ref="DO21:DO40" si="59">DF$19-DI21-DK21-DM21</f>
        <v>38.5</v>
      </c>
      <c r="DP21" s="19">
        <f t="shared" ref="DP21:DP40" si="60">($IR21+(($IQ21-1)*$IS21)+$IT21)*DY21/144</f>
        <v>1.0914861111111112</v>
      </c>
      <c r="DQ21" s="20" t="str">
        <f t="shared" ref="DQ21:DQ40" si="61">"("&amp;ROUND(DP21*0.092903,2)&amp;")"</f>
        <v>(0.1)</v>
      </c>
      <c r="DR21" s="21">
        <v>2</v>
      </c>
      <c r="DS21" s="21">
        <f t="shared" ref="DS21:DS40" si="62">$IU$22*DR21</f>
        <v>3.5</v>
      </c>
      <c r="DT21" s="21">
        <v>0</v>
      </c>
      <c r="DU21" s="21">
        <f t="shared" ref="DU21:DU40" si="63">$IW$22*DT21</f>
        <v>0</v>
      </c>
      <c r="DV21" s="21">
        <v>0</v>
      </c>
      <c r="DW21" s="21">
        <f t="shared" ref="DW21:DW40" si="64">$IV$22*DV21</f>
        <v>0</v>
      </c>
      <c r="DX21" s="21">
        <f t="shared" ref="DX21:DX40" si="65">DS21+DU21+DW21</f>
        <v>3.5</v>
      </c>
      <c r="DY21" s="22">
        <f t="shared" ref="DY21:DY40" si="66">DP$19-DS21-DU21-DW21</f>
        <v>44.5</v>
      </c>
      <c r="DZ21" s="19">
        <f t="shared" ref="DZ21:DZ40" si="67">($IR21+(($IQ21-1)*$IS21)+$IT21)*EI21/144</f>
        <v>1.2141250000000001</v>
      </c>
      <c r="EA21" s="20" t="str">
        <f t="shared" ref="EA21:EA40" si="68">"("&amp;FIXED(DZ21*0.092903,2)&amp;")"</f>
        <v>(0.11)</v>
      </c>
      <c r="EB21" s="21">
        <v>2</v>
      </c>
      <c r="EC21" s="21">
        <f t="shared" ref="EC21:EC40" si="69">$IU$22*EB21</f>
        <v>3.5</v>
      </c>
      <c r="ED21" s="21">
        <v>0</v>
      </c>
      <c r="EE21" s="21">
        <f t="shared" ref="EE21:EE40" si="70">$IW$22*ED21</f>
        <v>0</v>
      </c>
      <c r="EF21" s="21">
        <v>1</v>
      </c>
      <c r="EG21" s="21">
        <f t="shared" ref="EG21:EG40" si="71">$IV$22*EF21</f>
        <v>1</v>
      </c>
      <c r="EH21" s="21">
        <f t="shared" ref="EH21:EH40" si="72">EC21+EE21+EG21</f>
        <v>4.5</v>
      </c>
      <c r="EI21" s="22">
        <f t="shared" ref="EI21:EI40" si="73">DZ$19-EC21-EE21-EG21</f>
        <v>49.5</v>
      </c>
      <c r="EJ21" s="19">
        <f t="shared" ref="EJ21:EJ40" si="74">($IR21+(($IQ21-1)*$IS21)+$IT21)*ES21/144</f>
        <v>1.3612916666666668</v>
      </c>
      <c r="EK21" s="20" t="str">
        <f t="shared" ref="EK21:EK40" si="75">"("&amp;FIXED(EJ21*0.092903,2)&amp;")"</f>
        <v>(0.13)</v>
      </c>
      <c r="EL21" s="21">
        <v>2</v>
      </c>
      <c r="EM21" s="21">
        <f t="shared" ref="EM21:EM40" si="76">$IU$22*EL21</f>
        <v>3.5</v>
      </c>
      <c r="EN21" s="21">
        <v>0</v>
      </c>
      <c r="EO21" s="21">
        <f t="shared" ref="EO21:EO40" si="77">$IW$22*EN21</f>
        <v>0</v>
      </c>
      <c r="EP21" s="21">
        <v>1</v>
      </c>
      <c r="EQ21" s="21">
        <f t="shared" ref="EQ21:EQ40" si="78">$IV$22*EP21</f>
        <v>1</v>
      </c>
      <c r="ER21" s="21">
        <f t="shared" ref="ER21:ER40" si="79">EM21+EO21+EQ21</f>
        <v>4.5</v>
      </c>
      <c r="ES21" s="22">
        <f t="shared" ref="ES21:ES40" si="80">EJ$19-EM21-EO21-EQ21</f>
        <v>55.5</v>
      </c>
      <c r="ET21" s="19">
        <f t="shared" ref="ET21:ET40" si="81">($IR21+(($IQ21-1)*$IS21)+$IT21)*FC21/144</f>
        <v>1.5084583333333332</v>
      </c>
      <c r="EU21" s="20" t="str">
        <f t="shared" ref="EU21:EU40" si="82">"("&amp;FIXED(ET21*0.092903,2)&amp;")"</f>
        <v>(0.14)</v>
      </c>
      <c r="EV21" s="21">
        <v>2</v>
      </c>
      <c r="EW21" s="21">
        <f t="shared" ref="EW21:EW40" si="83">$IU$22*EV21</f>
        <v>3.5</v>
      </c>
      <c r="EX21" s="21">
        <v>0</v>
      </c>
      <c r="EY21" s="21">
        <f t="shared" ref="EY21:EY40" si="84">$IW$22*EX21</f>
        <v>0</v>
      </c>
      <c r="EZ21" s="21">
        <v>1</v>
      </c>
      <c r="FA21" s="21">
        <f t="shared" ref="FA21:FA40" si="85">$IV$22*EZ21</f>
        <v>1</v>
      </c>
      <c r="FB21" s="21">
        <f t="shared" ref="FB21:FB40" si="86">EW21+EY21+FA21</f>
        <v>4.5</v>
      </c>
      <c r="FC21" s="22">
        <f t="shared" ref="FC21:FC40" si="87">ET$19-EW21-EY21-FA21</f>
        <v>61.5</v>
      </c>
      <c r="FD21" s="19">
        <f t="shared" ref="FD21:FD40" si="88">($IR21+(($IQ21-1)*$IS21)+$IT21)*FM21/144</f>
        <v>1.6801527777777778</v>
      </c>
      <c r="FE21" s="20" t="str">
        <f t="shared" ref="FE21:FE40" si="89">"("&amp;FIXED(FD21*0.092903,2)&amp;")"</f>
        <v>(0.16)</v>
      </c>
      <c r="FF21" s="21">
        <v>2</v>
      </c>
      <c r="FG21" s="21">
        <f t="shared" ref="FG21:FG40" si="90">$IU$22*FF21</f>
        <v>3.5</v>
      </c>
      <c r="FH21" s="469">
        <v>0</v>
      </c>
      <c r="FI21" s="21">
        <f t="shared" ref="FI21:FI40" si="91">$IW$22*FH21</f>
        <v>0</v>
      </c>
      <c r="FJ21" s="21">
        <v>0</v>
      </c>
      <c r="FK21" s="21">
        <f t="shared" ref="FK21:FK40" si="92">$IV$22*FJ21</f>
        <v>0</v>
      </c>
      <c r="FL21" s="21">
        <f t="shared" ref="FL21:FL40" si="93">FG21+FI21+FK21</f>
        <v>3.5</v>
      </c>
      <c r="FM21" s="22">
        <f t="shared" ref="FM21:FM40" si="94">FD$19-FG21-FI21-FK21</f>
        <v>68.5</v>
      </c>
      <c r="FN21" s="19">
        <f t="shared" ref="FN21:FN32" si="95">($IR21+(($IQ21-1)*$IS21)+$IT21)*FW21/144</f>
        <v>1.7997256944444446</v>
      </c>
      <c r="FO21" s="20" t="str">
        <f t="shared" ref="FO21:FO32" si="96">"("&amp;FIXED(FN21*0.092903,2)&amp;")"</f>
        <v>(0.17)</v>
      </c>
      <c r="FP21" s="21">
        <v>2</v>
      </c>
      <c r="FQ21" s="21">
        <f t="shared" ref="FQ21:FQ32" si="97">$IU$22*FP21</f>
        <v>3.5</v>
      </c>
      <c r="FR21" s="21">
        <v>1</v>
      </c>
      <c r="FS21" s="21">
        <f t="shared" ref="FS21:FS32" si="98">$IW$22*FR21</f>
        <v>1.125</v>
      </c>
      <c r="FT21" s="21">
        <v>0</v>
      </c>
      <c r="FU21" s="21">
        <f t="shared" ref="FU21:FU32" si="99">$IV$22*FT21</f>
        <v>0</v>
      </c>
      <c r="FV21" s="21">
        <f t="shared" ref="FV21:FV32" si="100">FQ21+FS21+FU21</f>
        <v>4.625</v>
      </c>
      <c r="FW21" s="22">
        <f t="shared" ref="FW21:FW32" si="101">FN$19-FQ21-FS21-FU21</f>
        <v>73.375</v>
      </c>
      <c r="FX21" s="19">
        <f t="shared" ref="FX21:FX32" si="102">($IR21+(($IQ21-1)*$IS21)+$IT21)*GG21/144</f>
        <v>1.9468923611111113</v>
      </c>
      <c r="FY21" s="20" t="str">
        <f t="shared" ref="FY21:FY32" si="103">"("&amp;FIXED(FX21*0.092903,2)&amp;")"</f>
        <v>(0.18)</v>
      </c>
      <c r="FZ21" s="21">
        <v>2</v>
      </c>
      <c r="GA21" s="21">
        <f t="shared" ref="GA21:GA32" si="104">$IU$22*FZ21</f>
        <v>3.5</v>
      </c>
      <c r="GB21" s="21">
        <v>1</v>
      </c>
      <c r="GC21" s="21">
        <f t="shared" ref="GC21:GC32" si="105">$IW$22*GB21</f>
        <v>1.125</v>
      </c>
      <c r="GD21" s="21">
        <v>0</v>
      </c>
      <c r="GE21" s="21">
        <f t="shared" ref="GE21:GE32" si="106">$IV$22*GD21</f>
        <v>0</v>
      </c>
      <c r="GF21" s="21">
        <f t="shared" ref="GF21:GF32" si="107">GA21+GC21+GE21</f>
        <v>4.625</v>
      </c>
      <c r="GG21" s="22">
        <f t="shared" ref="GG21:GG32" si="108">FX$19-GA21-GC21-GE21</f>
        <v>79.375</v>
      </c>
      <c r="GH21" s="19">
        <f t="shared" ref="GH21:GH32" si="109">($IR21+(($IQ21-1)*$IS21)+$IT21)*GQ21/144</f>
        <v>2.094059027777778</v>
      </c>
      <c r="GI21" s="20" t="str">
        <f t="shared" ref="GI21:GI32" si="110">"("&amp;FIXED(GH21*0.092903,2)&amp;")"</f>
        <v>(0.19)</v>
      </c>
      <c r="GJ21" s="21">
        <v>2</v>
      </c>
      <c r="GK21" s="21">
        <f t="shared" ref="GK21:GK32" si="111">$IU$22*GJ21</f>
        <v>3.5</v>
      </c>
      <c r="GL21" s="21">
        <v>1</v>
      </c>
      <c r="GM21" s="21">
        <f t="shared" ref="GM21:GM32" si="112">$IW$22*GL21</f>
        <v>1.125</v>
      </c>
      <c r="GN21" s="21">
        <v>0</v>
      </c>
      <c r="GO21" s="21">
        <f t="shared" ref="GO21:GO32" si="113">$IV$22*GN21</f>
        <v>0</v>
      </c>
      <c r="GP21" s="21">
        <f t="shared" ref="GP21:GP32" si="114">GK21+GM21+GO21</f>
        <v>4.625</v>
      </c>
      <c r="GQ21" s="22">
        <f t="shared" ref="GQ21:GQ32" si="115">GH$19-GK21-GM21-GO21</f>
        <v>85.375</v>
      </c>
      <c r="GR21" s="19">
        <f t="shared" ref="GR21:GR32" si="116">($IR21+(($IQ21-1)*$IS21)+$IT21)*HA21/144</f>
        <v>2.2412256944444442</v>
      </c>
      <c r="GS21" s="20" t="str">
        <f t="shared" ref="GS21:GS32" si="117">"("&amp;FIXED(GR21*0.092903,2)&amp;")"</f>
        <v>(0.21)</v>
      </c>
      <c r="GT21" s="21">
        <v>2</v>
      </c>
      <c r="GU21" s="21">
        <f t="shared" ref="GU21:GU32" si="118">$IU$22*GT21</f>
        <v>3.5</v>
      </c>
      <c r="GV21" s="21">
        <v>1</v>
      </c>
      <c r="GW21" s="21">
        <f t="shared" ref="GW21:GW32" si="119">$IW$22*GV21</f>
        <v>1.125</v>
      </c>
      <c r="GX21" s="21">
        <v>0</v>
      </c>
      <c r="GY21" s="21">
        <f t="shared" ref="GY21:GY32" si="120">$IV$22*GX21</f>
        <v>0</v>
      </c>
      <c r="GZ21" s="21">
        <f t="shared" ref="GZ21:GZ32" si="121">GU21+GW21+GY21</f>
        <v>4.625</v>
      </c>
      <c r="HA21" s="22">
        <f t="shared" ref="HA21:HA32" si="122">GR$19-GU21-GW21-GY21</f>
        <v>91.375</v>
      </c>
      <c r="HB21" s="19">
        <f t="shared" ref="HB21:HB32" si="123">($IR21+(($IQ21-1)*$IS21)+$IT21)*HK21/144</f>
        <v>2.3883923611111109</v>
      </c>
      <c r="HC21" s="20" t="str">
        <f t="shared" ref="HC21:HC32" si="124">"("&amp;FIXED(HB21*0.092903,2)&amp;")"</f>
        <v>(0.22)</v>
      </c>
      <c r="HD21" s="21">
        <v>2</v>
      </c>
      <c r="HE21" s="21">
        <f t="shared" ref="HE21:HE32" si="125">$IU$22*HD21</f>
        <v>3.5</v>
      </c>
      <c r="HF21" s="21">
        <v>1</v>
      </c>
      <c r="HG21" s="21">
        <f t="shared" ref="HG21:HG32" si="126">$IW$22*HF21</f>
        <v>1.125</v>
      </c>
      <c r="HH21" s="21">
        <v>0</v>
      </c>
      <c r="HI21" s="21">
        <f t="shared" ref="HI21:HI32" si="127">$IV$22*HH21</f>
        <v>0</v>
      </c>
      <c r="HJ21" s="21">
        <f t="shared" ref="HJ21:HJ32" si="128">HE21+HG21+HI21</f>
        <v>4.625</v>
      </c>
      <c r="HK21" s="22">
        <f t="shared" ref="HK21:HK32" si="129">HB$19-HE21-HG21-HI21</f>
        <v>97.375</v>
      </c>
      <c r="HL21" s="19">
        <f t="shared" ref="HL21:HL32" si="130">($IR21+(($IQ21-1)*$IS21)+$IT21)*HU21/144</f>
        <v>2.4865034722222226</v>
      </c>
      <c r="HM21" s="20" t="str">
        <f t="shared" ref="HM21:HM32" si="131">"("&amp;FIXED(HL21*0.092903,2)&amp;")"</f>
        <v>(0.23)</v>
      </c>
      <c r="HN21" s="21">
        <v>2</v>
      </c>
      <c r="HO21" s="21">
        <f t="shared" ref="HO21:HO32" si="132">$IU$22*HN21</f>
        <v>3.5</v>
      </c>
      <c r="HP21" s="21">
        <v>1</v>
      </c>
      <c r="HQ21" s="21">
        <f t="shared" ref="HQ21:HQ32" si="133">$IW$22*HP21</f>
        <v>1.125</v>
      </c>
      <c r="HR21" s="21">
        <v>2</v>
      </c>
      <c r="HS21" s="21">
        <f t="shared" ref="HS21:HS32" si="134">$IV$22*HR21</f>
        <v>2</v>
      </c>
      <c r="HT21" s="21">
        <f t="shared" ref="HT21:HT32" si="135">HO21+HQ21+HS21</f>
        <v>6.625</v>
      </c>
      <c r="HU21" s="22">
        <f t="shared" ref="HU21:HU32" si="136">HL$19-HO21-HQ21-HS21</f>
        <v>101.375</v>
      </c>
      <c r="HV21" s="19">
        <f t="shared" ref="HV21:HV32" si="137">($IR21+(($IQ21-1)*$IS21)+$IT21)*IE21/144</f>
        <v>2.6336701388888888</v>
      </c>
      <c r="HW21" s="20" t="str">
        <f t="shared" ref="HW21:HW32" si="138">"("&amp;FIXED(HV21*0.092903,2)&amp;")"</f>
        <v>(0.24)</v>
      </c>
      <c r="HX21" s="21">
        <v>2</v>
      </c>
      <c r="HY21" s="21">
        <f t="shared" ref="HY21:HY32" si="139">$IU$22*HX21</f>
        <v>3.5</v>
      </c>
      <c r="HZ21" s="21">
        <v>1</v>
      </c>
      <c r="IA21" s="21">
        <f t="shared" ref="IA21:IA32" si="140">$IW$22*HZ21</f>
        <v>1.125</v>
      </c>
      <c r="IB21" s="21">
        <v>2</v>
      </c>
      <c r="IC21" s="21">
        <f t="shared" ref="IC21:IC32" si="141">$IV$22*IB21</f>
        <v>2</v>
      </c>
      <c r="ID21" s="21">
        <f t="shared" ref="ID21:ID32" si="142">HY21+IA21+IC21</f>
        <v>6.625</v>
      </c>
      <c r="IE21" s="22">
        <f t="shared" ref="IE21:IE32" si="143">HV$19-HY21-IA21-IC21</f>
        <v>107.375</v>
      </c>
      <c r="IF21" s="19">
        <f t="shared" ref="IF21:IF32" si="144">($IR21+(($IQ21-1)*$IS21)+$IT21)*IO21/144</f>
        <v>2.7808368055555555</v>
      </c>
      <c r="IG21" s="20" t="str">
        <f t="shared" ref="IG21:IG32" si="145">"("&amp;FIXED(IF21*0.092903,2)&amp;")"</f>
        <v>(0.26)</v>
      </c>
      <c r="IH21" s="21">
        <v>2</v>
      </c>
      <c r="II21" s="21">
        <f t="shared" ref="II21:II32" si="146">$IU$22*IH21</f>
        <v>3.5</v>
      </c>
      <c r="IJ21" s="21">
        <v>1</v>
      </c>
      <c r="IK21" s="21">
        <f t="shared" ref="IK21:IK32" si="147">$IW$22*IJ21</f>
        <v>1.125</v>
      </c>
      <c r="IL21" s="21">
        <v>2</v>
      </c>
      <c r="IM21" s="21">
        <f t="shared" ref="IM21:IM32" si="148">$IV$22*IL21</f>
        <v>2</v>
      </c>
      <c r="IN21" s="21">
        <f t="shared" ref="IN21:IN32" si="149">II21+IK21+IM21</f>
        <v>6.625</v>
      </c>
      <c r="IO21" s="22">
        <f t="shared" ref="IO21:IO32" si="150">IF$19-II21-IK21-IM21</f>
        <v>113.375</v>
      </c>
      <c r="IP21" s="14"/>
      <c r="IQ21" s="24">
        <v>1</v>
      </c>
      <c r="IR21" s="25">
        <v>3.1160000000000001</v>
      </c>
      <c r="IS21" s="25">
        <v>3.0659999999999998</v>
      </c>
      <c r="IT21" s="25">
        <v>0.41599999999999998</v>
      </c>
      <c r="IU21" s="25">
        <v>1.75</v>
      </c>
      <c r="IV21" s="25">
        <v>1</v>
      </c>
      <c r="IW21" s="25">
        <v>1.125</v>
      </c>
      <c r="IX21" s="7"/>
    </row>
    <row r="22" spans="2:258" ht="15.75" thickBot="1" x14ac:dyDescent="0.3">
      <c r="B22" s="79">
        <f t="shared" si="9"/>
        <v>30</v>
      </c>
      <c r="C22" s="147">
        <v>6</v>
      </c>
      <c r="D22" s="487"/>
      <c r="E22" s="468">
        <f t="shared" si="8"/>
        <v>0.41387916666666663</v>
      </c>
      <c r="F22" s="468">
        <f t="shared" si="0"/>
        <v>0.47068611111111114</v>
      </c>
      <c r="G22" s="468">
        <f t="shared" si="1"/>
        <v>0.49908958333333331</v>
      </c>
      <c r="H22" s="468">
        <f t="shared" si="2"/>
        <v>0.51613166666666677</v>
      </c>
      <c r="I22" s="468">
        <f t="shared" si="3"/>
        <v>0.52749305555555559</v>
      </c>
      <c r="J22" s="468">
        <f t="shared" si="4"/>
        <v>0.53560833333333324</v>
      </c>
      <c r="K22" s="468">
        <f t="shared" si="5"/>
        <v>0.54169479166666668</v>
      </c>
      <c r="L22" s="468">
        <f t="shared" si="6"/>
        <v>0.53560833333333335</v>
      </c>
      <c r="M22" s="468">
        <f t="shared" si="7"/>
        <v>0.54047750000000006</v>
      </c>
      <c r="N22" s="488"/>
      <c r="O22" s="488"/>
      <c r="P22" s="488"/>
      <c r="Q22" s="488"/>
      <c r="R22" s="488"/>
      <c r="S22" s="488"/>
      <c r="T22" s="488"/>
      <c r="U22" s="488"/>
      <c r="V22" s="488"/>
      <c r="W22" s="488"/>
      <c r="X22" s="76"/>
      <c r="Y22" s="46"/>
      <c r="AA22" s="61"/>
      <c r="AT22" s="3"/>
      <c r="AU22" s="13">
        <v>12</v>
      </c>
      <c r="AV22" s="11" t="str">
        <f t="shared" si="10"/>
        <v>(300)</v>
      </c>
      <c r="AW22" s="18"/>
      <c r="AX22" s="19">
        <f t="shared" si="11"/>
        <v>0.20109375000000002</v>
      </c>
      <c r="AY22" s="20" t="str">
        <f t="shared" si="12"/>
        <v>(0.02)</v>
      </c>
      <c r="AZ22" s="21">
        <v>2</v>
      </c>
      <c r="BA22" s="21">
        <f t="shared" si="13"/>
        <v>3.5</v>
      </c>
      <c r="BB22" s="21">
        <v>0</v>
      </c>
      <c r="BC22" s="21">
        <f t="shared" si="14"/>
        <v>0</v>
      </c>
      <c r="BD22" s="21">
        <v>0</v>
      </c>
      <c r="BE22" s="21">
        <f t="shared" si="15"/>
        <v>0</v>
      </c>
      <c r="BF22" s="21">
        <f t="shared" si="16"/>
        <v>3.5</v>
      </c>
      <c r="BG22" s="22">
        <f t="shared" si="17"/>
        <v>5.5</v>
      </c>
      <c r="BH22" s="205">
        <f t="shared" si="18"/>
        <v>0.31078125000000001</v>
      </c>
      <c r="BI22" s="206" t="str">
        <f t="shared" si="19"/>
        <v>(0.03)</v>
      </c>
      <c r="BJ22" s="207">
        <v>2</v>
      </c>
      <c r="BK22" s="207">
        <f t="shared" si="20"/>
        <v>3.5</v>
      </c>
      <c r="BL22" s="207">
        <v>0</v>
      </c>
      <c r="BM22" s="207">
        <f t="shared" si="21"/>
        <v>0</v>
      </c>
      <c r="BN22" s="207">
        <v>0</v>
      </c>
      <c r="BO22" s="207">
        <f t="shared" si="22"/>
        <v>0</v>
      </c>
      <c r="BP22" s="207">
        <f t="shared" si="23"/>
        <v>3.5</v>
      </c>
      <c r="BQ22" s="208">
        <f t="shared" si="24"/>
        <v>8.5</v>
      </c>
      <c r="BR22" s="205">
        <f t="shared" si="25"/>
        <v>0.53015625</v>
      </c>
      <c r="BS22" s="206" t="str">
        <f t="shared" si="26"/>
        <v>(0.05)</v>
      </c>
      <c r="BT22" s="207">
        <v>2</v>
      </c>
      <c r="BU22" s="207">
        <f t="shared" si="27"/>
        <v>3.5</v>
      </c>
      <c r="BV22" s="207">
        <v>0</v>
      </c>
      <c r="BW22" s="207">
        <f t="shared" si="28"/>
        <v>0</v>
      </c>
      <c r="BX22" s="207">
        <v>0</v>
      </c>
      <c r="BY22" s="207">
        <f t="shared" si="29"/>
        <v>0</v>
      </c>
      <c r="BZ22" s="207">
        <f t="shared" si="30"/>
        <v>3.5</v>
      </c>
      <c r="CA22" s="208">
        <f t="shared" si="31"/>
        <v>14.5</v>
      </c>
      <c r="CB22" s="205">
        <f t="shared" si="32"/>
        <v>0.74953124999999998</v>
      </c>
      <c r="CC22" s="206" t="str">
        <f t="shared" si="33"/>
        <v>(0.07)</v>
      </c>
      <c r="CD22" s="207">
        <v>2</v>
      </c>
      <c r="CE22" s="207">
        <f t="shared" si="34"/>
        <v>3.5</v>
      </c>
      <c r="CF22" s="207">
        <v>0</v>
      </c>
      <c r="CG22" s="207">
        <f t="shared" si="35"/>
        <v>0</v>
      </c>
      <c r="CH22" s="207">
        <v>0</v>
      </c>
      <c r="CI22" s="207">
        <f t="shared" si="36"/>
        <v>0</v>
      </c>
      <c r="CJ22" s="207">
        <f t="shared" si="37"/>
        <v>3.5</v>
      </c>
      <c r="CK22" s="208">
        <f t="shared" si="38"/>
        <v>20.5</v>
      </c>
      <c r="CL22" s="205">
        <f t="shared" si="39"/>
        <v>0.96890625000000008</v>
      </c>
      <c r="CM22" s="206" t="str">
        <f t="shared" si="40"/>
        <v>(0.09)</v>
      </c>
      <c r="CN22" s="207">
        <v>2</v>
      </c>
      <c r="CO22" s="207">
        <f t="shared" si="41"/>
        <v>3.5</v>
      </c>
      <c r="CP22" s="207">
        <v>0</v>
      </c>
      <c r="CQ22" s="207">
        <f t="shared" si="42"/>
        <v>0</v>
      </c>
      <c r="CR22" s="207">
        <v>0</v>
      </c>
      <c r="CS22" s="207">
        <f t="shared" si="43"/>
        <v>0</v>
      </c>
      <c r="CT22" s="207">
        <f t="shared" si="44"/>
        <v>3.5</v>
      </c>
      <c r="CU22" s="208">
        <f t="shared" si="45"/>
        <v>26.5</v>
      </c>
      <c r="CV22" s="205">
        <f t="shared" si="46"/>
        <v>1.1882812500000002</v>
      </c>
      <c r="CW22" s="206" t="str">
        <f t="shared" si="47"/>
        <v>(0.11)</v>
      </c>
      <c r="CX22" s="207">
        <v>2</v>
      </c>
      <c r="CY22" s="207">
        <f t="shared" si="48"/>
        <v>3.5</v>
      </c>
      <c r="CZ22" s="207">
        <v>0</v>
      </c>
      <c r="DA22" s="207">
        <f t="shared" si="49"/>
        <v>0</v>
      </c>
      <c r="DB22" s="207">
        <v>0</v>
      </c>
      <c r="DC22" s="207">
        <f t="shared" si="50"/>
        <v>0</v>
      </c>
      <c r="DD22" s="207">
        <f t="shared" si="51"/>
        <v>3.5</v>
      </c>
      <c r="DE22" s="208">
        <f t="shared" si="52"/>
        <v>32.5</v>
      </c>
      <c r="DF22" s="205">
        <f t="shared" si="53"/>
        <v>1.4076562500000001</v>
      </c>
      <c r="DG22" s="206" t="str">
        <f t="shared" si="54"/>
        <v>(0.13)</v>
      </c>
      <c r="DH22" s="207">
        <v>2</v>
      </c>
      <c r="DI22" s="207">
        <f t="shared" si="55"/>
        <v>3.5</v>
      </c>
      <c r="DJ22" s="207">
        <v>0</v>
      </c>
      <c r="DK22" s="207">
        <f t="shared" si="56"/>
        <v>0</v>
      </c>
      <c r="DL22" s="207">
        <v>0</v>
      </c>
      <c r="DM22" s="207">
        <f t="shared" si="57"/>
        <v>0</v>
      </c>
      <c r="DN22" s="207">
        <f t="shared" si="58"/>
        <v>3.5</v>
      </c>
      <c r="DO22" s="208">
        <f t="shared" si="59"/>
        <v>38.5</v>
      </c>
      <c r="DP22" s="205">
        <f t="shared" si="60"/>
        <v>1.6270312500000002</v>
      </c>
      <c r="DQ22" s="206" t="str">
        <f t="shared" si="61"/>
        <v>(0.15)</v>
      </c>
      <c r="DR22" s="207">
        <v>2</v>
      </c>
      <c r="DS22" s="207">
        <f t="shared" si="62"/>
        <v>3.5</v>
      </c>
      <c r="DT22" s="207">
        <v>0</v>
      </c>
      <c r="DU22" s="207">
        <f t="shared" si="63"/>
        <v>0</v>
      </c>
      <c r="DV22" s="207">
        <v>0</v>
      </c>
      <c r="DW22" s="207">
        <f t="shared" si="64"/>
        <v>0</v>
      </c>
      <c r="DX22" s="207">
        <f t="shared" si="65"/>
        <v>3.5</v>
      </c>
      <c r="DY22" s="208">
        <f t="shared" si="66"/>
        <v>44.5</v>
      </c>
      <c r="DZ22" s="205">
        <f t="shared" si="67"/>
        <v>1.80984375</v>
      </c>
      <c r="EA22" s="206" t="str">
        <f t="shared" si="68"/>
        <v>(0.17)</v>
      </c>
      <c r="EB22" s="207">
        <v>2</v>
      </c>
      <c r="EC22" s="207">
        <f t="shared" si="69"/>
        <v>3.5</v>
      </c>
      <c r="ED22" s="207">
        <v>0</v>
      </c>
      <c r="EE22" s="207">
        <f t="shared" si="70"/>
        <v>0</v>
      </c>
      <c r="EF22" s="207">
        <v>1</v>
      </c>
      <c r="EG22" s="207">
        <f t="shared" si="71"/>
        <v>1</v>
      </c>
      <c r="EH22" s="207">
        <f t="shared" si="72"/>
        <v>4.5</v>
      </c>
      <c r="EI22" s="208">
        <f t="shared" si="73"/>
        <v>49.5</v>
      </c>
      <c r="EJ22" s="205">
        <f t="shared" si="74"/>
        <v>2.0292187500000001</v>
      </c>
      <c r="EK22" s="206" t="str">
        <f t="shared" si="75"/>
        <v>(0.19)</v>
      </c>
      <c r="EL22" s="207">
        <v>2</v>
      </c>
      <c r="EM22" s="207">
        <f t="shared" si="76"/>
        <v>3.5</v>
      </c>
      <c r="EN22" s="207">
        <v>0</v>
      </c>
      <c r="EO22" s="207">
        <f t="shared" si="77"/>
        <v>0</v>
      </c>
      <c r="EP22" s="207">
        <v>1</v>
      </c>
      <c r="EQ22" s="207">
        <f t="shared" si="78"/>
        <v>1</v>
      </c>
      <c r="ER22" s="207">
        <f t="shared" si="79"/>
        <v>4.5</v>
      </c>
      <c r="ES22" s="208">
        <f t="shared" si="80"/>
        <v>55.5</v>
      </c>
      <c r="ET22" s="205">
        <f t="shared" si="81"/>
        <v>2.2485937499999999</v>
      </c>
      <c r="EU22" s="206" t="str">
        <f t="shared" si="82"/>
        <v>(0.21)</v>
      </c>
      <c r="EV22" s="207">
        <v>2</v>
      </c>
      <c r="EW22" s="207">
        <f t="shared" si="83"/>
        <v>3.5</v>
      </c>
      <c r="EX22" s="207">
        <v>0</v>
      </c>
      <c r="EY22" s="207">
        <f t="shared" si="84"/>
        <v>0</v>
      </c>
      <c r="EZ22" s="207">
        <v>1</v>
      </c>
      <c r="FA22" s="207">
        <f t="shared" si="85"/>
        <v>1</v>
      </c>
      <c r="FB22" s="207">
        <f t="shared" si="86"/>
        <v>4.5</v>
      </c>
      <c r="FC22" s="208">
        <f t="shared" si="87"/>
        <v>61.5</v>
      </c>
      <c r="FD22" s="205">
        <f t="shared" si="88"/>
        <v>2.5045312500000003</v>
      </c>
      <c r="FE22" s="206" t="str">
        <f t="shared" si="89"/>
        <v>(0.23)</v>
      </c>
      <c r="FF22" s="207">
        <v>2</v>
      </c>
      <c r="FG22" s="207">
        <f>$IU$22*FF22</f>
        <v>3.5</v>
      </c>
      <c r="FH22" s="469">
        <v>0</v>
      </c>
      <c r="FI22" s="207">
        <f t="shared" si="91"/>
        <v>0</v>
      </c>
      <c r="FJ22" s="207">
        <v>0</v>
      </c>
      <c r="FK22" s="207">
        <f t="shared" si="92"/>
        <v>0</v>
      </c>
      <c r="FL22" s="207">
        <f t="shared" si="93"/>
        <v>3.5</v>
      </c>
      <c r="FM22" s="208">
        <f t="shared" si="94"/>
        <v>68.5</v>
      </c>
      <c r="FN22" s="205">
        <f t="shared" si="95"/>
        <v>2.6827734375000003</v>
      </c>
      <c r="FO22" s="206" t="str">
        <f t="shared" si="96"/>
        <v>(0.25)</v>
      </c>
      <c r="FP22" s="207">
        <v>2</v>
      </c>
      <c r="FQ22" s="207">
        <f t="shared" si="97"/>
        <v>3.5</v>
      </c>
      <c r="FR22" s="207">
        <v>1</v>
      </c>
      <c r="FS22" s="207">
        <f t="shared" si="98"/>
        <v>1.125</v>
      </c>
      <c r="FT22" s="207">
        <v>0</v>
      </c>
      <c r="FU22" s="207">
        <f t="shared" si="99"/>
        <v>0</v>
      </c>
      <c r="FV22" s="207">
        <f t="shared" si="100"/>
        <v>4.625</v>
      </c>
      <c r="FW22" s="208">
        <f t="shared" si="101"/>
        <v>73.375</v>
      </c>
      <c r="FX22" s="205">
        <f t="shared" si="102"/>
        <v>2.9021484375000006</v>
      </c>
      <c r="FY22" s="206" t="str">
        <f t="shared" si="103"/>
        <v>(0.27)</v>
      </c>
      <c r="FZ22" s="207">
        <v>2</v>
      </c>
      <c r="GA22" s="207">
        <f t="shared" si="104"/>
        <v>3.5</v>
      </c>
      <c r="GB22" s="207">
        <v>1</v>
      </c>
      <c r="GC22" s="207">
        <f t="shared" si="105"/>
        <v>1.125</v>
      </c>
      <c r="GD22" s="207">
        <v>0</v>
      </c>
      <c r="GE22" s="207">
        <f t="shared" si="106"/>
        <v>0</v>
      </c>
      <c r="GF22" s="207">
        <f t="shared" si="107"/>
        <v>4.625</v>
      </c>
      <c r="GG22" s="208">
        <f t="shared" si="108"/>
        <v>79.375</v>
      </c>
      <c r="GH22" s="205">
        <f t="shared" si="109"/>
        <v>3.1215234375000005</v>
      </c>
      <c r="GI22" s="206" t="str">
        <f t="shared" si="110"/>
        <v>(0.29)</v>
      </c>
      <c r="GJ22" s="207">
        <v>2</v>
      </c>
      <c r="GK22" s="207">
        <f t="shared" si="111"/>
        <v>3.5</v>
      </c>
      <c r="GL22" s="207">
        <v>1</v>
      </c>
      <c r="GM22" s="207">
        <f t="shared" si="112"/>
        <v>1.125</v>
      </c>
      <c r="GN22" s="207">
        <v>0</v>
      </c>
      <c r="GO22" s="207">
        <f t="shared" si="113"/>
        <v>0</v>
      </c>
      <c r="GP22" s="207">
        <f t="shared" si="114"/>
        <v>4.625</v>
      </c>
      <c r="GQ22" s="208">
        <f t="shared" si="115"/>
        <v>85.375</v>
      </c>
      <c r="GR22" s="205">
        <f t="shared" si="116"/>
        <v>3.3408984375000004</v>
      </c>
      <c r="GS22" s="206" t="str">
        <f t="shared" si="117"/>
        <v>(0.31)</v>
      </c>
      <c r="GT22" s="207">
        <v>2</v>
      </c>
      <c r="GU22" s="207">
        <f t="shared" si="118"/>
        <v>3.5</v>
      </c>
      <c r="GV22" s="207">
        <v>1</v>
      </c>
      <c r="GW22" s="207">
        <f t="shared" si="119"/>
        <v>1.125</v>
      </c>
      <c r="GX22" s="207">
        <v>0</v>
      </c>
      <c r="GY22" s="207">
        <f t="shared" si="120"/>
        <v>0</v>
      </c>
      <c r="GZ22" s="207">
        <f t="shared" si="121"/>
        <v>4.625</v>
      </c>
      <c r="HA22" s="208">
        <f t="shared" si="122"/>
        <v>91.375</v>
      </c>
      <c r="HB22" s="205">
        <f t="shared" si="123"/>
        <v>3.5602734375000002</v>
      </c>
      <c r="HC22" s="206" t="str">
        <f t="shared" si="124"/>
        <v>(0.33)</v>
      </c>
      <c r="HD22" s="207">
        <v>2</v>
      </c>
      <c r="HE22" s="207">
        <f t="shared" si="125"/>
        <v>3.5</v>
      </c>
      <c r="HF22" s="207">
        <v>1</v>
      </c>
      <c r="HG22" s="207">
        <f t="shared" si="126"/>
        <v>1.125</v>
      </c>
      <c r="HH22" s="207">
        <v>0</v>
      </c>
      <c r="HI22" s="207">
        <f t="shared" si="127"/>
        <v>0</v>
      </c>
      <c r="HJ22" s="207">
        <f t="shared" si="128"/>
        <v>4.625</v>
      </c>
      <c r="HK22" s="208">
        <f t="shared" si="129"/>
        <v>97.375</v>
      </c>
      <c r="HL22" s="205">
        <f t="shared" si="130"/>
        <v>3.7065234375000009</v>
      </c>
      <c r="HM22" s="206" t="str">
        <f t="shared" si="131"/>
        <v>(0.34)</v>
      </c>
      <c r="HN22" s="207">
        <v>2</v>
      </c>
      <c r="HO22" s="207">
        <f t="shared" si="132"/>
        <v>3.5</v>
      </c>
      <c r="HP22" s="207">
        <v>1</v>
      </c>
      <c r="HQ22" s="207">
        <f t="shared" si="133"/>
        <v>1.125</v>
      </c>
      <c r="HR22" s="207">
        <v>2</v>
      </c>
      <c r="HS22" s="207">
        <f t="shared" si="134"/>
        <v>2</v>
      </c>
      <c r="HT22" s="207">
        <f t="shared" si="135"/>
        <v>6.625</v>
      </c>
      <c r="HU22" s="208">
        <f t="shared" si="136"/>
        <v>101.375</v>
      </c>
      <c r="HV22" s="205">
        <f t="shared" si="137"/>
        <v>3.9258984375000003</v>
      </c>
      <c r="HW22" s="206" t="str">
        <f t="shared" si="138"/>
        <v>(0.36)</v>
      </c>
      <c r="HX22" s="207">
        <v>2</v>
      </c>
      <c r="HY22" s="207">
        <f t="shared" si="139"/>
        <v>3.5</v>
      </c>
      <c r="HZ22" s="207">
        <v>1</v>
      </c>
      <c r="IA22" s="207">
        <f t="shared" si="140"/>
        <v>1.125</v>
      </c>
      <c r="IB22" s="207">
        <v>2</v>
      </c>
      <c r="IC22" s="207">
        <f t="shared" si="141"/>
        <v>2</v>
      </c>
      <c r="ID22" s="207">
        <f t="shared" si="142"/>
        <v>6.625</v>
      </c>
      <c r="IE22" s="208">
        <f t="shared" si="143"/>
        <v>107.375</v>
      </c>
      <c r="IF22" s="205">
        <f t="shared" si="144"/>
        <v>4.1452734375000002</v>
      </c>
      <c r="IG22" s="206" t="str">
        <f t="shared" si="145"/>
        <v>(0.39)</v>
      </c>
      <c r="IH22" s="21">
        <v>2</v>
      </c>
      <c r="II22" s="21">
        <f t="shared" si="146"/>
        <v>3.5</v>
      </c>
      <c r="IJ22" s="21">
        <v>1</v>
      </c>
      <c r="IK22" s="21">
        <f t="shared" si="147"/>
        <v>1.125</v>
      </c>
      <c r="IL22" s="21">
        <v>2</v>
      </c>
      <c r="IM22" s="21">
        <f t="shared" si="148"/>
        <v>2</v>
      </c>
      <c r="IN22" s="21">
        <f t="shared" si="149"/>
        <v>6.625</v>
      </c>
      <c r="IO22" s="22">
        <f t="shared" si="150"/>
        <v>113.375</v>
      </c>
      <c r="IP22" s="23"/>
      <c r="IQ22" s="24">
        <f>ROUNDDOWN(($AU22-5)/5,0)</f>
        <v>1</v>
      </c>
      <c r="IR22" s="25">
        <v>3.1160000000000001</v>
      </c>
      <c r="IS22" s="25">
        <v>3.0659999999999998</v>
      </c>
      <c r="IT22" s="25">
        <v>2.149</v>
      </c>
      <c r="IU22" s="25">
        <v>1.75</v>
      </c>
      <c r="IV22" s="25">
        <v>1</v>
      </c>
      <c r="IW22" s="25">
        <v>1.125</v>
      </c>
      <c r="IX22" s="7"/>
    </row>
    <row r="23" spans="2:258" ht="15.75" thickBot="1" x14ac:dyDescent="0.3">
      <c r="B23" s="79">
        <f t="shared" si="9"/>
        <v>36</v>
      </c>
      <c r="C23" s="148">
        <v>7</v>
      </c>
      <c r="D23" s="487"/>
      <c r="E23" s="468">
        <f t="shared" si="8"/>
        <v>0.41309606481481476</v>
      </c>
      <c r="F23" s="468">
        <f t="shared" si="0"/>
        <v>0.46979552469135794</v>
      </c>
      <c r="G23" s="468">
        <f t="shared" si="1"/>
        <v>0.4981452546296295</v>
      </c>
      <c r="H23" s="468">
        <f t="shared" si="2"/>
        <v>0.51515509259259251</v>
      </c>
      <c r="I23" s="468">
        <f t="shared" si="3"/>
        <v>0.52649498456790111</v>
      </c>
      <c r="J23" s="468">
        <f t="shared" si="4"/>
        <v>0.53459490740740734</v>
      </c>
      <c r="K23" s="468">
        <f t="shared" si="5"/>
        <v>0.54066984953703701</v>
      </c>
      <c r="L23" s="468">
        <f t="shared" si="6"/>
        <v>0.53459490740740734</v>
      </c>
      <c r="M23" s="468">
        <f t="shared" si="7"/>
        <v>0.53945486111111096</v>
      </c>
      <c r="N23" s="488"/>
      <c r="O23" s="488"/>
      <c r="P23" s="488"/>
      <c r="Q23" s="488"/>
      <c r="R23" s="488"/>
      <c r="S23" s="488"/>
      <c r="T23" s="488"/>
      <c r="U23" s="488"/>
      <c r="V23" s="488"/>
      <c r="W23" s="488"/>
      <c r="X23" s="76"/>
      <c r="Y23" s="46"/>
      <c r="AA23" s="61"/>
      <c r="AT23" s="3"/>
      <c r="AU23" s="13">
        <f t="shared" ref="AU23:AU40" si="151">AU22+6</f>
        <v>18</v>
      </c>
      <c r="AV23" s="11" t="str">
        <f t="shared" si="10"/>
        <v>(450)</v>
      </c>
      <c r="AW23" s="18"/>
      <c r="AX23" s="19">
        <f t="shared" si="11"/>
        <v>0.33347569444444441</v>
      </c>
      <c r="AY23" s="20" t="str">
        <f t="shared" si="12"/>
        <v>(0.03)</v>
      </c>
      <c r="AZ23" s="21">
        <v>2</v>
      </c>
      <c r="BA23" s="21">
        <f t="shared" si="13"/>
        <v>3.5</v>
      </c>
      <c r="BB23" s="21">
        <v>0</v>
      </c>
      <c r="BC23" s="21">
        <f t="shared" si="14"/>
        <v>0</v>
      </c>
      <c r="BD23" s="21">
        <v>0</v>
      </c>
      <c r="BE23" s="21">
        <f t="shared" si="15"/>
        <v>0</v>
      </c>
      <c r="BF23" s="21">
        <f t="shared" si="16"/>
        <v>3.5</v>
      </c>
      <c r="BG23" s="22">
        <f t="shared" si="17"/>
        <v>5.5</v>
      </c>
      <c r="BH23" s="205">
        <f t="shared" si="18"/>
        <v>0.51537152777777773</v>
      </c>
      <c r="BI23" s="206" t="str">
        <f t="shared" si="19"/>
        <v>(0.05)</v>
      </c>
      <c r="BJ23" s="207">
        <v>2</v>
      </c>
      <c r="BK23" s="207">
        <f t="shared" si="20"/>
        <v>3.5</v>
      </c>
      <c r="BL23" s="207">
        <v>0</v>
      </c>
      <c r="BM23" s="207">
        <f t="shared" si="21"/>
        <v>0</v>
      </c>
      <c r="BN23" s="207">
        <v>0</v>
      </c>
      <c r="BO23" s="207">
        <f t="shared" si="22"/>
        <v>0</v>
      </c>
      <c r="BP23" s="207">
        <f t="shared" si="23"/>
        <v>3.5</v>
      </c>
      <c r="BQ23" s="208">
        <f t="shared" si="24"/>
        <v>8.5</v>
      </c>
      <c r="BR23" s="205">
        <f t="shared" si="25"/>
        <v>0.87916319444444435</v>
      </c>
      <c r="BS23" s="206" t="str">
        <f t="shared" si="26"/>
        <v>(0.08)</v>
      </c>
      <c r="BT23" s="207">
        <v>2</v>
      </c>
      <c r="BU23" s="207">
        <f t="shared" si="27"/>
        <v>3.5</v>
      </c>
      <c r="BV23" s="207">
        <v>0</v>
      </c>
      <c r="BW23" s="207">
        <f t="shared" si="28"/>
        <v>0</v>
      </c>
      <c r="BX23" s="207">
        <v>0</v>
      </c>
      <c r="BY23" s="207">
        <f t="shared" si="29"/>
        <v>0</v>
      </c>
      <c r="BZ23" s="207">
        <f t="shared" si="30"/>
        <v>3.5</v>
      </c>
      <c r="CA23" s="208">
        <f t="shared" si="31"/>
        <v>14.5</v>
      </c>
      <c r="CB23" s="205">
        <f t="shared" si="32"/>
        <v>1.2429548611111112</v>
      </c>
      <c r="CC23" s="206" t="str">
        <f t="shared" si="33"/>
        <v>(0.12)</v>
      </c>
      <c r="CD23" s="207">
        <v>2</v>
      </c>
      <c r="CE23" s="207">
        <f t="shared" si="34"/>
        <v>3.5</v>
      </c>
      <c r="CF23" s="207">
        <v>0</v>
      </c>
      <c r="CG23" s="207">
        <f t="shared" si="35"/>
        <v>0</v>
      </c>
      <c r="CH23" s="207">
        <v>0</v>
      </c>
      <c r="CI23" s="207">
        <f t="shared" si="36"/>
        <v>0</v>
      </c>
      <c r="CJ23" s="207">
        <f t="shared" si="37"/>
        <v>3.5</v>
      </c>
      <c r="CK23" s="208">
        <f t="shared" si="38"/>
        <v>20.5</v>
      </c>
      <c r="CL23" s="205">
        <f t="shared" si="39"/>
        <v>1.6067465277777777</v>
      </c>
      <c r="CM23" s="206" t="str">
        <f t="shared" si="40"/>
        <v>(0.15)</v>
      </c>
      <c r="CN23" s="207">
        <v>2</v>
      </c>
      <c r="CO23" s="207">
        <f t="shared" si="41"/>
        <v>3.5</v>
      </c>
      <c r="CP23" s="207">
        <v>0</v>
      </c>
      <c r="CQ23" s="207">
        <f t="shared" si="42"/>
        <v>0</v>
      </c>
      <c r="CR23" s="207">
        <v>0</v>
      </c>
      <c r="CS23" s="207">
        <f t="shared" si="43"/>
        <v>0</v>
      </c>
      <c r="CT23" s="207">
        <f t="shared" si="44"/>
        <v>3.5</v>
      </c>
      <c r="CU23" s="208">
        <f t="shared" si="45"/>
        <v>26.5</v>
      </c>
      <c r="CV23" s="205">
        <f t="shared" si="46"/>
        <v>1.9705381944444444</v>
      </c>
      <c r="CW23" s="206" t="str">
        <f t="shared" si="47"/>
        <v>(0.18)</v>
      </c>
      <c r="CX23" s="207">
        <v>2</v>
      </c>
      <c r="CY23" s="207">
        <f t="shared" si="48"/>
        <v>3.5</v>
      </c>
      <c r="CZ23" s="207">
        <v>0</v>
      </c>
      <c r="DA23" s="207">
        <f t="shared" si="49"/>
        <v>0</v>
      </c>
      <c r="DB23" s="207">
        <v>0</v>
      </c>
      <c r="DC23" s="207">
        <f t="shared" si="50"/>
        <v>0</v>
      </c>
      <c r="DD23" s="207">
        <f t="shared" si="51"/>
        <v>3.5</v>
      </c>
      <c r="DE23" s="208">
        <f t="shared" si="52"/>
        <v>32.5</v>
      </c>
      <c r="DF23" s="205">
        <f t="shared" si="53"/>
        <v>2.3343298611111112</v>
      </c>
      <c r="DG23" s="206" t="str">
        <f t="shared" si="54"/>
        <v>(0.22)</v>
      </c>
      <c r="DH23" s="207">
        <v>2</v>
      </c>
      <c r="DI23" s="207">
        <f t="shared" si="55"/>
        <v>3.5</v>
      </c>
      <c r="DJ23" s="207">
        <v>0</v>
      </c>
      <c r="DK23" s="207">
        <f t="shared" si="56"/>
        <v>0</v>
      </c>
      <c r="DL23" s="207">
        <v>0</v>
      </c>
      <c r="DM23" s="207">
        <f t="shared" si="57"/>
        <v>0</v>
      </c>
      <c r="DN23" s="207">
        <f t="shared" si="58"/>
        <v>3.5</v>
      </c>
      <c r="DO23" s="208">
        <f t="shared" si="59"/>
        <v>38.5</v>
      </c>
      <c r="DP23" s="205">
        <f t="shared" si="60"/>
        <v>2.6981215277777775</v>
      </c>
      <c r="DQ23" s="206" t="str">
        <f t="shared" si="61"/>
        <v>(0.25)</v>
      </c>
      <c r="DR23" s="207">
        <v>2</v>
      </c>
      <c r="DS23" s="207">
        <f t="shared" si="62"/>
        <v>3.5</v>
      </c>
      <c r="DT23" s="207">
        <v>0</v>
      </c>
      <c r="DU23" s="207">
        <f t="shared" si="63"/>
        <v>0</v>
      </c>
      <c r="DV23" s="207">
        <v>0</v>
      </c>
      <c r="DW23" s="207">
        <f t="shared" si="64"/>
        <v>0</v>
      </c>
      <c r="DX23" s="207">
        <f t="shared" si="65"/>
        <v>3.5</v>
      </c>
      <c r="DY23" s="208">
        <f t="shared" si="66"/>
        <v>44.5</v>
      </c>
      <c r="DZ23" s="205">
        <f t="shared" si="67"/>
        <v>3.0012812499999999</v>
      </c>
      <c r="EA23" s="206" t="str">
        <f t="shared" si="68"/>
        <v>(0.28)</v>
      </c>
      <c r="EB23" s="207">
        <v>2</v>
      </c>
      <c r="EC23" s="207">
        <f t="shared" si="69"/>
        <v>3.5</v>
      </c>
      <c r="ED23" s="207">
        <v>0</v>
      </c>
      <c r="EE23" s="207">
        <f t="shared" si="70"/>
        <v>0</v>
      </c>
      <c r="EF23" s="207">
        <v>1</v>
      </c>
      <c r="EG23" s="207">
        <f t="shared" si="71"/>
        <v>1</v>
      </c>
      <c r="EH23" s="207">
        <f t="shared" si="72"/>
        <v>4.5</v>
      </c>
      <c r="EI23" s="208">
        <f t="shared" si="73"/>
        <v>49.5</v>
      </c>
      <c r="EJ23" s="205">
        <f t="shared" si="74"/>
        <v>3.3650729166666666</v>
      </c>
      <c r="EK23" s="206" t="str">
        <f t="shared" si="75"/>
        <v>(0.31)</v>
      </c>
      <c r="EL23" s="207">
        <v>2</v>
      </c>
      <c r="EM23" s="207">
        <f t="shared" si="76"/>
        <v>3.5</v>
      </c>
      <c r="EN23" s="207">
        <v>0</v>
      </c>
      <c r="EO23" s="207">
        <f t="shared" si="77"/>
        <v>0</v>
      </c>
      <c r="EP23" s="207">
        <v>1</v>
      </c>
      <c r="EQ23" s="207">
        <f t="shared" si="78"/>
        <v>1</v>
      </c>
      <c r="ER23" s="207">
        <f t="shared" si="79"/>
        <v>4.5</v>
      </c>
      <c r="ES23" s="208">
        <f t="shared" si="80"/>
        <v>55.5</v>
      </c>
      <c r="ET23" s="205">
        <f t="shared" si="81"/>
        <v>3.7288645833333334</v>
      </c>
      <c r="EU23" s="206" t="str">
        <f t="shared" si="82"/>
        <v>(0.35)</v>
      </c>
      <c r="EV23" s="207">
        <v>2</v>
      </c>
      <c r="EW23" s="207">
        <f t="shared" si="83"/>
        <v>3.5</v>
      </c>
      <c r="EX23" s="207">
        <v>0</v>
      </c>
      <c r="EY23" s="207">
        <f t="shared" si="84"/>
        <v>0</v>
      </c>
      <c r="EZ23" s="207">
        <v>1</v>
      </c>
      <c r="FA23" s="207">
        <f t="shared" si="85"/>
        <v>1</v>
      </c>
      <c r="FB23" s="207">
        <f t="shared" si="86"/>
        <v>4.5</v>
      </c>
      <c r="FC23" s="208">
        <f t="shared" si="87"/>
        <v>61.5</v>
      </c>
      <c r="FD23" s="205">
        <f t="shared" si="88"/>
        <v>4.1532881944444444</v>
      </c>
      <c r="FE23" s="206" t="str">
        <f t="shared" si="89"/>
        <v>(0.39)</v>
      </c>
      <c r="FF23" s="207">
        <v>2</v>
      </c>
      <c r="FG23" s="207">
        <f t="shared" si="90"/>
        <v>3.5</v>
      </c>
      <c r="FH23" s="469">
        <v>0</v>
      </c>
      <c r="FI23" s="207">
        <f t="shared" si="91"/>
        <v>0</v>
      </c>
      <c r="FJ23" s="207">
        <v>0</v>
      </c>
      <c r="FK23" s="207">
        <f t="shared" si="92"/>
        <v>0</v>
      </c>
      <c r="FL23" s="207">
        <f t="shared" si="93"/>
        <v>3.5</v>
      </c>
      <c r="FM23" s="208">
        <f t="shared" si="94"/>
        <v>68.5</v>
      </c>
      <c r="FN23" s="205">
        <f t="shared" si="95"/>
        <v>4.4488689236111112</v>
      </c>
      <c r="FO23" s="206" t="str">
        <f t="shared" si="96"/>
        <v>(0.41)</v>
      </c>
      <c r="FP23" s="207">
        <v>2</v>
      </c>
      <c r="FQ23" s="207">
        <f t="shared" si="97"/>
        <v>3.5</v>
      </c>
      <c r="FR23" s="207">
        <v>1</v>
      </c>
      <c r="FS23" s="207">
        <f t="shared" si="98"/>
        <v>1.125</v>
      </c>
      <c r="FT23" s="207">
        <v>0</v>
      </c>
      <c r="FU23" s="207">
        <f t="shared" si="99"/>
        <v>0</v>
      </c>
      <c r="FV23" s="207">
        <f t="shared" si="100"/>
        <v>4.625</v>
      </c>
      <c r="FW23" s="208">
        <f t="shared" si="101"/>
        <v>73.375</v>
      </c>
      <c r="FX23" s="205">
        <f t="shared" si="102"/>
        <v>4.812660590277777</v>
      </c>
      <c r="FY23" s="206" t="str">
        <f t="shared" si="103"/>
        <v>(0.45)</v>
      </c>
      <c r="FZ23" s="207">
        <v>2</v>
      </c>
      <c r="GA23" s="207">
        <f t="shared" si="104"/>
        <v>3.5</v>
      </c>
      <c r="GB23" s="207">
        <v>1</v>
      </c>
      <c r="GC23" s="207">
        <f t="shared" si="105"/>
        <v>1.125</v>
      </c>
      <c r="GD23" s="207">
        <v>0</v>
      </c>
      <c r="GE23" s="207">
        <f t="shared" si="106"/>
        <v>0</v>
      </c>
      <c r="GF23" s="207">
        <f t="shared" si="107"/>
        <v>4.625</v>
      </c>
      <c r="GG23" s="208">
        <f t="shared" si="108"/>
        <v>79.375</v>
      </c>
      <c r="GH23" s="205">
        <f t="shared" si="109"/>
        <v>5.1764522569444447</v>
      </c>
      <c r="GI23" s="206" t="str">
        <f t="shared" si="110"/>
        <v>(0.48)</v>
      </c>
      <c r="GJ23" s="207">
        <v>2</v>
      </c>
      <c r="GK23" s="207">
        <f t="shared" si="111"/>
        <v>3.5</v>
      </c>
      <c r="GL23" s="207">
        <v>1</v>
      </c>
      <c r="GM23" s="207">
        <f t="shared" si="112"/>
        <v>1.125</v>
      </c>
      <c r="GN23" s="207">
        <v>0</v>
      </c>
      <c r="GO23" s="207">
        <f t="shared" si="113"/>
        <v>0</v>
      </c>
      <c r="GP23" s="207">
        <f t="shared" si="114"/>
        <v>4.625</v>
      </c>
      <c r="GQ23" s="208">
        <f t="shared" si="115"/>
        <v>85.375</v>
      </c>
      <c r="GR23" s="205">
        <f t="shared" si="116"/>
        <v>5.5402439236111114</v>
      </c>
      <c r="GS23" s="206" t="str">
        <f t="shared" si="117"/>
        <v>(0.51)</v>
      </c>
      <c r="GT23" s="207">
        <v>2</v>
      </c>
      <c r="GU23" s="207">
        <f t="shared" si="118"/>
        <v>3.5</v>
      </c>
      <c r="GV23" s="207">
        <v>1</v>
      </c>
      <c r="GW23" s="207">
        <f t="shared" si="119"/>
        <v>1.125</v>
      </c>
      <c r="GX23" s="207">
        <v>0</v>
      </c>
      <c r="GY23" s="207">
        <f t="shared" si="120"/>
        <v>0</v>
      </c>
      <c r="GZ23" s="207">
        <f t="shared" si="121"/>
        <v>4.625</v>
      </c>
      <c r="HA23" s="208">
        <f t="shared" si="122"/>
        <v>91.375</v>
      </c>
      <c r="HB23" s="205">
        <f t="shared" si="123"/>
        <v>5.9040355902777772</v>
      </c>
      <c r="HC23" s="206" t="str">
        <f t="shared" si="124"/>
        <v>(0.55)</v>
      </c>
      <c r="HD23" s="207">
        <v>2</v>
      </c>
      <c r="HE23" s="207">
        <f t="shared" si="125"/>
        <v>3.5</v>
      </c>
      <c r="HF23" s="207">
        <v>1</v>
      </c>
      <c r="HG23" s="207">
        <f t="shared" si="126"/>
        <v>1.125</v>
      </c>
      <c r="HH23" s="207">
        <v>0</v>
      </c>
      <c r="HI23" s="207">
        <f t="shared" si="127"/>
        <v>0</v>
      </c>
      <c r="HJ23" s="207">
        <f t="shared" si="128"/>
        <v>4.625</v>
      </c>
      <c r="HK23" s="208">
        <f t="shared" si="129"/>
        <v>97.375</v>
      </c>
      <c r="HL23" s="205">
        <f t="shared" si="130"/>
        <v>6.1465633680555563</v>
      </c>
      <c r="HM23" s="206" t="str">
        <f t="shared" si="131"/>
        <v>(0.57)</v>
      </c>
      <c r="HN23" s="207">
        <v>2</v>
      </c>
      <c r="HO23" s="207">
        <f t="shared" si="132"/>
        <v>3.5</v>
      </c>
      <c r="HP23" s="207">
        <v>1</v>
      </c>
      <c r="HQ23" s="207">
        <f t="shared" si="133"/>
        <v>1.125</v>
      </c>
      <c r="HR23" s="207">
        <v>2</v>
      </c>
      <c r="HS23" s="207">
        <f t="shared" si="134"/>
        <v>2</v>
      </c>
      <c r="HT23" s="207">
        <f t="shared" si="135"/>
        <v>6.625</v>
      </c>
      <c r="HU23" s="208">
        <f t="shared" si="136"/>
        <v>101.375</v>
      </c>
      <c r="HV23" s="205">
        <f t="shared" si="137"/>
        <v>6.5103550347222221</v>
      </c>
      <c r="HW23" s="206" t="str">
        <f t="shared" si="138"/>
        <v>(0.60)</v>
      </c>
      <c r="HX23" s="207">
        <v>2</v>
      </c>
      <c r="HY23" s="207">
        <f t="shared" si="139"/>
        <v>3.5</v>
      </c>
      <c r="HZ23" s="207">
        <v>1</v>
      </c>
      <c r="IA23" s="207">
        <f t="shared" si="140"/>
        <v>1.125</v>
      </c>
      <c r="IB23" s="207">
        <v>2</v>
      </c>
      <c r="IC23" s="207">
        <f t="shared" si="141"/>
        <v>2</v>
      </c>
      <c r="ID23" s="207">
        <f t="shared" si="142"/>
        <v>6.625</v>
      </c>
      <c r="IE23" s="208">
        <f t="shared" si="143"/>
        <v>107.375</v>
      </c>
      <c r="IF23" s="205">
        <f t="shared" si="144"/>
        <v>6.8741467013888888</v>
      </c>
      <c r="IG23" s="206" t="str">
        <f t="shared" si="145"/>
        <v>(0.64)</v>
      </c>
      <c r="IH23" s="21">
        <v>2</v>
      </c>
      <c r="II23" s="21">
        <f t="shared" si="146"/>
        <v>3.5</v>
      </c>
      <c r="IJ23" s="21">
        <v>1</v>
      </c>
      <c r="IK23" s="21">
        <f t="shared" si="147"/>
        <v>1.125</v>
      </c>
      <c r="IL23" s="21">
        <v>2</v>
      </c>
      <c r="IM23" s="21">
        <f t="shared" si="148"/>
        <v>2</v>
      </c>
      <c r="IN23" s="21">
        <f t="shared" si="149"/>
        <v>6.625</v>
      </c>
      <c r="IO23" s="22">
        <f t="shared" si="150"/>
        <v>113.375</v>
      </c>
      <c r="IP23" s="23"/>
      <c r="IQ23" s="24">
        <v>2</v>
      </c>
      <c r="IR23" s="25">
        <v>3.1160000000000001</v>
      </c>
      <c r="IS23" s="25">
        <v>3.0659999999999998</v>
      </c>
      <c r="IT23" s="25">
        <v>2.5489999999999999</v>
      </c>
      <c r="IU23" s="25">
        <v>1.75</v>
      </c>
      <c r="IV23" s="25">
        <v>1</v>
      </c>
      <c r="IW23" s="25">
        <v>1.125</v>
      </c>
      <c r="IX23" s="7"/>
    </row>
    <row r="24" spans="2:258" ht="15.75" thickBot="1" x14ac:dyDescent="0.3">
      <c r="B24" s="79">
        <f t="shared" si="9"/>
        <v>42</v>
      </c>
      <c r="C24" s="147">
        <v>8</v>
      </c>
      <c r="D24" s="487"/>
      <c r="E24" s="468">
        <f t="shared" si="8"/>
        <v>0.42737797619047624</v>
      </c>
      <c r="F24" s="468">
        <f t="shared" si="0"/>
        <v>0.48603769841269845</v>
      </c>
      <c r="G24" s="468">
        <f t="shared" si="1"/>
        <v>0.51536755952380953</v>
      </c>
      <c r="H24" s="468">
        <f t="shared" si="2"/>
        <v>0.53296547619047618</v>
      </c>
      <c r="I24" s="468">
        <f t="shared" si="3"/>
        <v>0.54469742063492055</v>
      </c>
      <c r="J24" s="468">
        <f t="shared" si="4"/>
        <v>0.5530773809523809</v>
      </c>
      <c r="K24" s="468">
        <f t="shared" si="5"/>
        <v>0.55936235119047617</v>
      </c>
      <c r="L24" s="468">
        <f t="shared" si="6"/>
        <v>0.5530773809523809</v>
      </c>
      <c r="M24" s="468">
        <f t="shared" si="7"/>
        <v>0.55810535714285714</v>
      </c>
      <c r="N24" s="488"/>
      <c r="O24" s="488"/>
      <c r="P24" s="488"/>
      <c r="Q24" s="488"/>
      <c r="R24" s="488"/>
      <c r="S24" s="488"/>
      <c r="T24" s="488"/>
      <c r="U24" s="488"/>
      <c r="V24" s="488"/>
      <c r="W24" s="488"/>
      <c r="X24" s="76"/>
      <c r="Y24" s="46"/>
      <c r="AA24" s="61"/>
      <c r="AT24" s="3"/>
      <c r="AU24" s="13">
        <f t="shared" si="151"/>
        <v>24</v>
      </c>
      <c r="AV24" s="11" t="str">
        <f t="shared" si="10"/>
        <v>(600)</v>
      </c>
      <c r="AW24" s="18"/>
      <c r="AX24" s="19">
        <f t="shared" si="11"/>
        <v>0.49946875000000002</v>
      </c>
      <c r="AY24" s="20" t="str">
        <f t="shared" si="12"/>
        <v>(0.05)</v>
      </c>
      <c r="AZ24" s="21">
        <v>2</v>
      </c>
      <c r="BA24" s="21">
        <f t="shared" si="13"/>
        <v>3.5</v>
      </c>
      <c r="BB24" s="21">
        <v>0</v>
      </c>
      <c r="BC24" s="21">
        <f t="shared" si="14"/>
        <v>0</v>
      </c>
      <c r="BD24" s="21">
        <v>0</v>
      </c>
      <c r="BE24" s="21">
        <f t="shared" si="15"/>
        <v>0</v>
      </c>
      <c r="BF24" s="21">
        <f t="shared" si="16"/>
        <v>3.5</v>
      </c>
      <c r="BG24" s="22">
        <f t="shared" si="17"/>
        <v>5.5</v>
      </c>
      <c r="BH24" s="205">
        <f>($IR24+(($IQ24-1)*$IS24)+$IT24)*BQ24/144</f>
        <v>0.77190625000000002</v>
      </c>
      <c r="BI24" s="206" t="str">
        <f t="shared" si="19"/>
        <v>(0.07)</v>
      </c>
      <c r="BJ24" s="207">
        <v>2</v>
      </c>
      <c r="BK24" s="207">
        <f t="shared" si="20"/>
        <v>3.5</v>
      </c>
      <c r="BL24" s="207">
        <v>0</v>
      </c>
      <c r="BM24" s="207">
        <f t="shared" si="21"/>
        <v>0</v>
      </c>
      <c r="BN24" s="207">
        <v>0</v>
      </c>
      <c r="BO24" s="207">
        <f t="shared" si="22"/>
        <v>0</v>
      </c>
      <c r="BP24" s="207">
        <f t="shared" si="23"/>
        <v>3.5</v>
      </c>
      <c r="BQ24" s="208">
        <f t="shared" si="24"/>
        <v>8.5</v>
      </c>
      <c r="BR24" s="205">
        <f t="shared" si="25"/>
        <v>1.31678125</v>
      </c>
      <c r="BS24" s="206" t="str">
        <f t="shared" si="26"/>
        <v>(0.12)</v>
      </c>
      <c r="BT24" s="207">
        <v>2</v>
      </c>
      <c r="BU24" s="207">
        <f t="shared" si="27"/>
        <v>3.5</v>
      </c>
      <c r="BV24" s="207">
        <v>0</v>
      </c>
      <c r="BW24" s="207">
        <f t="shared" si="28"/>
        <v>0</v>
      </c>
      <c r="BX24" s="207">
        <v>0</v>
      </c>
      <c r="BY24" s="207">
        <f t="shared" si="29"/>
        <v>0</v>
      </c>
      <c r="BZ24" s="207">
        <f t="shared" si="30"/>
        <v>3.5</v>
      </c>
      <c r="CA24" s="208">
        <f t="shared" si="31"/>
        <v>14.5</v>
      </c>
      <c r="CB24" s="205">
        <f t="shared" si="32"/>
        <v>1.8616562500000002</v>
      </c>
      <c r="CC24" s="206" t="str">
        <f t="shared" si="33"/>
        <v>(0.17)</v>
      </c>
      <c r="CD24" s="207">
        <v>2</v>
      </c>
      <c r="CE24" s="207">
        <f t="shared" si="34"/>
        <v>3.5</v>
      </c>
      <c r="CF24" s="207">
        <v>0</v>
      </c>
      <c r="CG24" s="207">
        <f t="shared" si="35"/>
        <v>0</v>
      </c>
      <c r="CH24" s="207">
        <v>0</v>
      </c>
      <c r="CI24" s="207">
        <f t="shared" si="36"/>
        <v>0</v>
      </c>
      <c r="CJ24" s="207">
        <f t="shared" si="37"/>
        <v>3.5</v>
      </c>
      <c r="CK24" s="208">
        <f t="shared" si="38"/>
        <v>20.5</v>
      </c>
      <c r="CL24" s="205">
        <f t="shared" si="39"/>
        <v>2.40653125</v>
      </c>
      <c r="CM24" s="206" t="str">
        <f t="shared" si="40"/>
        <v>(0.22)</v>
      </c>
      <c r="CN24" s="207">
        <v>2</v>
      </c>
      <c r="CO24" s="207">
        <f t="shared" si="41"/>
        <v>3.5</v>
      </c>
      <c r="CP24" s="207">
        <v>0</v>
      </c>
      <c r="CQ24" s="207">
        <f t="shared" si="42"/>
        <v>0</v>
      </c>
      <c r="CR24" s="207">
        <v>0</v>
      </c>
      <c r="CS24" s="207">
        <f t="shared" si="43"/>
        <v>0</v>
      </c>
      <c r="CT24" s="207">
        <f t="shared" si="44"/>
        <v>3.5</v>
      </c>
      <c r="CU24" s="208">
        <f t="shared" si="45"/>
        <v>26.5</v>
      </c>
      <c r="CV24" s="205">
        <f t="shared" si="46"/>
        <v>2.9514062499999998</v>
      </c>
      <c r="CW24" s="206" t="str">
        <f t="shared" si="47"/>
        <v>(0.27)</v>
      </c>
      <c r="CX24" s="207">
        <v>2</v>
      </c>
      <c r="CY24" s="207">
        <f t="shared" si="48"/>
        <v>3.5</v>
      </c>
      <c r="CZ24" s="207">
        <v>0</v>
      </c>
      <c r="DA24" s="207">
        <f t="shared" si="49"/>
        <v>0</v>
      </c>
      <c r="DB24" s="207">
        <v>0</v>
      </c>
      <c r="DC24" s="207">
        <f t="shared" si="50"/>
        <v>0</v>
      </c>
      <c r="DD24" s="207">
        <f t="shared" si="51"/>
        <v>3.5</v>
      </c>
      <c r="DE24" s="208">
        <f t="shared" si="52"/>
        <v>32.5</v>
      </c>
      <c r="DF24" s="205">
        <f t="shared" si="53"/>
        <v>3.49628125</v>
      </c>
      <c r="DG24" s="206" t="str">
        <f t="shared" si="54"/>
        <v>(0.32)</v>
      </c>
      <c r="DH24" s="207">
        <v>2</v>
      </c>
      <c r="DI24" s="207">
        <f t="shared" si="55"/>
        <v>3.5</v>
      </c>
      <c r="DJ24" s="207">
        <v>0</v>
      </c>
      <c r="DK24" s="207">
        <f t="shared" si="56"/>
        <v>0</v>
      </c>
      <c r="DL24" s="207">
        <v>0</v>
      </c>
      <c r="DM24" s="207">
        <f t="shared" si="57"/>
        <v>0</v>
      </c>
      <c r="DN24" s="207">
        <f t="shared" si="58"/>
        <v>3.5</v>
      </c>
      <c r="DO24" s="208">
        <f t="shared" si="59"/>
        <v>38.5</v>
      </c>
      <c r="DP24" s="205">
        <f t="shared" si="60"/>
        <v>4.0411562500000002</v>
      </c>
      <c r="DQ24" s="206" t="str">
        <f t="shared" si="61"/>
        <v>(0.38)</v>
      </c>
      <c r="DR24" s="207">
        <v>2</v>
      </c>
      <c r="DS24" s="207">
        <f t="shared" si="62"/>
        <v>3.5</v>
      </c>
      <c r="DT24" s="207">
        <v>0</v>
      </c>
      <c r="DU24" s="207">
        <f t="shared" si="63"/>
        <v>0</v>
      </c>
      <c r="DV24" s="207">
        <v>0</v>
      </c>
      <c r="DW24" s="207">
        <f t="shared" si="64"/>
        <v>0</v>
      </c>
      <c r="DX24" s="207">
        <f t="shared" si="65"/>
        <v>3.5</v>
      </c>
      <c r="DY24" s="208">
        <f t="shared" si="66"/>
        <v>44.5</v>
      </c>
      <c r="DZ24" s="205">
        <f t="shared" si="67"/>
        <v>4.4952187500000003</v>
      </c>
      <c r="EA24" s="206" t="str">
        <f t="shared" si="68"/>
        <v>(0.42)</v>
      </c>
      <c r="EB24" s="207">
        <v>2</v>
      </c>
      <c r="EC24" s="207">
        <f t="shared" si="69"/>
        <v>3.5</v>
      </c>
      <c r="ED24" s="207">
        <v>0</v>
      </c>
      <c r="EE24" s="207">
        <f t="shared" si="70"/>
        <v>0</v>
      </c>
      <c r="EF24" s="207">
        <v>1</v>
      </c>
      <c r="EG24" s="207">
        <f t="shared" si="71"/>
        <v>1</v>
      </c>
      <c r="EH24" s="207">
        <f t="shared" si="72"/>
        <v>4.5</v>
      </c>
      <c r="EI24" s="208">
        <f t="shared" si="73"/>
        <v>49.5</v>
      </c>
      <c r="EJ24" s="205">
        <f t="shared" si="74"/>
        <v>5.0400937500000005</v>
      </c>
      <c r="EK24" s="206" t="str">
        <f t="shared" si="75"/>
        <v>(0.47)</v>
      </c>
      <c r="EL24" s="207">
        <v>2</v>
      </c>
      <c r="EM24" s="207">
        <f t="shared" si="76"/>
        <v>3.5</v>
      </c>
      <c r="EN24" s="207">
        <v>0</v>
      </c>
      <c r="EO24" s="207">
        <f t="shared" si="77"/>
        <v>0</v>
      </c>
      <c r="EP24" s="207">
        <v>1</v>
      </c>
      <c r="EQ24" s="207">
        <f t="shared" si="78"/>
        <v>1</v>
      </c>
      <c r="ER24" s="207">
        <f t="shared" si="79"/>
        <v>4.5</v>
      </c>
      <c r="ES24" s="208">
        <f t="shared" si="80"/>
        <v>55.5</v>
      </c>
      <c r="ET24" s="205">
        <f t="shared" si="81"/>
        <v>5.5849687499999998</v>
      </c>
      <c r="EU24" s="206" t="str">
        <f t="shared" si="82"/>
        <v>(0.52)</v>
      </c>
      <c r="EV24" s="207">
        <v>2</v>
      </c>
      <c r="EW24" s="207">
        <f t="shared" si="83"/>
        <v>3.5</v>
      </c>
      <c r="EX24" s="207">
        <v>0</v>
      </c>
      <c r="EY24" s="207">
        <f t="shared" si="84"/>
        <v>0</v>
      </c>
      <c r="EZ24" s="207">
        <v>1</v>
      </c>
      <c r="FA24" s="207">
        <f t="shared" si="85"/>
        <v>1</v>
      </c>
      <c r="FB24" s="207">
        <f t="shared" si="86"/>
        <v>4.5</v>
      </c>
      <c r="FC24" s="208">
        <f t="shared" si="87"/>
        <v>61.5</v>
      </c>
      <c r="FD24" s="205">
        <f t="shared" si="88"/>
        <v>6.2206562500000002</v>
      </c>
      <c r="FE24" s="206" t="str">
        <f t="shared" si="89"/>
        <v>(0.58)</v>
      </c>
      <c r="FF24" s="207">
        <v>2</v>
      </c>
      <c r="FG24" s="207">
        <f t="shared" si="90"/>
        <v>3.5</v>
      </c>
      <c r="FH24" s="469">
        <v>0</v>
      </c>
      <c r="FI24" s="207">
        <f t="shared" si="91"/>
        <v>0</v>
      </c>
      <c r="FJ24" s="207">
        <v>0</v>
      </c>
      <c r="FK24" s="207">
        <f t="shared" si="92"/>
        <v>0</v>
      </c>
      <c r="FL24" s="207">
        <f t="shared" si="93"/>
        <v>3.5</v>
      </c>
      <c r="FM24" s="208">
        <f t="shared" si="94"/>
        <v>68.5</v>
      </c>
      <c r="FN24" s="205">
        <f t="shared" si="95"/>
        <v>6.6633671874999996</v>
      </c>
      <c r="FO24" s="206" t="str">
        <f t="shared" si="96"/>
        <v>(0.62)</v>
      </c>
      <c r="FP24" s="207">
        <v>2</v>
      </c>
      <c r="FQ24" s="207">
        <f t="shared" si="97"/>
        <v>3.5</v>
      </c>
      <c r="FR24" s="207">
        <v>1</v>
      </c>
      <c r="FS24" s="207">
        <f t="shared" si="98"/>
        <v>1.125</v>
      </c>
      <c r="FT24" s="207">
        <v>0</v>
      </c>
      <c r="FU24" s="207">
        <f t="shared" si="99"/>
        <v>0</v>
      </c>
      <c r="FV24" s="207">
        <f t="shared" si="100"/>
        <v>4.625</v>
      </c>
      <c r="FW24" s="208">
        <f t="shared" si="101"/>
        <v>73.375</v>
      </c>
      <c r="FX24" s="205">
        <f t="shared" si="102"/>
        <v>7.2082421875000007</v>
      </c>
      <c r="FY24" s="206" t="str">
        <f t="shared" si="103"/>
        <v>(0.67)</v>
      </c>
      <c r="FZ24" s="207">
        <v>2</v>
      </c>
      <c r="GA24" s="207">
        <f t="shared" si="104"/>
        <v>3.5</v>
      </c>
      <c r="GB24" s="207">
        <v>1</v>
      </c>
      <c r="GC24" s="207">
        <f t="shared" si="105"/>
        <v>1.125</v>
      </c>
      <c r="GD24" s="207">
        <v>0</v>
      </c>
      <c r="GE24" s="207">
        <f t="shared" si="106"/>
        <v>0</v>
      </c>
      <c r="GF24" s="207">
        <f t="shared" si="107"/>
        <v>4.625</v>
      </c>
      <c r="GG24" s="208">
        <f t="shared" si="108"/>
        <v>79.375</v>
      </c>
      <c r="GH24" s="205">
        <f t="shared" si="109"/>
        <v>7.7531171875</v>
      </c>
      <c r="GI24" s="206" t="str">
        <f t="shared" si="110"/>
        <v>(0.72)</v>
      </c>
      <c r="GJ24" s="207">
        <v>2</v>
      </c>
      <c r="GK24" s="207">
        <f t="shared" si="111"/>
        <v>3.5</v>
      </c>
      <c r="GL24" s="207">
        <v>1</v>
      </c>
      <c r="GM24" s="207">
        <f t="shared" si="112"/>
        <v>1.125</v>
      </c>
      <c r="GN24" s="207">
        <v>0</v>
      </c>
      <c r="GO24" s="207">
        <f t="shared" si="113"/>
        <v>0</v>
      </c>
      <c r="GP24" s="207">
        <f t="shared" si="114"/>
        <v>4.625</v>
      </c>
      <c r="GQ24" s="208">
        <f t="shared" si="115"/>
        <v>85.375</v>
      </c>
      <c r="GR24" s="205">
        <f t="shared" si="116"/>
        <v>8.2979921875000002</v>
      </c>
      <c r="GS24" s="206" t="str">
        <f t="shared" si="117"/>
        <v>(0.77)</v>
      </c>
      <c r="GT24" s="207">
        <v>2</v>
      </c>
      <c r="GU24" s="207">
        <f t="shared" si="118"/>
        <v>3.5</v>
      </c>
      <c r="GV24" s="207">
        <v>1</v>
      </c>
      <c r="GW24" s="207">
        <f t="shared" si="119"/>
        <v>1.125</v>
      </c>
      <c r="GX24" s="207">
        <v>0</v>
      </c>
      <c r="GY24" s="207">
        <f t="shared" si="120"/>
        <v>0</v>
      </c>
      <c r="GZ24" s="207">
        <f t="shared" si="121"/>
        <v>4.625</v>
      </c>
      <c r="HA24" s="208">
        <f t="shared" si="122"/>
        <v>91.375</v>
      </c>
      <c r="HB24" s="205">
        <f t="shared" si="123"/>
        <v>8.8428671874999996</v>
      </c>
      <c r="HC24" s="206" t="str">
        <f t="shared" si="124"/>
        <v>(0.82)</v>
      </c>
      <c r="HD24" s="207">
        <v>2</v>
      </c>
      <c r="HE24" s="207">
        <f t="shared" si="125"/>
        <v>3.5</v>
      </c>
      <c r="HF24" s="207">
        <v>1</v>
      </c>
      <c r="HG24" s="207">
        <f t="shared" si="126"/>
        <v>1.125</v>
      </c>
      <c r="HH24" s="207">
        <v>0</v>
      </c>
      <c r="HI24" s="207">
        <f t="shared" si="127"/>
        <v>0</v>
      </c>
      <c r="HJ24" s="207">
        <f t="shared" si="128"/>
        <v>4.625</v>
      </c>
      <c r="HK24" s="208">
        <f t="shared" si="129"/>
        <v>97.375</v>
      </c>
      <c r="HL24" s="205">
        <f t="shared" si="130"/>
        <v>9.2061171875000003</v>
      </c>
      <c r="HM24" s="206" t="str">
        <f t="shared" si="131"/>
        <v>(0.86)</v>
      </c>
      <c r="HN24" s="207">
        <v>2</v>
      </c>
      <c r="HO24" s="207">
        <f t="shared" si="132"/>
        <v>3.5</v>
      </c>
      <c r="HP24" s="207">
        <v>1</v>
      </c>
      <c r="HQ24" s="207">
        <f t="shared" si="133"/>
        <v>1.125</v>
      </c>
      <c r="HR24" s="207">
        <v>2</v>
      </c>
      <c r="HS24" s="207">
        <f t="shared" si="134"/>
        <v>2</v>
      </c>
      <c r="HT24" s="207">
        <f t="shared" si="135"/>
        <v>6.625</v>
      </c>
      <c r="HU24" s="208">
        <f t="shared" si="136"/>
        <v>101.375</v>
      </c>
      <c r="HV24" s="205">
        <f t="shared" si="137"/>
        <v>9.7509921874999996</v>
      </c>
      <c r="HW24" s="206" t="str">
        <f t="shared" si="138"/>
        <v>(0.91)</v>
      </c>
      <c r="HX24" s="207">
        <v>2</v>
      </c>
      <c r="HY24" s="207">
        <f t="shared" si="139"/>
        <v>3.5</v>
      </c>
      <c r="HZ24" s="207">
        <v>1</v>
      </c>
      <c r="IA24" s="207">
        <f t="shared" si="140"/>
        <v>1.125</v>
      </c>
      <c r="IB24" s="207">
        <v>2</v>
      </c>
      <c r="IC24" s="207">
        <f t="shared" si="141"/>
        <v>2</v>
      </c>
      <c r="ID24" s="207">
        <f t="shared" si="142"/>
        <v>6.625</v>
      </c>
      <c r="IE24" s="208">
        <f t="shared" si="143"/>
        <v>107.375</v>
      </c>
      <c r="IF24" s="205">
        <f t="shared" si="144"/>
        <v>10.295867187500001</v>
      </c>
      <c r="IG24" s="206" t="str">
        <f t="shared" si="145"/>
        <v>(0.96)</v>
      </c>
      <c r="IH24" s="21">
        <v>2</v>
      </c>
      <c r="II24" s="21">
        <f t="shared" si="146"/>
        <v>3.5</v>
      </c>
      <c r="IJ24" s="21">
        <v>1</v>
      </c>
      <c r="IK24" s="21">
        <f t="shared" si="147"/>
        <v>1.125</v>
      </c>
      <c r="IL24" s="21">
        <v>2</v>
      </c>
      <c r="IM24" s="21">
        <f t="shared" si="148"/>
        <v>2</v>
      </c>
      <c r="IN24" s="21">
        <f t="shared" si="149"/>
        <v>6.625</v>
      </c>
      <c r="IO24" s="22">
        <f t="shared" si="150"/>
        <v>113.375</v>
      </c>
      <c r="IP24" s="23"/>
      <c r="IQ24" s="24">
        <v>4</v>
      </c>
      <c r="IR24" s="25">
        <v>3.1160000000000001</v>
      </c>
      <c r="IS24" s="25">
        <v>3.0659999999999998</v>
      </c>
      <c r="IT24" s="25">
        <v>0.76300000000000001</v>
      </c>
      <c r="IU24" s="25">
        <v>1.75</v>
      </c>
      <c r="IV24" s="25">
        <v>1</v>
      </c>
      <c r="IW24" s="25">
        <v>1.125</v>
      </c>
      <c r="IX24" s="7"/>
    </row>
    <row r="25" spans="2:258" ht="15.75" thickBot="1" x14ac:dyDescent="0.3">
      <c r="B25" s="80">
        <f t="shared" si="9"/>
        <v>48</v>
      </c>
      <c r="C25" s="148">
        <v>9</v>
      </c>
      <c r="D25" s="487"/>
      <c r="E25" s="468">
        <f t="shared" si="8"/>
        <v>0.43965364583333333</v>
      </c>
      <c r="F25" s="468">
        <f t="shared" si="0"/>
        <v>0.49999826388888885</v>
      </c>
      <c r="G25" s="468">
        <f t="shared" si="1"/>
        <v>0.53017057291666658</v>
      </c>
      <c r="H25" s="468">
        <f>CL28/((H$16*$B25)/144)</f>
        <v>0.54827395833333337</v>
      </c>
      <c r="I25" s="468">
        <f t="shared" si="3"/>
        <v>0.56034288194444437</v>
      </c>
      <c r="J25" s="468">
        <f t="shared" si="4"/>
        <v>0.56896354166666663</v>
      </c>
      <c r="K25" s="468">
        <f t="shared" si="5"/>
        <v>0.57542903645833332</v>
      </c>
      <c r="L25" s="468">
        <f t="shared" si="6"/>
        <v>0.56896354166666674</v>
      </c>
      <c r="M25" s="468">
        <f t="shared" si="7"/>
        <v>0.57413593750000003</v>
      </c>
      <c r="N25" s="488"/>
      <c r="O25" s="488"/>
      <c r="P25" s="488"/>
      <c r="Q25" s="488"/>
      <c r="R25" s="488"/>
      <c r="S25" s="488"/>
      <c r="T25" s="488"/>
      <c r="U25" s="488"/>
      <c r="V25" s="488"/>
      <c r="W25" s="488"/>
      <c r="X25" s="76"/>
      <c r="Y25" s="46"/>
      <c r="AA25" s="61"/>
      <c r="AT25" s="3"/>
      <c r="AU25" s="26">
        <f t="shared" si="151"/>
        <v>30</v>
      </c>
      <c r="AV25" s="27" t="str">
        <f t="shared" si="10"/>
        <v>(750)</v>
      </c>
      <c r="AW25" s="18"/>
      <c r="AX25" s="19">
        <f t="shared" si="11"/>
        <v>0.66951041666666666</v>
      </c>
      <c r="AY25" s="28" t="str">
        <f t="shared" si="12"/>
        <v>(0.06)</v>
      </c>
      <c r="AZ25" s="21">
        <v>2</v>
      </c>
      <c r="BA25" s="21">
        <f t="shared" si="13"/>
        <v>3.5</v>
      </c>
      <c r="BB25" s="29">
        <v>0</v>
      </c>
      <c r="BC25" s="21">
        <f t="shared" si="14"/>
        <v>0</v>
      </c>
      <c r="BD25" s="29">
        <v>0</v>
      </c>
      <c r="BE25" s="21">
        <f t="shared" si="15"/>
        <v>0</v>
      </c>
      <c r="BF25" s="21">
        <f t="shared" si="16"/>
        <v>3.5</v>
      </c>
      <c r="BG25" s="22">
        <f t="shared" si="17"/>
        <v>5.5</v>
      </c>
      <c r="BH25" s="205">
        <f t="shared" si="18"/>
        <v>1.0346979166666666</v>
      </c>
      <c r="BI25" s="206" t="str">
        <f t="shared" si="19"/>
        <v>(0.10)</v>
      </c>
      <c r="BJ25" s="207">
        <v>2</v>
      </c>
      <c r="BK25" s="207">
        <f t="shared" si="20"/>
        <v>3.5</v>
      </c>
      <c r="BL25" s="207">
        <v>0</v>
      </c>
      <c r="BM25" s="207">
        <f t="shared" si="21"/>
        <v>0</v>
      </c>
      <c r="BN25" s="207">
        <v>0</v>
      </c>
      <c r="BO25" s="207">
        <f t="shared" si="22"/>
        <v>0</v>
      </c>
      <c r="BP25" s="207">
        <f t="shared" si="23"/>
        <v>3.5</v>
      </c>
      <c r="BQ25" s="208">
        <f t="shared" si="24"/>
        <v>8.5</v>
      </c>
      <c r="BR25" s="205">
        <f t="shared" si="25"/>
        <v>1.7650729166666668</v>
      </c>
      <c r="BS25" s="206" t="str">
        <f t="shared" si="26"/>
        <v>(0.16)</v>
      </c>
      <c r="BT25" s="207">
        <v>2</v>
      </c>
      <c r="BU25" s="207">
        <f t="shared" si="27"/>
        <v>3.5</v>
      </c>
      <c r="BV25" s="207">
        <v>0</v>
      </c>
      <c r="BW25" s="207">
        <f t="shared" si="28"/>
        <v>0</v>
      </c>
      <c r="BX25" s="207">
        <v>0</v>
      </c>
      <c r="BY25" s="207">
        <f t="shared" si="29"/>
        <v>0</v>
      </c>
      <c r="BZ25" s="207">
        <f t="shared" si="30"/>
        <v>3.5</v>
      </c>
      <c r="CA25" s="208">
        <f t="shared" si="31"/>
        <v>14.5</v>
      </c>
      <c r="CB25" s="205">
        <f t="shared" si="32"/>
        <v>2.4954479166666665</v>
      </c>
      <c r="CC25" s="206" t="str">
        <f t="shared" si="33"/>
        <v>(0.23)</v>
      </c>
      <c r="CD25" s="207">
        <v>2</v>
      </c>
      <c r="CE25" s="207">
        <f t="shared" si="34"/>
        <v>3.5</v>
      </c>
      <c r="CF25" s="207">
        <v>0</v>
      </c>
      <c r="CG25" s="207">
        <f t="shared" si="35"/>
        <v>0</v>
      </c>
      <c r="CH25" s="207">
        <v>0</v>
      </c>
      <c r="CI25" s="207">
        <f t="shared" si="36"/>
        <v>0</v>
      </c>
      <c r="CJ25" s="207">
        <f t="shared" si="37"/>
        <v>3.5</v>
      </c>
      <c r="CK25" s="208">
        <f t="shared" si="38"/>
        <v>20.5</v>
      </c>
      <c r="CL25" s="205">
        <f t="shared" si="39"/>
        <v>3.225822916666667</v>
      </c>
      <c r="CM25" s="206" t="str">
        <f t="shared" si="40"/>
        <v>(0.3)</v>
      </c>
      <c r="CN25" s="207">
        <v>2</v>
      </c>
      <c r="CO25" s="207">
        <f t="shared" si="41"/>
        <v>3.5</v>
      </c>
      <c r="CP25" s="207">
        <v>0</v>
      </c>
      <c r="CQ25" s="207">
        <f t="shared" si="42"/>
        <v>0</v>
      </c>
      <c r="CR25" s="207">
        <v>0</v>
      </c>
      <c r="CS25" s="207">
        <f t="shared" si="43"/>
        <v>0</v>
      </c>
      <c r="CT25" s="207">
        <f t="shared" si="44"/>
        <v>3.5</v>
      </c>
      <c r="CU25" s="208">
        <f t="shared" si="45"/>
        <v>26.5</v>
      </c>
      <c r="CV25" s="205">
        <f t="shared" si="46"/>
        <v>3.9561979166666665</v>
      </c>
      <c r="CW25" s="206" t="str">
        <f t="shared" si="47"/>
        <v>(0.37)</v>
      </c>
      <c r="CX25" s="207">
        <v>2</v>
      </c>
      <c r="CY25" s="207">
        <f t="shared" si="48"/>
        <v>3.5</v>
      </c>
      <c r="CZ25" s="207">
        <v>0</v>
      </c>
      <c r="DA25" s="207">
        <f t="shared" si="49"/>
        <v>0</v>
      </c>
      <c r="DB25" s="207">
        <v>0</v>
      </c>
      <c r="DC25" s="207">
        <f t="shared" si="50"/>
        <v>0</v>
      </c>
      <c r="DD25" s="207">
        <f t="shared" si="51"/>
        <v>3.5</v>
      </c>
      <c r="DE25" s="208">
        <f t="shared" si="52"/>
        <v>32.5</v>
      </c>
      <c r="DF25" s="205">
        <f t="shared" si="53"/>
        <v>4.6865729166666661</v>
      </c>
      <c r="DG25" s="206" t="str">
        <f t="shared" si="54"/>
        <v>(0.44)</v>
      </c>
      <c r="DH25" s="207">
        <v>2</v>
      </c>
      <c r="DI25" s="207">
        <f t="shared" si="55"/>
        <v>3.5</v>
      </c>
      <c r="DJ25" s="207">
        <v>0</v>
      </c>
      <c r="DK25" s="207">
        <f t="shared" si="56"/>
        <v>0</v>
      </c>
      <c r="DL25" s="207">
        <v>0</v>
      </c>
      <c r="DM25" s="207">
        <f t="shared" si="57"/>
        <v>0</v>
      </c>
      <c r="DN25" s="207">
        <f t="shared" si="58"/>
        <v>3.5</v>
      </c>
      <c r="DO25" s="208">
        <f t="shared" si="59"/>
        <v>38.5</v>
      </c>
      <c r="DP25" s="205">
        <f t="shared" si="60"/>
        <v>5.4169479166666665</v>
      </c>
      <c r="DQ25" s="206" t="str">
        <f t="shared" si="61"/>
        <v>(0.5)</v>
      </c>
      <c r="DR25" s="207">
        <v>2</v>
      </c>
      <c r="DS25" s="207">
        <f t="shared" si="62"/>
        <v>3.5</v>
      </c>
      <c r="DT25" s="207">
        <v>0</v>
      </c>
      <c r="DU25" s="207">
        <f t="shared" si="63"/>
        <v>0</v>
      </c>
      <c r="DV25" s="207">
        <v>0</v>
      </c>
      <c r="DW25" s="207">
        <f t="shared" si="64"/>
        <v>0</v>
      </c>
      <c r="DX25" s="207">
        <f t="shared" si="65"/>
        <v>3.5</v>
      </c>
      <c r="DY25" s="208">
        <f t="shared" si="66"/>
        <v>44.5</v>
      </c>
      <c r="DZ25" s="205">
        <f t="shared" si="67"/>
        <v>6.0255937500000005</v>
      </c>
      <c r="EA25" s="206" t="str">
        <f t="shared" si="68"/>
        <v>(0.56)</v>
      </c>
      <c r="EB25" s="207">
        <v>2</v>
      </c>
      <c r="EC25" s="207">
        <f t="shared" si="69"/>
        <v>3.5</v>
      </c>
      <c r="ED25" s="207">
        <v>0</v>
      </c>
      <c r="EE25" s="207">
        <f t="shared" si="70"/>
        <v>0</v>
      </c>
      <c r="EF25" s="207">
        <v>1</v>
      </c>
      <c r="EG25" s="207">
        <f t="shared" si="71"/>
        <v>1</v>
      </c>
      <c r="EH25" s="207">
        <f t="shared" si="72"/>
        <v>4.5</v>
      </c>
      <c r="EI25" s="208">
        <f t="shared" si="73"/>
        <v>49.5</v>
      </c>
      <c r="EJ25" s="205">
        <f t="shared" si="74"/>
        <v>6.7559687500000001</v>
      </c>
      <c r="EK25" s="206" t="str">
        <f t="shared" si="75"/>
        <v>(0.63)</v>
      </c>
      <c r="EL25" s="207">
        <v>2</v>
      </c>
      <c r="EM25" s="207">
        <f t="shared" si="76"/>
        <v>3.5</v>
      </c>
      <c r="EN25" s="207">
        <v>0</v>
      </c>
      <c r="EO25" s="207">
        <f t="shared" si="77"/>
        <v>0</v>
      </c>
      <c r="EP25" s="207">
        <v>1</v>
      </c>
      <c r="EQ25" s="207">
        <f t="shared" si="78"/>
        <v>1</v>
      </c>
      <c r="ER25" s="207">
        <f t="shared" si="79"/>
        <v>4.5</v>
      </c>
      <c r="ES25" s="208">
        <f t="shared" si="80"/>
        <v>55.5</v>
      </c>
      <c r="ET25" s="205">
        <f t="shared" si="81"/>
        <v>7.4863437499999996</v>
      </c>
      <c r="EU25" s="206" t="str">
        <f t="shared" si="82"/>
        <v>(0.70)</v>
      </c>
      <c r="EV25" s="207">
        <v>2</v>
      </c>
      <c r="EW25" s="207">
        <f t="shared" si="83"/>
        <v>3.5</v>
      </c>
      <c r="EX25" s="207">
        <v>0</v>
      </c>
      <c r="EY25" s="207">
        <f t="shared" si="84"/>
        <v>0</v>
      </c>
      <c r="EZ25" s="207">
        <v>1</v>
      </c>
      <c r="FA25" s="207">
        <f t="shared" si="85"/>
        <v>1</v>
      </c>
      <c r="FB25" s="207">
        <f t="shared" si="86"/>
        <v>4.5</v>
      </c>
      <c r="FC25" s="208">
        <f t="shared" si="87"/>
        <v>61.5</v>
      </c>
      <c r="FD25" s="205">
        <f t="shared" si="88"/>
        <v>8.3384479166666665</v>
      </c>
      <c r="FE25" s="206" t="str">
        <f t="shared" si="89"/>
        <v>(0.77)</v>
      </c>
      <c r="FF25" s="207">
        <v>2</v>
      </c>
      <c r="FG25" s="207">
        <f t="shared" si="90"/>
        <v>3.5</v>
      </c>
      <c r="FH25" s="469">
        <v>0</v>
      </c>
      <c r="FI25" s="207">
        <f t="shared" si="91"/>
        <v>0</v>
      </c>
      <c r="FJ25" s="207">
        <v>0</v>
      </c>
      <c r="FK25" s="207">
        <f t="shared" si="92"/>
        <v>0</v>
      </c>
      <c r="FL25" s="207">
        <f t="shared" si="93"/>
        <v>3.5</v>
      </c>
      <c r="FM25" s="208">
        <f t="shared" si="94"/>
        <v>68.5</v>
      </c>
      <c r="FN25" s="205">
        <f t="shared" si="95"/>
        <v>8.9318776041666652</v>
      </c>
      <c r="FO25" s="206" t="str">
        <f t="shared" si="96"/>
        <v>(0.83)</v>
      </c>
      <c r="FP25" s="207">
        <v>2</v>
      </c>
      <c r="FQ25" s="207">
        <f t="shared" si="97"/>
        <v>3.5</v>
      </c>
      <c r="FR25" s="207">
        <v>1</v>
      </c>
      <c r="FS25" s="207">
        <f t="shared" si="98"/>
        <v>1.125</v>
      </c>
      <c r="FT25" s="207">
        <v>0</v>
      </c>
      <c r="FU25" s="207">
        <f t="shared" si="99"/>
        <v>0</v>
      </c>
      <c r="FV25" s="207">
        <f t="shared" si="100"/>
        <v>4.625</v>
      </c>
      <c r="FW25" s="208">
        <f t="shared" si="101"/>
        <v>73.375</v>
      </c>
      <c r="FX25" s="205">
        <f t="shared" si="102"/>
        <v>9.6622526041666656</v>
      </c>
      <c r="FY25" s="206" t="str">
        <f t="shared" si="103"/>
        <v>(0.90)</v>
      </c>
      <c r="FZ25" s="207">
        <v>2</v>
      </c>
      <c r="GA25" s="207">
        <f t="shared" si="104"/>
        <v>3.5</v>
      </c>
      <c r="GB25" s="207">
        <v>1</v>
      </c>
      <c r="GC25" s="207">
        <f t="shared" si="105"/>
        <v>1.125</v>
      </c>
      <c r="GD25" s="207">
        <v>0</v>
      </c>
      <c r="GE25" s="207">
        <f t="shared" si="106"/>
        <v>0</v>
      </c>
      <c r="GF25" s="207">
        <f t="shared" si="107"/>
        <v>4.625</v>
      </c>
      <c r="GG25" s="208">
        <f t="shared" si="108"/>
        <v>79.375</v>
      </c>
      <c r="GH25" s="205">
        <f t="shared" si="109"/>
        <v>10.392627604166668</v>
      </c>
      <c r="GI25" s="206" t="str">
        <f t="shared" si="110"/>
        <v>(0.97)</v>
      </c>
      <c r="GJ25" s="207">
        <v>2</v>
      </c>
      <c r="GK25" s="207">
        <f t="shared" si="111"/>
        <v>3.5</v>
      </c>
      <c r="GL25" s="207">
        <v>1</v>
      </c>
      <c r="GM25" s="207">
        <f t="shared" si="112"/>
        <v>1.125</v>
      </c>
      <c r="GN25" s="207">
        <v>0</v>
      </c>
      <c r="GO25" s="207">
        <f t="shared" si="113"/>
        <v>0</v>
      </c>
      <c r="GP25" s="207">
        <f t="shared" si="114"/>
        <v>4.625</v>
      </c>
      <c r="GQ25" s="208">
        <f t="shared" si="115"/>
        <v>85.375</v>
      </c>
      <c r="GR25" s="205">
        <f t="shared" si="116"/>
        <v>11.123002604166667</v>
      </c>
      <c r="GS25" s="206" t="str">
        <f t="shared" si="117"/>
        <v>(1.03)</v>
      </c>
      <c r="GT25" s="207">
        <v>2</v>
      </c>
      <c r="GU25" s="207">
        <f t="shared" si="118"/>
        <v>3.5</v>
      </c>
      <c r="GV25" s="207">
        <v>1</v>
      </c>
      <c r="GW25" s="207">
        <f t="shared" si="119"/>
        <v>1.125</v>
      </c>
      <c r="GX25" s="207">
        <v>0</v>
      </c>
      <c r="GY25" s="207">
        <f t="shared" si="120"/>
        <v>0</v>
      </c>
      <c r="GZ25" s="207">
        <f t="shared" si="121"/>
        <v>4.625</v>
      </c>
      <c r="HA25" s="208">
        <f t="shared" si="122"/>
        <v>91.375</v>
      </c>
      <c r="HB25" s="205">
        <f t="shared" si="123"/>
        <v>11.853377604166667</v>
      </c>
      <c r="HC25" s="206" t="str">
        <f t="shared" si="124"/>
        <v>(1.10)</v>
      </c>
      <c r="HD25" s="207">
        <v>2</v>
      </c>
      <c r="HE25" s="207">
        <f t="shared" si="125"/>
        <v>3.5</v>
      </c>
      <c r="HF25" s="207">
        <v>1</v>
      </c>
      <c r="HG25" s="207">
        <f t="shared" si="126"/>
        <v>1.125</v>
      </c>
      <c r="HH25" s="207">
        <v>0</v>
      </c>
      <c r="HI25" s="207">
        <f t="shared" si="127"/>
        <v>0</v>
      </c>
      <c r="HJ25" s="207">
        <f t="shared" si="128"/>
        <v>4.625</v>
      </c>
      <c r="HK25" s="208">
        <f t="shared" si="129"/>
        <v>97.375</v>
      </c>
      <c r="HL25" s="205">
        <f t="shared" si="130"/>
        <v>12.340294270833333</v>
      </c>
      <c r="HM25" s="206" t="str">
        <f t="shared" si="131"/>
        <v>(1.15)</v>
      </c>
      <c r="HN25" s="207">
        <v>2</v>
      </c>
      <c r="HO25" s="207">
        <f t="shared" si="132"/>
        <v>3.5</v>
      </c>
      <c r="HP25" s="207">
        <v>1</v>
      </c>
      <c r="HQ25" s="207">
        <f t="shared" si="133"/>
        <v>1.125</v>
      </c>
      <c r="HR25" s="207">
        <v>2</v>
      </c>
      <c r="HS25" s="207">
        <f t="shared" si="134"/>
        <v>2</v>
      </c>
      <c r="HT25" s="207">
        <f t="shared" si="135"/>
        <v>6.625</v>
      </c>
      <c r="HU25" s="208">
        <f t="shared" si="136"/>
        <v>101.375</v>
      </c>
      <c r="HV25" s="205">
        <f t="shared" si="137"/>
        <v>13.070669270833333</v>
      </c>
      <c r="HW25" s="206" t="str">
        <f t="shared" si="138"/>
        <v>(1.21)</v>
      </c>
      <c r="HX25" s="207">
        <v>2</v>
      </c>
      <c r="HY25" s="207">
        <f t="shared" si="139"/>
        <v>3.5</v>
      </c>
      <c r="HZ25" s="207">
        <v>1</v>
      </c>
      <c r="IA25" s="207">
        <f t="shared" si="140"/>
        <v>1.125</v>
      </c>
      <c r="IB25" s="207">
        <v>2</v>
      </c>
      <c r="IC25" s="207">
        <f t="shared" si="141"/>
        <v>2</v>
      </c>
      <c r="ID25" s="207">
        <f t="shared" si="142"/>
        <v>6.625</v>
      </c>
      <c r="IE25" s="208">
        <f t="shared" si="143"/>
        <v>107.375</v>
      </c>
      <c r="IF25" s="205">
        <f t="shared" si="144"/>
        <v>13.801044270833334</v>
      </c>
      <c r="IG25" s="206" t="str">
        <f t="shared" si="145"/>
        <v>(1.28)</v>
      </c>
      <c r="IH25" s="21">
        <v>2</v>
      </c>
      <c r="II25" s="21">
        <f t="shared" si="146"/>
        <v>3.5</v>
      </c>
      <c r="IJ25" s="29">
        <v>1</v>
      </c>
      <c r="IK25" s="21">
        <f t="shared" si="147"/>
        <v>1.125</v>
      </c>
      <c r="IL25" s="21">
        <v>2</v>
      </c>
      <c r="IM25" s="21">
        <f t="shared" si="148"/>
        <v>2</v>
      </c>
      <c r="IN25" s="21">
        <f t="shared" si="149"/>
        <v>6.625</v>
      </c>
      <c r="IO25" s="22">
        <f t="shared" si="150"/>
        <v>113.375</v>
      </c>
      <c r="IP25" s="23"/>
      <c r="IQ25" s="24">
        <v>5</v>
      </c>
      <c r="IR25" s="25">
        <v>3.1160000000000001</v>
      </c>
      <c r="IS25" s="25">
        <v>3.0659999999999998</v>
      </c>
      <c r="IT25" s="25">
        <v>2.149</v>
      </c>
      <c r="IU25" s="25">
        <v>1.75</v>
      </c>
      <c r="IV25" s="25">
        <v>1</v>
      </c>
      <c r="IW25" s="25">
        <v>1.125</v>
      </c>
      <c r="IX25" s="7"/>
    </row>
    <row r="26" spans="2:258" ht="15.75" thickBot="1" x14ac:dyDescent="0.3">
      <c r="B26" s="79">
        <f t="shared" si="9"/>
        <v>54</v>
      </c>
      <c r="C26" s="147">
        <v>10</v>
      </c>
      <c r="D26" s="487"/>
      <c r="E26" s="468">
        <f t="shared" si="8"/>
        <v>0.43626774691358028</v>
      </c>
      <c r="F26" s="468">
        <f t="shared" si="0"/>
        <v>0.49614763374485593</v>
      </c>
      <c r="G26" s="468">
        <f t="shared" si="1"/>
        <v>0.52608757716049381</v>
      </c>
      <c r="H26" s="468">
        <f t="shared" si="2"/>
        <v>0.54405154320987659</v>
      </c>
      <c r="I26" s="468">
        <f t="shared" si="3"/>
        <v>0.5560275205761317</v>
      </c>
      <c r="J26" s="468">
        <f t="shared" si="4"/>
        <v>0.56458179012345677</v>
      </c>
      <c r="K26" s="468">
        <f t="shared" si="5"/>
        <v>0.57099749228395058</v>
      </c>
      <c r="L26" s="468">
        <f t="shared" si="6"/>
        <v>0.56458179012345677</v>
      </c>
      <c r="M26" s="468">
        <f t="shared" si="7"/>
        <v>0.56971435185185193</v>
      </c>
      <c r="N26" s="488"/>
      <c r="O26" s="488"/>
      <c r="P26" s="488"/>
      <c r="Q26" s="488"/>
      <c r="R26" s="488"/>
      <c r="S26" s="488"/>
      <c r="T26" s="488"/>
      <c r="U26" s="488"/>
      <c r="V26" s="488"/>
      <c r="W26" s="488"/>
      <c r="X26" s="76"/>
      <c r="Y26" s="46"/>
      <c r="AA26" s="61"/>
      <c r="AT26" s="3"/>
      <c r="AU26" s="13">
        <f t="shared" si="151"/>
        <v>36</v>
      </c>
      <c r="AV26" s="11" t="str">
        <f t="shared" si="10"/>
        <v>(900)</v>
      </c>
      <c r="AW26" s="18"/>
      <c r="AX26" s="19">
        <f t="shared" si="11"/>
        <v>0.80189236111111095</v>
      </c>
      <c r="AY26" s="20" t="str">
        <f t="shared" si="12"/>
        <v>(0.07)</v>
      </c>
      <c r="AZ26" s="21">
        <v>2</v>
      </c>
      <c r="BA26" s="21">
        <f t="shared" si="13"/>
        <v>3.5</v>
      </c>
      <c r="BB26" s="21">
        <v>0</v>
      </c>
      <c r="BC26" s="21">
        <f t="shared" si="14"/>
        <v>0</v>
      </c>
      <c r="BD26" s="21">
        <v>0</v>
      </c>
      <c r="BE26" s="21">
        <f t="shared" si="15"/>
        <v>0</v>
      </c>
      <c r="BF26" s="21">
        <f t="shared" si="16"/>
        <v>3.5</v>
      </c>
      <c r="BG26" s="22">
        <f t="shared" si="17"/>
        <v>5.5</v>
      </c>
      <c r="BH26" s="205">
        <f t="shared" si="18"/>
        <v>1.2392881944444443</v>
      </c>
      <c r="BI26" s="206" t="str">
        <f t="shared" si="19"/>
        <v>(0.12)</v>
      </c>
      <c r="BJ26" s="207">
        <v>2</v>
      </c>
      <c r="BK26" s="207">
        <f t="shared" si="20"/>
        <v>3.5</v>
      </c>
      <c r="BL26" s="207">
        <v>0</v>
      </c>
      <c r="BM26" s="207">
        <f t="shared" si="21"/>
        <v>0</v>
      </c>
      <c r="BN26" s="207">
        <v>0</v>
      </c>
      <c r="BO26" s="207">
        <f t="shared" si="22"/>
        <v>0</v>
      </c>
      <c r="BP26" s="207">
        <f t="shared" si="23"/>
        <v>3.5</v>
      </c>
      <c r="BQ26" s="208">
        <f t="shared" si="24"/>
        <v>8.5</v>
      </c>
      <c r="BR26" s="205">
        <f t="shared" si="25"/>
        <v>2.1140798611111107</v>
      </c>
      <c r="BS26" s="206" t="str">
        <f t="shared" si="26"/>
        <v>(0.2)</v>
      </c>
      <c r="BT26" s="207">
        <v>2</v>
      </c>
      <c r="BU26" s="207">
        <f t="shared" si="27"/>
        <v>3.5</v>
      </c>
      <c r="BV26" s="207">
        <v>0</v>
      </c>
      <c r="BW26" s="207">
        <f t="shared" si="28"/>
        <v>0</v>
      </c>
      <c r="BX26" s="207">
        <v>0</v>
      </c>
      <c r="BY26" s="207">
        <f t="shared" si="29"/>
        <v>0</v>
      </c>
      <c r="BZ26" s="207">
        <f t="shared" si="30"/>
        <v>3.5</v>
      </c>
      <c r="CA26" s="208">
        <f t="shared" si="31"/>
        <v>14.5</v>
      </c>
      <c r="CB26" s="205">
        <f t="shared" si="32"/>
        <v>2.9888715277777771</v>
      </c>
      <c r="CC26" s="206" t="str">
        <f t="shared" si="33"/>
        <v>(0.28)</v>
      </c>
      <c r="CD26" s="207">
        <v>2</v>
      </c>
      <c r="CE26" s="207">
        <f t="shared" si="34"/>
        <v>3.5</v>
      </c>
      <c r="CF26" s="207">
        <v>0</v>
      </c>
      <c r="CG26" s="207">
        <f t="shared" si="35"/>
        <v>0</v>
      </c>
      <c r="CH26" s="207">
        <v>0</v>
      </c>
      <c r="CI26" s="207">
        <f t="shared" si="36"/>
        <v>0</v>
      </c>
      <c r="CJ26" s="207">
        <f t="shared" si="37"/>
        <v>3.5</v>
      </c>
      <c r="CK26" s="208">
        <f t="shared" si="38"/>
        <v>20.5</v>
      </c>
      <c r="CL26" s="205">
        <f t="shared" si="39"/>
        <v>3.8636631944444439</v>
      </c>
      <c r="CM26" s="206" t="str">
        <f t="shared" si="40"/>
        <v>(0.36)</v>
      </c>
      <c r="CN26" s="207">
        <v>2</v>
      </c>
      <c r="CO26" s="207">
        <f t="shared" si="41"/>
        <v>3.5</v>
      </c>
      <c r="CP26" s="207">
        <v>0</v>
      </c>
      <c r="CQ26" s="207">
        <f t="shared" si="42"/>
        <v>0</v>
      </c>
      <c r="CR26" s="207">
        <v>0</v>
      </c>
      <c r="CS26" s="207">
        <f t="shared" si="43"/>
        <v>0</v>
      </c>
      <c r="CT26" s="207">
        <f t="shared" si="44"/>
        <v>3.5</v>
      </c>
      <c r="CU26" s="208">
        <f t="shared" si="45"/>
        <v>26.5</v>
      </c>
      <c r="CV26" s="205">
        <f t="shared" si="46"/>
        <v>4.7384548611111104</v>
      </c>
      <c r="CW26" s="206" t="str">
        <f t="shared" si="47"/>
        <v>(0.44)</v>
      </c>
      <c r="CX26" s="207">
        <v>2</v>
      </c>
      <c r="CY26" s="207">
        <f t="shared" si="48"/>
        <v>3.5</v>
      </c>
      <c r="CZ26" s="207">
        <v>0</v>
      </c>
      <c r="DA26" s="207">
        <f t="shared" si="49"/>
        <v>0</v>
      </c>
      <c r="DB26" s="207">
        <v>0</v>
      </c>
      <c r="DC26" s="207">
        <f t="shared" si="50"/>
        <v>0</v>
      </c>
      <c r="DD26" s="207">
        <f t="shared" si="51"/>
        <v>3.5</v>
      </c>
      <c r="DE26" s="208">
        <f t="shared" si="52"/>
        <v>32.5</v>
      </c>
      <c r="DF26" s="205">
        <f t="shared" si="53"/>
        <v>5.6132465277777772</v>
      </c>
      <c r="DG26" s="206" t="str">
        <f t="shared" si="54"/>
        <v>(0.52)</v>
      </c>
      <c r="DH26" s="207">
        <v>2</v>
      </c>
      <c r="DI26" s="207">
        <f t="shared" si="55"/>
        <v>3.5</v>
      </c>
      <c r="DJ26" s="207">
        <v>0</v>
      </c>
      <c r="DK26" s="207">
        <f t="shared" si="56"/>
        <v>0</v>
      </c>
      <c r="DL26" s="207">
        <v>0</v>
      </c>
      <c r="DM26" s="207">
        <f t="shared" si="57"/>
        <v>0</v>
      </c>
      <c r="DN26" s="207">
        <f t="shared" si="58"/>
        <v>3.5</v>
      </c>
      <c r="DO26" s="208">
        <f t="shared" si="59"/>
        <v>38.5</v>
      </c>
      <c r="DP26" s="205">
        <f t="shared" si="60"/>
        <v>6.4880381944444441</v>
      </c>
      <c r="DQ26" s="206" t="str">
        <f t="shared" si="61"/>
        <v>(0.6)</v>
      </c>
      <c r="DR26" s="207">
        <v>2</v>
      </c>
      <c r="DS26" s="207">
        <f t="shared" si="62"/>
        <v>3.5</v>
      </c>
      <c r="DT26" s="207">
        <v>0</v>
      </c>
      <c r="DU26" s="207">
        <f t="shared" si="63"/>
        <v>0</v>
      </c>
      <c r="DV26" s="207">
        <v>0</v>
      </c>
      <c r="DW26" s="207">
        <f t="shared" si="64"/>
        <v>0</v>
      </c>
      <c r="DX26" s="207">
        <f t="shared" si="65"/>
        <v>3.5</v>
      </c>
      <c r="DY26" s="208">
        <f t="shared" si="66"/>
        <v>44.5</v>
      </c>
      <c r="DZ26" s="205">
        <f t="shared" si="67"/>
        <v>7.2170312499999989</v>
      </c>
      <c r="EA26" s="206" t="str">
        <f t="shared" si="68"/>
        <v>(0.67)</v>
      </c>
      <c r="EB26" s="207">
        <v>2</v>
      </c>
      <c r="EC26" s="207">
        <f t="shared" si="69"/>
        <v>3.5</v>
      </c>
      <c r="ED26" s="207">
        <v>0</v>
      </c>
      <c r="EE26" s="207">
        <f t="shared" si="70"/>
        <v>0</v>
      </c>
      <c r="EF26" s="207">
        <v>1</v>
      </c>
      <c r="EG26" s="207">
        <f t="shared" si="71"/>
        <v>1</v>
      </c>
      <c r="EH26" s="207">
        <f t="shared" si="72"/>
        <v>4.5</v>
      </c>
      <c r="EI26" s="208">
        <f t="shared" si="73"/>
        <v>49.5</v>
      </c>
      <c r="EJ26" s="205">
        <f t="shared" si="74"/>
        <v>8.0918229166666649</v>
      </c>
      <c r="EK26" s="206" t="str">
        <f t="shared" si="75"/>
        <v>(0.75)</v>
      </c>
      <c r="EL26" s="207">
        <v>2</v>
      </c>
      <c r="EM26" s="207">
        <f t="shared" si="76"/>
        <v>3.5</v>
      </c>
      <c r="EN26" s="207">
        <v>0</v>
      </c>
      <c r="EO26" s="207">
        <f t="shared" si="77"/>
        <v>0</v>
      </c>
      <c r="EP26" s="207">
        <v>1</v>
      </c>
      <c r="EQ26" s="207">
        <f t="shared" si="78"/>
        <v>1</v>
      </c>
      <c r="ER26" s="207">
        <f t="shared" si="79"/>
        <v>4.5</v>
      </c>
      <c r="ES26" s="208">
        <f t="shared" si="80"/>
        <v>55.5</v>
      </c>
      <c r="ET26" s="205">
        <f t="shared" si="81"/>
        <v>8.9666145833333317</v>
      </c>
      <c r="EU26" s="206" t="str">
        <f t="shared" si="82"/>
        <v>(0.83)</v>
      </c>
      <c r="EV26" s="207">
        <v>2</v>
      </c>
      <c r="EW26" s="207">
        <f t="shared" si="83"/>
        <v>3.5</v>
      </c>
      <c r="EX26" s="207">
        <v>0</v>
      </c>
      <c r="EY26" s="207">
        <f t="shared" si="84"/>
        <v>0</v>
      </c>
      <c r="EZ26" s="207">
        <v>1</v>
      </c>
      <c r="FA26" s="207">
        <f t="shared" si="85"/>
        <v>1</v>
      </c>
      <c r="FB26" s="207">
        <f t="shared" si="86"/>
        <v>4.5</v>
      </c>
      <c r="FC26" s="208">
        <f t="shared" si="87"/>
        <v>61.5</v>
      </c>
      <c r="FD26" s="205">
        <f t="shared" si="88"/>
        <v>9.9872048611111097</v>
      </c>
      <c r="FE26" s="206" t="str">
        <f t="shared" si="89"/>
        <v>(0.93)</v>
      </c>
      <c r="FF26" s="207">
        <v>2</v>
      </c>
      <c r="FG26" s="207">
        <f t="shared" si="90"/>
        <v>3.5</v>
      </c>
      <c r="FH26" s="469">
        <v>0</v>
      </c>
      <c r="FI26" s="207">
        <f t="shared" si="91"/>
        <v>0</v>
      </c>
      <c r="FJ26" s="207">
        <v>0</v>
      </c>
      <c r="FK26" s="207">
        <f t="shared" si="92"/>
        <v>0</v>
      </c>
      <c r="FL26" s="207">
        <f t="shared" si="93"/>
        <v>3.5</v>
      </c>
      <c r="FM26" s="208">
        <f t="shared" si="94"/>
        <v>68.5</v>
      </c>
      <c r="FN26" s="205">
        <f t="shared" si="95"/>
        <v>10.697973090277777</v>
      </c>
      <c r="FO26" s="206" t="str">
        <f t="shared" si="96"/>
        <v>(0.99)</v>
      </c>
      <c r="FP26" s="207">
        <v>2</v>
      </c>
      <c r="FQ26" s="207">
        <f t="shared" si="97"/>
        <v>3.5</v>
      </c>
      <c r="FR26" s="207">
        <v>1</v>
      </c>
      <c r="FS26" s="207">
        <f t="shared" si="98"/>
        <v>1.125</v>
      </c>
      <c r="FT26" s="207">
        <v>0</v>
      </c>
      <c r="FU26" s="207">
        <f t="shared" si="99"/>
        <v>0</v>
      </c>
      <c r="FV26" s="207">
        <f t="shared" si="100"/>
        <v>4.625</v>
      </c>
      <c r="FW26" s="208">
        <f t="shared" si="101"/>
        <v>73.375</v>
      </c>
      <c r="FX26" s="205">
        <f t="shared" si="102"/>
        <v>11.572764756944444</v>
      </c>
      <c r="FY26" s="206" t="str">
        <f t="shared" si="103"/>
        <v>(1.08)</v>
      </c>
      <c r="FZ26" s="207">
        <v>2</v>
      </c>
      <c r="GA26" s="207">
        <f t="shared" si="104"/>
        <v>3.5</v>
      </c>
      <c r="GB26" s="207">
        <v>1</v>
      </c>
      <c r="GC26" s="207">
        <f t="shared" si="105"/>
        <v>1.125</v>
      </c>
      <c r="GD26" s="207">
        <v>0</v>
      </c>
      <c r="GE26" s="207">
        <f t="shared" si="106"/>
        <v>0</v>
      </c>
      <c r="GF26" s="207">
        <f t="shared" si="107"/>
        <v>4.625</v>
      </c>
      <c r="GG26" s="208">
        <f t="shared" si="108"/>
        <v>79.375</v>
      </c>
      <c r="GH26" s="205">
        <f t="shared" si="109"/>
        <v>12.447556423611111</v>
      </c>
      <c r="GI26" s="206" t="str">
        <f t="shared" si="110"/>
        <v>(1.16)</v>
      </c>
      <c r="GJ26" s="207">
        <v>2</v>
      </c>
      <c r="GK26" s="207">
        <f t="shared" si="111"/>
        <v>3.5</v>
      </c>
      <c r="GL26" s="207">
        <v>1</v>
      </c>
      <c r="GM26" s="207">
        <f t="shared" si="112"/>
        <v>1.125</v>
      </c>
      <c r="GN26" s="207">
        <v>0</v>
      </c>
      <c r="GO26" s="207">
        <f t="shared" si="113"/>
        <v>0</v>
      </c>
      <c r="GP26" s="207">
        <f t="shared" si="114"/>
        <v>4.625</v>
      </c>
      <c r="GQ26" s="208">
        <f t="shared" si="115"/>
        <v>85.375</v>
      </c>
      <c r="GR26" s="205">
        <f t="shared" si="116"/>
        <v>13.322348090277776</v>
      </c>
      <c r="GS26" s="206" t="str">
        <f t="shared" si="117"/>
        <v>(1.24)</v>
      </c>
      <c r="GT26" s="207">
        <v>2</v>
      </c>
      <c r="GU26" s="207">
        <f t="shared" si="118"/>
        <v>3.5</v>
      </c>
      <c r="GV26" s="207">
        <v>1</v>
      </c>
      <c r="GW26" s="207">
        <f t="shared" si="119"/>
        <v>1.125</v>
      </c>
      <c r="GX26" s="207">
        <v>0</v>
      </c>
      <c r="GY26" s="207">
        <f t="shared" si="120"/>
        <v>0</v>
      </c>
      <c r="GZ26" s="207">
        <f t="shared" si="121"/>
        <v>4.625</v>
      </c>
      <c r="HA26" s="208">
        <f t="shared" si="122"/>
        <v>91.375</v>
      </c>
      <c r="HB26" s="205">
        <f t="shared" si="123"/>
        <v>14.197139756944443</v>
      </c>
      <c r="HC26" s="206" t="str">
        <f t="shared" si="124"/>
        <v>(1.32)</v>
      </c>
      <c r="HD26" s="207">
        <v>2</v>
      </c>
      <c r="HE26" s="207">
        <f t="shared" si="125"/>
        <v>3.5</v>
      </c>
      <c r="HF26" s="207">
        <v>1</v>
      </c>
      <c r="HG26" s="207">
        <f t="shared" si="126"/>
        <v>1.125</v>
      </c>
      <c r="HH26" s="207">
        <v>0</v>
      </c>
      <c r="HI26" s="207">
        <f t="shared" si="127"/>
        <v>0</v>
      </c>
      <c r="HJ26" s="207">
        <f t="shared" si="128"/>
        <v>4.625</v>
      </c>
      <c r="HK26" s="208">
        <f t="shared" si="129"/>
        <v>97.375</v>
      </c>
      <c r="HL26" s="205">
        <f t="shared" si="130"/>
        <v>14.780334201388889</v>
      </c>
      <c r="HM26" s="206" t="str">
        <f t="shared" si="131"/>
        <v>(1.37)</v>
      </c>
      <c r="HN26" s="207">
        <v>2</v>
      </c>
      <c r="HO26" s="207">
        <f t="shared" si="132"/>
        <v>3.5</v>
      </c>
      <c r="HP26" s="207">
        <v>1</v>
      </c>
      <c r="HQ26" s="207">
        <f t="shared" si="133"/>
        <v>1.125</v>
      </c>
      <c r="HR26" s="207">
        <v>2</v>
      </c>
      <c r="HS26" s="207">
        <f t="shared" si="134"/>
        <v>2</v>
      </c>
      <c r="HT26" s="207">
        <f t="shared" si="135"/>
        <v>6.625</v>
      </c>
      <c r="HU26" s="208">
        <f t="shared" si="136"/>
        <v>101.375</v>
      </c>
      <c r="HV26" s="205">
        <f t="shared" si="137"/>
        <v>15.655125868055555</v>
      </c>
      <c r="HW26" s="206" t="str">
        <f t="shared" si="138"/>
        <v>(1.45)</v>
      </c>
      <c r="HX26" s="207">
        <v>2</v>
      </c>
      <c r="HY26" s="207">
        <f t="shared" si="139"/>
        <v>3.5</v>
      </c>
      <c r="HZ26" s="207">
        <v>1</v>
      </c>
      <c r="IA26" s="207">
        <f t="shared" si="140"/>
        <v>1.125</v>
      </c>
      <c r="IB26" s="207">
        <v>2</v>
      </c>
      <c r="IC26" s="207">
        <f t="shared" si="141"/>
        <v>2</v>
      </c>
      <c r="ID26" s="207">
        <f t="shared" si="142"/>
        <v>6.625</v>
      </c>
      <c r="IE26" s="208">
        <f t="shared" si="143"/>
        <v>107.375</v>
      </c>
      <c r="IF26" s="205">
        <f t="shared" si="144"/>
        <v>16.52991753472222</v>
      </c>
      <c r="IG26" s="206" t="str">
        <f t="shared" si="145"/>
        <v>(1.54)</v>
      </c>
      <c r="IH26" s="21">
        <v>2</v>
      </c>
      <c r="II26" s="21">
        <f t="shared" si="146"/>
        <v>3.5</v>
      </c>
      <c r="IJ26" s="21">
        <v>1</v>
      </c>
      <c r="IK26" s="21">
        <f t="shared" si="147"/>
        <v>1.125</v>
      </c>
      <c r="IL26" s="21">
        <v>2</v>
      </c>
      <c r="IM26" s="21">
        <f t="shared" si="148"/>
        <v>2</v>
      </c>
      <c r="IN26" s="21">
        <f t="shared" si="149"/>
        <v>6.625</v>
      </c>
      <c r="IO26" s="22">
        <f t="shared" si="150"/>
        <v>113.375</v>
      </c>
      <c r="IP26" s="23"/>
      <c r="IQ26" s="24">
        <v>6</v>
      </c>
      <c r="IR26" s="25">
        <v>3.1160000000000001</v>
      </c>
      <c r="IS26" s="25">
        <v>3.0659999999999998</v>
      </c>
      <c r="IT26" s="25">
        <v>2.5489999999999999</v>
      </c>
      <c r="IU26" s="25">
        <v>1.75</v>
      </c>
      <c r="IV26" s="25">
        <v>1</v>
      </c>
      <c r="IW26" s="25">
        <v>1.125</v>
      </c>
      <c r="IX26" s="7"/>
    </row>
    <row r="27" spans="2:258" ht="15.75" thickBot="1" x14ac:dyDescent="0.3">
      <c r="B27" s="79">
        <f t="shared" si="9"/>
        <v>60</v>
      </c>
      <c r="C27" s="148">
        <v>11</v>
      </c>
      <c r="D27" s="487"/>
      <c r="E27" s="468">
        <f t="shared" si="8"/>
        <v>0.44394791666666666</v>
      </c>
      <c r="F27" s="468">
        <f t="shared" si="0"/>
        <v>0.50488194444444434</v>
      </c>
      <c r="G27" s="468">
        <f t="shared" si="1"/>
        <v>0.53534895833333329</v>
      </c>
      <c r="H27" s="468">
        <f t="shared" si="2"/>
        <v>0.55362916666666662</v>
      </c>
      <c r="I27" s="468">
        <f t="shared" si="3"/>
        <v>0.56581597222222213</v>
      </c>
      <c r="J27" s="468">
        <f t="shared" si="4"/>
        <v>0.57452083333333326</v>
      </c>
      <c r="K27" s="468">
        <f t="shared" si="5"/>
        <v>0.58104947916666672</v>
      </c>
      <c r="L27" s="468">
        <f t="shared" si="6"/>
        <v>0.57452083333333326</v>
      </c>
      <c r="M27" s="468">
        <f t="shared" si="7"/>
        <v>0.57974375</v>
      </c>
      <c r="N27" s="488"/>
      <c r="O27" s="488"/>
      <c r="P27" s="488"/>
      <c r="Q27" s="488"/>
      <c r="R27" s="488"/>
      <c r="S27" s="488"/>
      <c r="T27" s="488"/>
      <c r="U27" s="488"/>
      <c r="V27" s="488"/>
      <c r="W27" s="488"/>
      <c r="X27" s="76"/>
      <c r="Y27" s="46"/>
      <c r="AA27" s="61"/>
      <c r="AT27" s="3"/>
      <c r="AU27" s="13">
        <f t="shared" si="151"/>
        <v>42</v>
      </c>
      <c r="AV27" s="11" t="str">
        <f t="shared" si="10"/>
        <v>(1050)</v>
      </c>
      <c r="AW27" s="18"/>
      <c r="AX27" s="19">
        <f t="shared" si="11"/>
        <v>0.96788541666666683</v>
      </c>
      <c r="AY27" s="20" t="str">
        <f t="shared" si="12"/>
        <v>(0.09)</v>
      </c>
      <c r="AZ27" s="21">
        <v>2</v>
      </c>
      <c r="BA27" s="21">
        <f t="shared" si="13"/>
        <v>3.5</v>
      </c>
      <c r="BB27" s="21">
        <v>0</v>
      </c>
      <c r="BC27" s="21">
        <f t="shared" si="14"/>
        <v>0</v>
      </c>
      <c r="BD27" s="21">
        <v>0</v>
      </c>
      <c r="BE27" s="21">
        <f t="shared" si="15"/>
        <v>0</v>
      </c>
      <c r="BF27" s="21">
        <f t="shared" si="16"/>
        <v>3.5</v>
      </c>
      <c r="BG27" s="22">
        <f t="shared" si="17"/>
        <v>5.5</v>
      </c>
      <c r="BH27" s="205">
        <f t="shared" si="18"/>
        <v>1.4958229166666668</v>
      </c>
      <c r="BI27" s="206" t="str">
        <f t="shared" si="19"/>
        <v>(0.14)</v>
      </c>
      <c r="BJ27" s="207">
        <v>2</v>
      </c>
      <c r="BK27" s="207">
        <f t="shared" si="20"/>
        <v>3.5</v>
      </c>
      <c r="BL27" s="207">
        <v>0</v>
      </c>
      <c r="BM27" s="207">
        <f t="shared" si="21"/>
        <v>0</v>
      </c>
      <c r="BN27" s="207">
        <v>0</v>
      </c>
      <c r="BO27" s="207">
        <f t="shared" si="22"/>
        <v>0</v>
      </c>
      <c r="BP27" s="207">
        <f t="shared" si="23"/>
        <v>3.5</v>
      </c>
      <c r="BQ27" s="208">
        <f t="shared" si="24"/>
        <v>8.5</v>
      </c>
      <c r="BR27" s="205">
        <f t="shared" si="25"/>
        <v>2.5516979166666669</v>
      </c>
      <c r="BS27" s="206" t="str">
        <f t="shared" si="26"/>
        <v>(0.24)</v>
      </c>
      <c r="BT27" s="207">
        <v>2</v>
      </c>
      <c r="BU27" s="207">
        <f t="shared" si="27"/>
        <v>3.5</v>
      </c>
      <c r="BV27" s="207">
        <v>0</v>
      </c>
      <c r="BW27" s="207">
        <f t="shared" si="28"/>
        <v>0</v>
      </c>
      <c r="BX27" s="207">
        <v>0</v>
      </c>
      <c r="BY27" s="207">
        <f t="shared" si="29"/>
        <v>0</v>
      </c>
      <c r="BZ27" s="207">
        <f t="shared" si="30"/>
        <v>3.5</v>
      </c>
      <c r="CA27" s="208">
        <f t="shared" si="31"/>
        <v>14.5</v>
      </c>
      <c r="CB27" s="205">
        <f t="shared" si="32"/>
        <v>3.6075729166666668</v>
      </c>
      <c r="CC27" s="206" t="str">
        <f t="shared" si="33"/>
        <v>(0.34)</v>
      </c>
      <c r="CD27" s="207">
        <v>2</v>
      </c>
      <c r="CE27" s="207">
        <f t="shared" si="34"/>
        <v>3.5</v>
      </c>
      <c r="CF27" s="207">
        <v>0</v>
      </c>
      <c r="CG27" s="207">
        <f t="shared" si="35"/>
        <v>0</v>
      </c>
      <c r="CH27" s="207">
        <v>0</v>
      </c>
      <c r="CI27" s="207">
        <f t="shared" si="36"/>
        <v>0</v>
      </c>
      <c r="CJ27" s="207">
        <f t="shared" si="37"/>
        <v>3.5</v>
      </c>
      <c r="CK27" s="208">
        <f t="shared" si="38"/>
        <v>20.5</v>
      </c>
      <c r="CL27" s="205">
        <f t="shared" si="39"/>
        <v>4.6634479166666667</v>
      </c>
      <c r="CM27" s="206" t="str">
        <f t="shared" si="40"/>
        <v>(0.43)</v>
      </c>
      <c r="CN27" s="207">
        <v>2</v>
      </c>
      <c r="CO27" s="207">
        <f t="shared" si="41"/>
        <v>3.5</v>
      </c>
      <c r="CP27" s="207">
        <v>0</v>
      </c>
      <c r="CQ27" s="207">
        <f t="shared" si="42"/>
        <v>0</v>
      </c>
      <c r="CR27" s="207">
        <v>0</v>
      </c>
      <c r="CS27" s="207">
        <f t="shared" si="43"/>
        <v>0</v>
      </c>
      <c r="CT27" s="207">
        <f t="shared" si="44"/>
        <v>3.5</v>
      </c>
      <c r="CU27" s="208">
        <f t="shared" si="45"/>
        <v>26.5</v>
      </c>
      <c r="CV27" s="205">
        <f t="shared" si="46"/>
        <v>5.7193229166666661</v>
      </c>
      <c r="CW27" s="206" t="str">
        <f t="shared" si="47"/>
        <v>(0.53)</v>
      </c>
      <c r="CX27" s="207">
        <v>2</v>
      </c>
      <c r="CY27" s="207">
        <f t="shared" si="48"/>
        <v>3.5</v>
      </c>
      <c r="CZ27" s="207">
        <v>0</v>
      </c>
      <c r="DA27" s="207">
        <f t="shared" si="49"/>
        <v>0</v>
      </c>
      <c r="DB27" s="207">
        <v>0</v>
      </c>
      <c r="DC27" s="207">
        <f t="shared" si="50"/>
        <v>0</v>
      </c>
      <c r="DD27" s="207">
        <f t="shared" si="51"/>
        <v>3.5</v>
      </c>
      <c r="DE27" s="208">
        <f t="shared" si="52"/>
        <v>32.5</v>
      </c>
      <c r="DF27" s="205">
        <f t="shared" si="53"/>
        <v>6.7751979166666665</v>
      </c>
      <c r="DG27" s="206" t="str">
        <f t="shared" si="54"/>
        <v>(0.63)</v>
      </c>
      <c r="DH27" s="207">
        <v>2</v>
      </c>
      <c r="DI27" s="207">
        <f t="shared" si="55"/>
        <v>3.5</v>
      </c>
      <c r="DJ27" s="207">
        <v>0</v>
      </c>
      <c r="DK27" s="207">
        <f t="shared" si="56"/>
        <v>0</v>
      </c>
      <c r="DL27" s="207">
        <v>0</v>
      </c>
      <c r="DM27" s="207">
        <f t="shared" si="57"/>
        <v>0</v>
      </c>
      <c r="DN27" s="207">
        <f t="shared" si="58"/>
        <v>3.5</v>
      </c>
      <c r="DO27" s="208">
        <f t="shared" si="59"/>
        <v>38.5</v>
      </c>
      <c r="DP27" s="205">
        <f t="shared" si="60"/>
        <v>7.8310729166666668</v>
      </c>
      <c r="DQ27" s="206" t="str">
        <f t="shared" si="61"/>
        <v>(0.73)</v>
      </c>
      <c r="DR27" s="207">
        <v>2</v>
      </c>
      <c r="DS27" s="207">
        <f t="shared" si="62"/>
        <v>3.5</v>
      </c>
      <c r="DT27" s="207">
        <v>0</v>
      </c>
      <c r="DU27" s="207">
        <f t="shared" si="63"/>
        <v>0</v>
      </c>
      <c r="DV27" s="207">
        <v>0</v>
      </c>
      <c r="DW27" s="207">
        <f t="shared" si="64"/>
        <v>0</v>
      </c>
      <c r="DX27" s="207">
        <f t="shared" si="65"/>
        <v>3.5</v>
      </c>
      <c r="DY27" s="208">
        <f t="shared" si="66"/>
        <v>44.5</v>
      </c>
      <c r="DZ27" s="205">
        <f t="shared" si="67"/>
        <v>8.7109687499999993</v>
      </c>
      <c r="EA27" s="206" t="str">
        <f t="shared" si="68"/>
        <v>(0.81)</v>
      </c>
      <c r="EB27" s="207">
        <v>2</v>
      </c>
      <c r="EC27" s="207">
        <f t="shared" si="69"/>
        <v>3.5</v>
      </c>
      <c r="ED27" s="207">
        <v>0</v>
      </c>
      <c r="EE27" s="207">
        <f t="shared" si="70"/>
        <v>0</v>
      </c>
      <c r="EF27" s="207">
        <v>1</v>
      </c>
      <c r="EG27" s="207">
        <f t="shared" si="71"/>
        <v>1</v>
      </c>
      <c r="EH27" s="207">
        <f t="shared" si="72"/>
        <v>4.5</v>
      </c>
      <c r="EI27" s="208">
        <f t="shared" si="73"/>
        <v>49.5</v>
      </c>
      <c r="EJ27" s="205">
        <f t="shared" si="74"/>
        <v>9.7668437499999996</v>
      </c>
      <c r="EK27" s="206" t="str">
        <f t="shared" si="75"/>
        <v>(0.91)</v>
      </c>
      <c r="EL27" s="207">
        <v>2</v>
      </c>
      <c r="EM27" s="207">
        <f t="shared" si="76"/>
        <v>3.5</v>
      </c>
      <c r="EN27" s="207">
        <v>0</v>
      </c>
      <c r="EO27" s="207">
        <f t="shared" si="77"/>
        <v>0</v>
      </c>
      <c r="EP27" s="207">
        <v>1</v>
      </c>
      <c r="EQ27" s="207">
        <f t="shared" si="78"/>
        <v>1</v>
      </c>
      <c r="ER27" s="207">
        <f t="shared" si="79"/>
        <v>4.5</v>
      </c>
      <c r="ES27" s="208">
        <f t="shared" si="80"/>
        <v>55.5</v>
      </c>
      <c r="ET27" s="205">
        <f t="shared" si="81"/>
        <v>10.82271875</v>
      </c>
      <c r="EU27" s="206" t="str">
        <f t="shared" si="82"/>
        <v>(1.01)</v>
      </c>
      <c r="EV27" s="207">
        <v>2</v>
      </c>
      <c r="EW27" s="207">
        <f t="shared" si="83"/>
        <v>3.5</v>
      </c>
      <c r="EX27" s="207">
        <v>0</v>
      </c>
      <c r="EY27" s="207">
        <f t="shared" si="84"/>
        <v>0</v>
      </c>
      <c r="EZ27" s="207">
        <v>1</v>
      </c>
      <c r="FA27" s="207">
        <f t="shared" si="85"/>
        <v>1</v>
      </c>
      <c r="FB27" s="207">
        <f t="shared" si="86"/>
        <v>4.5</v>
      </c>
      <c r="FC27" s="208">
        <f t="shared" si="87"/>
        <v>61.5</v>
      </c>
      <c r="FD27" s="205">
        <f t="shared" si="88"/>
        <v>12.054572916666666</v>
      </c>
      <c r="FE27" s="206" t="str">
        <f t="shared" si="89"/>
        <v>(1.12)</v>
      </c>
      <c r="FF27" s="207">
        <v>2</v>
      </c>
      <c r="FG27" s="207">
        <f t="shared" si="90"/>
        <v>3.5</v>
      </c>
      <c r="FH27" s="469">
        <v>0</v>
      </c>
      <c r="FI27" s="207">
        <f t="shared" si="91"/>
        <v>0</v>
      </c>
      <c r="FJ27" s="207">
        <v>0</v>
      </c>
      <c r="FK27" s="207">
        <f t="shared" si="92"/>
        <v>0</v>
      </c>
      <c r="FL27" s="207">
        <f t="shared" si="93"/>
        <v>3.5</v>
      </c>
      <c r="FM27" s="208">
        <f t="shared" si="94"/>
        <v>68.5</v>
      </c>
      <c r="FN27" s="205">
        <f t="shared" si="95"/>
        <v>12.912471354166668</v>
      </c>
      <c r="FO27" s="206" t="str">
        <f t="shared" si="96"/>
        <v>(1.20)</v>
      </c>
      <c r="FP27" s="207">
        <v>2</v>
      </c>
      <c r="FQ27" s="207">
        <f t="shared" si="97"/>
        <v>3.5</v>
      </c>
      <c r="FR27" s="207">
        <v>1</v>
      </c>
      <c r="FS27" s="207">
        <f t="shared" si="98"/>
        <v>1.125</v>
      </c>
      <c r="FT27" s="207">
        <v>0</v>
      </c>
      <c r="FU27" s="207">
        <f t="shared" si="99"/>
        <v>0</v>
      </c>
      <c r="FV27" s="207">
        <f t="shared" si="100"/>
        <v>4.625</v>
      </c>
      <c r="FW27" s="208">
        <f t="shared" si="101"/>
        <v>73.375</v>
      </c>
      <c r="FX27" s="205">
        <f t="shared" si="102"/>
        <v>13.968346354166666</v>
      </c>
      <c r="FY27" s="206" t="str">
        <f t="shared" si="103"/>
        <v>(1.30)</v>
      </c>
      <c r="FZ27" s="207">
        <v>2</v>
      </c>
      <c r="GA27" s="207">
        <f t="shared" si="104"/>
        <v>3.5</v>
      </c>
      <c r="GB27" s="207">
        <v>1</v>
      </c>
      <c r="GC27" s="207">
        <f t="shared" si="105"/>
        <v>1.125</v>
      </c>
      <c r="GD27" s="207">
        <v>0</v>
      </c>
      <c r="GE27" s="207">
        <f t="shared" si="106"/>
        <v>0</v>
      </c>
      <c r="GF27" s="207">
        <f t="shared" si="107"/>
        <v>4.625</v>
      </c>
      <c r="GG27" s="208">
        <f t="shared" si="108"/>
        <v>79.375</v>
      </c>
      <c r="GH27" s="205">
        <f t="shared" si="109"/>
        <v>15.024221354166668</v>
      </c>
      <c r="GI27" s="206" t="str">
        <f t="shared" si="110"/>
        <v>(1.40)</v>
      </c>
      <c r="GJ27" s="207">
        <v>2</v>
      </c>
      <c r="GK27" s="207">
        <f t="shared" si="111"/>
        <v>3.5</v>
      </c>
      <c r="GL27" s="207">
        <v>1</v>
      </c>
      <c r="GM27" s="207">
        <f t="shared" si="112"/>
        <v>1.125</v>
      </c>
      <c r="GN27" s="207">
        <v>0</v>
      </c>
      <c r="GO27" s="207">
        <f t="shared" si="113"/>
        <v>0</v>
      </c>
      <c r="GP27" s="207">
        <f t="shared" si="114"/>
        <v>4.625</v>
      </c>
      <c r="GQ27" s="208">
        <f t="shared" si="115"/>
        <v>85.375</v>
      </c>
      <c r="GR27" s="205">
        <f t="shared" si="116"/>
        <v>16.080096354166667</v>
      </c>
      <c r="GS27" s="206" t="str">
        <f t="shared" si="117"/>
        <v>(1.49)</v>
      </c>
      <c r="GT27" s="207">
        <v>2</v>
      </c>
      <c r="GU27" s="207">
        <f t="shared" si="118"/>
        <v>3.5</v>
      </c>
      <c r="GV27" s="207">
        <v>1</v>
      </c>
      <c r="GW27" s="207">
        <f t="shared" si="119"/>
        <v>1.125</v>
      </c>
      <c r="GX27" s="207">
        <v>0</v>
      </c>
      <c r="GY27" s="207">
        <f t="shared" si="120"/>
        <v>0</v>
      </c>
      <c r="GZ27" s="207">
        <f t="shared" si="121"/>
        <v>4.625</v>
      </c>
      <c r="HA27" s="208">
        <f t="shared" si="122"/>
        <v>91.375</v>
      </c>
      <c r="HB27" s="205">
        <f t="shared" si="123"/>
        <v>17.135971354166667</v>
      </c>
      <c r="HC27" s="206" t="str">
        <f t="shared" si="124"/>
        <v>(1.59)</v>
      </c>
      <c r="HD27" s="207">
        <v>2</v>
      </c>
      <c r="HE27" s="207">
        <f t="shared" si="125"/>
        <v>3.5</v>
      </c>
      <c r="HF27" s="207">
        <v>1</v>
      </c>
      <c r="HG27" s="207">
        <f t="shared" si="126"/>
        <v>1.125</v>
      </c>
      <c r="HH27" s="207">
        <v>0</v>
      </c>
      <c r="HI27" s="207">
        <f t="shared" si="127"/>
        <v>0</v>
      </c>
      <c r="HJ27" s="207">
        <f t="shared" si="128"/>
        <v>4.625</v>
      </c>
      <c r="HK27" s="208">
        <f t="shared" si="129"/>
        <v>97.375</v>
      </c>
      <c r="HL27" s="205">
        <f t="shared" si="130"/>
        <v>17.839888020833332</v>
      </c>
      <c r="HM27" s="206" t="str">
        <f t="shared" si="131"/>
        <v>(1.66)</v>
      </c>
      <c r="HN27" s="207">
        <v>2</v>
      </c>
      <c r="HO27" s="207">
        <f t="shared" si="132"/>
        <v>3.5</v>
      </c>
      <c r="HP27" s="207">
        <v>1</v>
      </c>
      <c r="HQ27" s="207">
        <f t="shared" si="133"/>
        <v>1.125</v>
      </c>
      <c r="HR27" s="207">
        <v>2</v>
      </c>
      <c r="HS27" s="207">
        <f t="shared" si="134"/>
        <v>2</v>
      </c>
      <c r="HT27" s="207">
        <f t="shared" si="135"/>
        <v>6.625</v>
      </c>
      <c r="HU27" s="208">
        <f t="shared" si="136"/>
        <v>101.375</v>
      </c>
      <c r="HV27" s="205">
        <f t="shared" si="137"/>
        <v>18.895763020833336</v>
      </c>
      <c r="HW27" s="206" t="str">
        <f t="shared" si="138"/>
        <v>(1.76)</v>
      </c>
      <c r="HX27" s="207">
        <v>2</v>
      </c>
      <c r="HY27" s="207">
        <f t="shared" si="139"/>
        <v>3.5</v>
      </c>
      <c r="HZ27" s="207">
        <v>1</v>
      </c>
      <c r="IA27" s="207">
        <f t="shared" si="140"/>
        <v>1.125</v>
      </c>
      <c r="IB27" s="207">
        <v>2</v>
      </c>
      <c r="IC27" s="207">
        <f t="shared" si="141"/>
        <v>2</v>
      </c>
      <c r="ID27" s="207">
        <f t="shared" si="142"/>
        <v>6.625</v>
      </c>
      <c r="IE27" s="208">
        <f t="shared" si="143"/>
        <v>107.375</v>
      </c>
      <c r="IF27" s="205">
        <f t="shared" si="144"/>
        <v>19.951638020833332</v>
      </c>
      <c r="IG27" s="206" t="str">
        <f t="shared" si="145"/>
        <v>(1.85)</v>
      </c>
      <c r="IH27" s="21">
        <v>2</v>
      </c>
      <c r="II27" s="21">
        <f t="shared" si="146"/>
        <v>3.5</v>
      </c>
      <c r="IJ27" s="21">
        <v>1</v>
      </c>
      <c r="IK27" s="21">
        <f t="shared" si="147"/>
        <v>1.125</v>
      </c>
      <c r="IL27" s="21">
        <v>2</v>
      </c>
      <c r="IM27" s="21">
        <f t="shared" si="148"/>
        <v>2</v>
      </c>
      <c r="IN27" s="21">
        <f t="shared" si="149"/>
        <v>6.625</v>
      </c>
      <c r="IO27" s="22">
        <f t="shared" si="150"/>
        <v>113.375</v>
      </c>
      <c r="IP27" s="23"/>
      <c r="IQ27" s="24">
        <v>8</v>
      </c>
      <c r="IR27" s="25">
        <v>3.1160000000000001</v>
      </c>
      <c r="IS27" s="25">
        <v>3.0659999999999998</v>
      </c>
      <c r="IT27" s="25">
        <v>0.76300000000000001</v>
      </c>
      <c r="IU27" s="25">
        <v>1.75</v>
      </c>
      <c r="IV27" s="25">
        <v>1</v>
      </c>
      <c r="IW27" s="25">
        <v>1.125</v>
      </c>
      <c r="IX27" s="7"/>
    </row>
    <row r="28" spans="2:258" ht="15.75" thickBot="1" x14ac:dyDescent="0.3">
      <c r="B28" s="79">
        <f t="shared" si="9"/>
        <v>66</v>
      </c>
      <c r="C28" s="147">
        <v>12</v>
      </c>
      <c r="D28" s="487"/>
      <c r="E28" s="468">
        <f t="shared" si="8"/>
        <v>0.45136931818181819</v>
      </c>
      <c r="F28" s="468">
        <f t="shared" si="0"/>
        <v>0.51332196969696964</v>
      </c>
      <c r="G28" s="468">
        <f t="shared" si="1"/>
        <v>0.54429829545454544</v>
      </c>
      <c r="H28" s="468">
        <f t="shared" si="2"/>
        <v>0.56288409090909097</v>
      </c>
      <c r="I28" s="468">
        <f t="shared" si="3"/>
        <v>0.57527462121212125</v>
      </c>
      <c r="J28" s="468">
        <f t="shared" si="4"/>
        <v>0.58412500000000001</v>
      </c>
      <c r="K28" s="468">
        <f t="shared" si="5"/>
        <v>0.59076278409090921</v>
      </c>
      <c r="L28" s="468">
        <f t="shared" si="6"/>
        <v>0.58412500000000001</v>
      </c>
      <c r="M28" s="468">
        <f t="shared" si="7"/>
        <v>0.58943522727272724</v>
      </c>
      <c r="N28" s="488"/>
      <c r="O28" s="488"/>
      <c r="P28" s="488"/>
      <c r="Q28" s="488"/>
      <c r="R28" s="488"/>
      <c r="S28" s="488"/>
      <c r="T28" s="488"/>
      <c r="U28" s="488"/>
      <c r="V28" s="488"/>
      <c r="W28" s="488"/>
      <c r="X28" s="76"/>
      <c r="Y28" s="46"/>
      <c r="AA28" s="61"/>
      <c r="AT28" s="3"/>
      <c r="AU28" s="13">
        <f t="shared" si="151"/>
        <v>48</v>
      </c>
      <c r="AV28" s="11" t="str">
        <f t="shared" si="10"/>
        <v>(1200)</v>
      </c>
      <c r="AW28" s="18"/>
      <c r="AX28" s="19">
        <f t="shared" si="11"/>
        <v>1.1379270833333335</v>
      </c>
      <c r="AY28" s="20" t="str">
        <f t="shared" si="12"/>
        <v>(0.11)</v>
      </c>
      <c r="AZ28" s="21">
        <v>2</v>
      </c>
      <c r="BA28" s="21">
        <f t="shared" si="13"/>
        <v>3.5</v>
      </c>
      <c r="BB28" s="21">
        <v>0</v>
      </c>
      <c r="BC28" s="21">
        <f t="shared" si="14"/>
        <v>0</v>
      </c>
      <c r="BD28" s="21">
        <v>0</v>
      </c>
      <c r="BE28" s="21">
        <f t="shared" si="15"/>
        <v>0</v>
      </c>
      <c r="BF28" s="21">
        <f t="shared" si="16"/>
        <v>3.5</v>
      </c>
      <c r="BG28" s="22">
        <f t="shared" si="17"/>
        <v>5.5</v>
      </c>
      <c r="BH28" s="205">
        <f t="shared" si="18"/>
        <v>1.7586145833333333</v>
      </c>
      <c r="BI28" s="206" t="str">
        <f t="shared" si="19"/>
        <v>(0.16)</v>
      </c>
      <c r="BJ28" s="207">
        <v>2</v>
      </c>
      <c r="BK28" s="207">
        <f t="shared" si="20"/>
        <v>3.5</v>
      </c>
      <c r="BL28" s="207">
        <v>0</v>
      </c>
      <c r="BM28" s="207">
        <f t="shared" si="21"/>
        <v>0</v>
      </c>
      <c r="BN28" s="207">
        <v>0</v>
      </c>
      <c r="BO28" s="207">
        <f t="shared" si="22"/>
        <v>0</v>
      </c>
      <c r="BP28" s="207">
        <f t="shared" si="23"/>
        <v>3.5</v>
      </c>
      <c r="BQ28" s="208">
        <f t="shared" si="24"/>
        <v>8.5</v>
      </c>
      <c r="BR28" s="205">
        <f t="shared" si="25"/>
        <v>2.999989583333333</v>
      </c>
      <c r="BS28" s="206" t="str">
        <f t="shared" si="26"/>
        <v>(0.28)</v>
      </c>
      <c r="BT28" s="207">
        <v>2</v>
      </c>
      <c r="BU28" s="207">
        <f t="shared" si="27"/>
        <v>3.5</v>
      </c>
      <c r="BV28" s="207">
        <v>0</v>
      </c>
      <c r="BW28" s="207">
        <f t="shared" si="28"/>
        <v>0</v>
      </c>
      <c r="BX28" s="207">
        <v>0</v>
      </c>
      <c r="BY28" s="207">
        <f t="shared" si="29"/>
        <v>0</v>
      </c>
      <c r="BZ28" s="207">
        <f t="shared" si="30"/>
        <v>3.5</v>
      </c>
      <c r="CA28" s="208">
        <f t="shared" si="31"/>
        <v>14.5</v>
      </c>
      <c r="CB28" s="205">
        <f t="shared" si="32"/>
        <v>4.2413645833333327</v>
      </c>
      <c r="CC28" s="206" t="str">
        <f t="shared" si="33"/>
        <v>(0.39)</v>
      </c>
      <c r="CD28" s="207">
        <v>2</v>
      </c>
      <c r="CE28" s="207">
        <f t="shared" si="34"/>
        <v>3.5</v>
      </c>
      <c r="CF28" s="207">
        <v>0</v>
      </c>
      <c r="CG28" s="207">
        <f t="shared" si="35"/>
        <v>0</v>
      </c>
      <c r="CH28" s="207">
        <v>0</v>
      </c>
      <c r="CI28" s="207">
        <f t="shared" si="36"/>
        <v>0</v>
      </c>
      <c r="CJ28" s="207">
        <f t="shared" si="37"/>
        <v>3.5</v>
      </c>
      <c r="CK28" s="208">
        <f t="shared" si="38"/>
        <v>20.5</v>
      </c>
      <c r="CL28" s="205">
        <f t="shared" si="39"/>
        <v>5.4827395833333332</v>
      </c>
      <c r="CM28" s="206" t="str">
        <f t="shared" si="40"/>
        <v>(0.51)</v>
      </c>
      <c r="CN28" s="207">
        <v>2</v>
      </c>
      <c r="CO28" s="207">
        <f t="shared" si="41"/>
        <v>3.5</v>
      </c>
      <c r="CP28" s="207">
        <v>0</v>
      </c>
      <c r="CQ28" s="207">
        <f t="shared" si="42"/>
        <v>0</v>
      </c>
      <c r="CR28" s="207">
        <v>0</v>
      </c>
      <c r="CS28" s="207">
        <f t="shared" si="43"/>
        <v>0</v>
      </c>
      <c r="CT28" s="207">
        <f t="shared" si="44"/>
        <v>3.5</v>
      </c>
      <c r="CU28" s="208">
        <f t="shared" si="45"/>
        <v>26.5</v>
      </c>
      <c r="CV28" s="205">
        <f t="shared" si="46"/>
        <v>6.7241145833333329</v>
      </c>
      <c r="CW28" s="206" t="str">
        <f t="shared" si="47"/>
        <v>(0.62)</v>
      </c>
      <c r="CX28" s="207">
        <v>2</v>
      </c>
      <c r="CY28" s="207">
        <f t="shared" si="48"/>
        <v>3.5</v>
      </c>
      <c r="CZ28" s="207">
        <v>0</v>
      </c>
      <c r="DA28" s="207">
        <f t="shared" si="49"/>
        <v>0</v>
      </c>
      <c r="DB28" s="207">
        <v>0</v>
      </c>
      <c r="DC28" s="207">
        <f t="shared" si="50"/>
        <v>0</v>
      </c>
      <c r="DD28" s="207">
        <f t="shared" si="51"/>
        <v>3.5</v>
      </c>
      <c r="DE28" s="208">
        <f t="shared" si="52"/>
        <v>32.5</v>
      </c>
      <c r="DF28" s="205">
        <f t="shared" si="53"/>
        <v>7.9654895833333335</v>
      </c>
      <c r="DG28" s="206" t="str">
        <f t="shared" si="54"/>
        <v>(0.74)</v>
      </c>
      <c r="DH28" s="207">
        <v>2</v>
      </c>
      <c r="DI28" s="207">
        <f t="shared" si="55"/>
        <v>3.5</v>
      </c>
      <c r="DJ28" s="207">
        <v>0</v>
      </c>
      <c r="DK28" s="207">
        <f t="shared" si="56"/>
        <v>0</v>
      </c>
      <c r="DL28" s="207">
        <v>0</v>
      </c>
      <c r="DM28" s="207">
        <f t="shared" si="57"/>
        <v>0</v>
      </c>
      <c r="DN28" s="207">
        <f t="shared" si="58"/>
        <v>3.5</v>
      </c>
      <c r="DO28" s="208">
        <f t="shared" si="59"/>
        <v>38.5</v>
      </c>
      <c r="DP28" s="209">
        <f t="shared" si="60"/>
        <v>9.2068645833333331</v>
      </c>
      <c r="DQ28" s="210" t="str">
        <f t="shared" si="61"/>
        <v>(0.86)</v>
      </c>
      <c r="DR28" s="207">
        <v>2</v>
      </c>
      <c r="DS28" s="207">
        <f t="shared" si="62"/>
        <v>3.5</v>
      </c>
      <c r="DT28" s="207">
        <v>0</v>
      </c>
      <c r="DU28" s="207">
        <f t="shared" si="63"/>
        <v>0</v>
      </c>
      <c r="DV28" s="207">
        <v>0</v>
      </c>
      <c r="DW28" s="207">
        <f t="shared" si="64"/>
        <v>0</v>
      </c>
      <c r="DX28" s="207">
        <f t="shared" si="65"/>
        <v>3.5</v>
      </c>
      <c r="DY28" s="208">
        <f t="shared" si="66"/>
        <v>44.5</v>
      </c>
      <c r="DZ28" s="205">
        <f t="shared" si="67"/>
        <v>10.24134375</v>
      </c>
      <c r="EA28" s="206" t="str">
        <f t="shared" si="68"/>
        <v>(0.95)</v>
      </c>
      <c r="EB28" s="207">
        <v>2</v>
      </c>
      <c r="EC28" s="207">
        <f t="shared" si="69"/>
        <v>3.5</v>
      </c>
      <c r="ED28" s="207">
        <v>0</v>
      </c>
      <c r="EE28" s="207">
        <f t="shared" si="70"/>
        <v>0</v>
      </c>
      <c r="EF28" s="207">
        <v>1</v>
      </c>
      <c r="EG28" s="207">
        <f t="shared" si="71"/>
        <v>1</v>
      </c>
      <c r="EH28" s="207">
        <f t="shared" si="72"/>
        <v>4.5</v>
      </c>
      <c r="EI28" s="208">
        <f t="shared" si="73"/>
        <v>49.5</v>
      </c>
      <c r="EJ28" s="205">
        <f t="shared" si="74"/>
        <v>11.48271875</v>
      </c>
      <c r="EK28" s="206" t="str">
        <f t="shared" si="75"/>
        <v>(1.07)</v>
      </c>
      <c r="EL28" s="207">
        <v>2</v>
      </c>
      <c r="EM28" s="207">
        <f t="shared" si="76"/>
        <v>3.5</v>
      </c>
      <c r="EN28" s="207">
        <v>0</v>
      </c>
      <c r="EO28" s="207">
        <f t="shared" si="77"/>
        <v>0</v>
      </c>
      <c r="EP28" s="207">
        <v>1</v>
      </c>
      <c r="EQ28" s="207">
        <f t="shared" si="78"/>
        <v>1</v>
      </c>
      <c r="ER28" s="207">
        <f t="shared" si="79"/>
        <v>4.5</v>
      </c>
      <c r="ES28" s="208">
        <f t="shared" si="80"/>
        <v>55.5</v>
      </c>
      <c r="ET28" s="205">
        <f t="shared" si="81"/>
        <v>12.72409375</v>
      </c>
      <c r="EU28" s="206" t="str">
        <f t="shared" si="82"/>
        <v>(1.18)</v>
      </c>
      <c r="EV28" s="207">
        <v>2</v>
      </c>
      <c r="EW28" s="207">
        <f t="shared" si="83"/>
        <v>3.5</v>
      </c>
      <c r="EX28" s="207">
        <v>0</v>
      </c>
      <c r="EY28" s="207">
        <f t="shared" si="84"/>
        <v>0</v>
      </c>
      <c r="EZ28" s="207">
        <v>1</v>
      </c>
      <c r="FA28" s="207">
        <f t="shared" si="85"/>
        <v>1</v>
      </c>
      <c r="FB28" s="207">
        <f t="shared" si="86"/>
        <v>4.5</v>
      </c>
      <c r="FC28" s="208">
        <f t="shared" si="87"/>
        <v>61.5</v>
      </c>
      <c r="FD28" s="205">
        <f t="shared" si="88"/>
        <v>14.172364583333334</v>
      </c>
      <c r="FE28" s="206" t="str">
        <f t="shared" si="89"/>
        <v>(1.32)</v>
      </c>
      <c r="FF28" s="207">
        <v>2</v>
      </c>
      <c r="FG28" s="207">
        <f t="shared" si="90"/>
        <v>3.5</v>
      </c>
      <c r="FH28" s="469">
        <v>0</v>
      </c>
      <c r="FI28" s="207">
        <f t="shared" si="91"/>
        <v>0</v>
      </c>
      <c r="FJ28" s="207">
        <v>0</v>
      </c>
      <c r="FK28" s="207">
        <f t="shared" si="92"/>
        <v>0</v>
      </c>
      <c r="FL28" s="207">
        <f t="shared" si="93"/>
        <v>3.5</v>
      </c>
      <c r="FM28" s="208">
        <f t="shared" si="94"/>
        <v>68.5</v>
      </c>
      <c r="FN28" s="205">
        <f t="shared" si="95"/>
        <v>15.180981770833332</v>
      </c>
      <c r="FO28" s="206" t="str">
        <f t="shared" si="96"/>
        <v>(1.41)</v>
      </c>
      <c r="FP28" s="207">
        <v>2</v>
      </c>
      <c r="FQ28" s="207">
        <f t="shared" si="97"/>
        <v>3.5</v>
      </c>
      <c r="FR28" s="207">
        <v>1</v>
      </c>
      <c r="FS28" s="207">
        <f t="shared" si="98"/>
        <v>1.125</v>
      </c>
      <c r="FT28" s="207">
        <v>0</v>
      </c>
      <c r="FU28" s="207">
        <f t="shared" si="99"/>
        <v>0</v>
      </c>
      <c r="FV28" s="207">
        <f t="shared" si="100"/>
        <v>4.625</v>
      </c>
      <c r="FW28" s="208">
        <f t="shared" si="101"/>
        <v>73.375</v>
      </c>
      <c r="FX28" s="205">
        <f t="shared" si="102"/>
        <v>16.422356770833332</v>
      </c>
      <c r="FY28" s="206" t="str">
        <f t="shared" si="103"/>
        <v>(1.53)</v>
      </c>
      <c r="FZ28" s="207">
        <v>2</v>
      </c>
      <c r="GA28" s="207">
        <f t="shared" si="104"/>
        <v>3.5</v>
      </c>
      <c r="GB28" s="207">
        <v>1</v>
      </c>
      <c r="GC28" s="207">
        <f t="shared" si="105"/>
        <v>1.125</v>
      </c>
      <c r="GD28" s="207">
        <v>0</v>
      </c>
      <c r="GE28" s="207">
        <f t="shared" si="106"/>
        <v>0</v>
      </c>
      <c r="GF28" s="207">
        <f t="shared" si="107"/>
        <v>4.625</v>
      </c>
      <c r="GG28" s="208">
        <f t="shared" si="108"/>
        <v>79.375</v>
      </c>
      <c r="GH28" s="205">
        <f t="shared" si="109"/>
        <v>17.663731770833333</v>
      </c>
      <c r="GI28" s="206" t="str">
        <f t="shared" si="110"/>
        <v>(1.64)</v>
      </c>
      <c r="GJ28" s="207">
        <v>2</v>
      </c>
      <c r="GK28" s="207">
        <f t="shared" si="111"/>
        <v>3.5</v>
      </c>
      <c r="GL28" s="207">
        <v>1</v>
      </c>
      <c r="GM28" s="207">
        <f t="shared" si="112"/>
        <v>1.125</v>
      </c>
      <c r="GN28" s="207">
        <v>0</v>
      </c>
      <c r="GO28" s="207">
        <f t="shared" si="113"/>
        <v>0</v>
      </c>
      <c r="GP28" s="207">
        <f t="shared" si="114"/>
        <v>4.625</v>
      </c>
      <c r="GQ28" s="208">
        <f t="shared" si="115"/>
        <v>85.375</v>
      </c>
      <c r="GR28" s="205">
        <f t="shared" si="116"/>
        <v>18.905106770833335</v>
      </c>
      <c r="GS28" s="206" t="str">
        <f t="shared" si="117"/>
        <v>(1.76)</v>
      </c>
      <c r="GT28" s="207">
        <v>2</v>
      </c>
      <c r="GU28" s="207">
        <f t="shared" si="118"/>
        <v>3.5</v>
      </c>
      <c r="GV28" s="207">
        <v>1</v>
      </c>
      <c r="GW28" s="207">
        <f t="shared" si="119"/>
        <v>1.125</v>
      </c>
      <c r="GX28" s="207">
        <v>0</v>
      </c>
      <c r="GY28" s="207">
        <f t="shared" si="120"/>
        <v>0</v>
      </c>
      <c r="GZ28" s="207">
        <f t="shared" si="121"/>
        <v>4.625</v>
      </c>
      <c r="HA28" s="208">
        <f t="shared" si="122"/>
        <v>91.375</v>
      </c>
      <c r="HB28" s="205">
        <f t="shared" si="123"/>
        <v>20.146481770833333</v>
      </c>
      <c r="HC28" s="206" t="str">
        <f t="shared" si="124"/>
        <v>(1.87)</v>
      </c>
      <c r="HD28" s="207">
        <v>2</v>
      </c>
      <c r="HE28" s="207">
        <f t="shared" si="125"/>
        <v>3.5</v>
      </c>
      <c r="HF28" s="207">
        <v>1</v>
      </c>
      <c r="HG28" s="207">
        <f t="shared" si="126"/>
        <v>1.125</v>
      </c>
      <c r="HH28" s="207">
        <v>0</v>
      </c>
      <c r="HI28" s="207">
        <f t="shared" si="127"/>
        <v>0</v>
      </c>
      <c r="HJ28" s="207">
        <f t="shared" si="128"/>
        <v>4.625</v>
      </c>
      <c r="HK28" s="208">
        <f t="shared" si="129"/>
        <v>97.375</v>
      </c>
      <c r="HL28" s="205">
        <f t="shared" si="130"/>
        <v>20.974065104166666</v>
      </c>
      <c r="HM28" s="206" t="str">
        <f t="shared" si="131"/>
        <v>(1.95)</v>
      </c>
      <c r="HN28" s="207">
        <v>2</v>
      </c>
      <c r="HO28" s="207">
        <f t="shared" si="132"/>
        <v>3.5</v>
      </c>
      <c r="HP28" s="207">
        <v>1</v>
      </c>
      <c r="HQ28" s="207">
        <f t="shared" si="133"/>
        <v>1.125</v>
      </c>
      <c r="HR28" s="207">
        <v>2</v>
      </c>
      <c r="HS28" s="207">
        <f t="shared" si="134"/>
        <v>2</v>
      </c>
      <c r="HT28" s="207">
        <f t="shared" si="135"/>
        <v>6.625</v>
      </c>
      <c r="HU28" s="208">
        <f t="shared" si="136"/>
        <v>101.375</v>
      </c>
      <c r="HV28" s="205">
        <f t="shared" si="137"/>
        <v>22.215440104166664</v>
      </c>
      <c r="HW28" s="206" t="str">
        <f t="shared" si="138"/>
        <v>(2.06)</v>
      </c>
      <c r="HX28" s="207">
        <v>2</v>
      </c>
      <c r="HY28" s="207">
        <f t="shared" si="139"/>
        <v>3.5</v>
      </c>
      <c r="HZ28" s="207">
        <v>1</v>
      </c>
      <c r="IA28" s="207">
        <f t="shared" si="140"/>
        <v>1.125</v>
      </c>
      <c r="IB28" s="207">
        <v>2</v>
      </c>
      <c r="IC28" s="207">
        <f t="shared" si="141"/>
        <v>2</v>
      </c>
      <c r="ID28" s="207">
        <f t="shared" si="142"/>
        <v>6.625</v>
      </c>
      <c r="IE28" s="208">
        <f t="shared" si="143"/>
        <v>107.375</v>
      </c>
      <c r="IF28" s="205">
        <f t="shared" si="144"/>
        <v>23.456815104166665</v>
      </c>
      <c r="IG28" s="206" t="str">
        <f t="shared" si="145"/>
        <v>(2.18)</v>
      </c>
      <c r="IH28" s="21">
        <v>2</v>
      </c>
      <c r="II28" s="21">
        <f t="shared" si="146"/>
        <v>3.5</v>
      </c>
      <c r="IJ28" s="21">
        <v>1</v>
      </c>
      <c r="IK28" s="21">
        <f t="shared" si="147"/>
        <v>1.125</v>
      </c>
      <c r="IL28" s="21">
        <v>2</v>
      </c>
      <c r="IM28" s="21">
        <f t="shared" si="148"/>
        <v>2</v>
      </c>
      <c r="IN28" s="21">
        <f t="shared" si="149"/>
        <v>6.625</v>
      </c>
      <c r="IO28" s="22">
        <f t="shared" si="150"/>
        <v>113.375</v>
      </c>
      <c r="IP28" s="23"/>
      <c r="IQ28" s="24">
        <v>9</v>
      </c>
      <c r="IR28" s="25">
        <v>3.1160000000000001</v>
      </c>
      <c r="IS28" s="25">
        <v>3.0659999999999998</v>
      </c>
      <c r="IT28" s="25">
        <v>2.149</v>
      </c>
      <c r="IU28" s="25">
        <v>1.75</v>
      </c>
      <c r="IV28" s="25">
        <v>1</v>
      </c>
      <c r="IW28" s="25">
        <v>1.125</v>
      </c>
      <c r="IX28" s="7"/>
    </row>
    <row r="29" spans="2:258" ht="15.75" thickBot="1" x14ac:dyDescent="0.3">
      <c r="B29" s="79">
        <f t="shared" si="9"/>
        <v>72</v>
      </c>
      <c r="C29" s="148">
        <v>13</v>
      </c>
      <c r="D29" s="487"/>
      <c r="E29" s="468">
        <f t="shared" si="8"/>
        <v>0.44785358796296298</v>
      </c>
      <c r="F29" s="468">
        <f t="shared" si="0"/>
        <v>0.5093236882716049</v>
      </c>
      <c r="G29" s="468">
        <f t="shared" si="1"/>
        <v>0.54005873842592589</v>
      </c>
      <c r="H29" s="468">
        <f t="shared" si="2"/>
        <v>0.55849976851851835</v>
      </c>
      <c r="I29" s="468">
        <f t="shared" si="3"/>
        <v>0.57079378858024699</v>
      </c>
      <c r="J29" s="468">
        <f t="shared" si="4"/>
        <v>0.57957523148148149</v>
      </c>
      <c r="K29" s="468">
        <f t="shared" si="5"/>
        <v>0.58616131365740731</v>
      </c>
      <c r="L29" s="468">
        <f t="shared" si="6"/>
        <v>0.57957523148148149</v>
      </c>
      <c r="M29" s="468">
        <f t="shared" si="7"/>
        <v>0.58484409722222219</v>
      </c>
      <c r="N29" s="488"/>
      <c r="O29" s="488"/>
      <c r="P29" s="488"/>
      <c r="Q29" s="488"/>
      <c r="R29" s="488"/>
      <c r="S29" s="488"/>
      <c r="T29" s="488"/>
      <c r="U29" s="488"/>
      <c r="V29" s="488"/>
      <c r="W29" s="488"/>
      <c r="X29" s="76"/>
      <c r="Y29" s="46"/>
      <c r="AA29" s="61"/>
      <c r="AT29" s="3"/>
      <c r="AU29" s="13">
        <f t="shared" si="151"/>
        <v>54</v>
      </c>
      <c r="AV29" s="11" t="str">
        <f t="shared" si="10"/>
        <v>(1350)</v>
      </c>
      <c r="AW29" s="18"/>
      <c r="AX29" s="19">
        <f t="shared" si="11"/>
        <v>1.2703090277777778</v>
      </c>
      <c r="AY29" s="20" t="str">
        <f t="shared" si="12"/>
        <v>(0.12)</v>
      </c>
      <c r="AZ29" s="21">
        <v>2</v>
      </c>
      <c r="BA29" s="21">
        <f t="shared" si="13"/>
        <v>3.5</v>
      </c>
      <c r="BB29" s="21">
        <v>0</v>
      </c>
      <c r="BC29" s="21">
        <f t="shared" si="14"/>
        <v>0</v>
      </c>
      <c r="BD29" s="21">
        <v>0</v>
      </c>
      <c r="BE29" s="21">
        <f t="shared" si="15"/>
        <v>0</v>
      </c>
      <c r="BF29" s="21">
        <f t="shared" si="16"/>
        <v>3.5</v>
      </c>
      <c r="BG29" s="22">
        <f t="shared" si="17"/>
        <v>5.5</v>
      </c>
      <c r="BH29" s="205">
        <f t="shared" si="18"/>
        <v>1.9632048611111113</v>
      </c>
      <c r="BI29" s="206" t="str">
        <f t="shared" si="19"/>
        <v>(0.18)</v>
      </c>
      <c r="BJ29" s="207">
        <v>2</v>
      </c>
      <c r="BK29" s="207">
        <f t="shared" si="20"/>
        <v>3.5</v>
      </c>
      <c r="BL29" s="207">
        <v>0</v>
      </c>
      <c r="BM29" s="207">
        <f t="shared" si="21"/>
        <v>0</v>
      </c>
      <c r="BN29" s="207">
        <v>0</v>
      </c>
      <c r="BO29" s="207">
        <f t="shared" si="22"/>
        <v>0</v>
      </c>
      <c r="BP29" s="207">
        <f t="shared" si="23"/>
        <v>3.5</v>
      </c>
      <c r="BQ29" s="208">
        <f t="shared" si="24"/>
        <v>8.5</v>
      </c>
      <c r="BR29" s="205">
        <f t="shared" si="25"/>
        <v>3.3489965277777776</v>
      </c>
      <c r="BS29" s="206" t="str">
        <f t="shared" si="26"/>
        <v>(0.31)</v>
      </c>
      <c r="BT29" s="207">
        <v>2</v>
      </c>
      <c r="BU29" s="207">
        <f t="shared" si="27"/>
        <v>3.5</v>
      </c>
      <c r="BV29" s="207">
        <v>0</v>
      </c>
      <c r="BW29" s="207">
        <f t="shared" si="28"/>
        <v>0</v>
      </c>
      <c r="BX29" s="207">
        <v>0</v>
      </c>
      <c r="BY29" s="207">
        <f t="shared" si="29"/>
        <v>0</v>
      </c>
      <c r="BZ29" s="207">
        <f t="shared" si="30"/>
        <v>3.5</v>
      </c>
      <c r="CA29" s="208">
        <f t="shared" si="31"/>
        <v>14.5</v>
      </c>
      <c r="CB29" s="205">
        <f t="shared" si="32"/>
        <v>4.7347881944444445</v>
      </c>
      <c r="CC29" s="206" t="str">
        <f t="shared" si="33"/>
        <v>(0.44)</v>
      </c>
      <c r="CD29" s="207">
        <v>2</v>
      </c>
      <c r="CE29" s="207">
        <f t="shared" si="34"/>
        <v>3.5</v>
      </c>
      <c r="CF29" s="207">
        <v>0</v>
      </c>
      <c r="CG29" s="207">
        <f t="shared" si="35"/>
        <v>0</v>
      </c>
      <c r="CH29" s="207">
        <v>0</v>
      </c>
      <c r="CI29" s="207">
        <f t="shared" si="36"/>
        <v>0</v>
      </c>
      <c r="CJ29" s="207">
        <f t="shared" si="37"/>
        <v>3.5</v>
      </c>
      <c r="CK29" s="208">
        <f t="shared" si="38"/>
        <v>20.5</v>
      </c>
      <c r="CL29" s="205">
        <f t="shared" si="39"/>
        <v>6.1205798611111115</v>
      </c>
      <c r="CM29" s="206" t="str">
        <f t="shared" si="40"/>
        <v>(0.57)</v>
      </c>
      <c r="CN29" s="207">
        <v>2</v>
      </c>
      <c r="CO29" s="207">
        <f t="shared" si="41"/>
        <v>3.5</v>
      </c>
      <c r="CP29" s="207">
        <v>0</v>
      </c>
      <c r="CQ29" s="207">
        <f t="shared" si="42"/>
        <v>0</v>
      </c>
      <c r="CR29" s="207">
        <v>0</v>
      </c>
      <c r="CS29" s="207">
        <f t="shared" si="43"/>
        <v>0</v>
      </c>
      <c r="CT29" s="207">
        <f t="shared" si="44"/>
        <v>3.5</v>
      </c>
      <c r="CU29" s="208">
        <f t="shared" si="45"/>
        <v>26.5</v>
      </c>
      <c r="CV29" s="205">
        <f t="shared" si="46"/>
        <v>7.5063715277777776</v>
      </c>
      <c r="CW29" s="206" t="str">
        <f t="shared" si="47"/>
        <v>(0.7)</v>
      </c>
      <c r="CX29" s="207">
        <v>2</v>
      </c>
      <c r="CY29" s="207">
        <f t="shared" si="48"/>
        <v>3.5</v>
      </c>
      <c r="CZ29" s="207">
        <v>0</v>
      </c>
      <c r="DA29" s="207">
        <f t="shared" si="49"/>
        <v>0</v>
      </c>
      <c r="DB29" s="207">
        <v>0</v>
      </c>
      <c r="DC29" s="207">
        <f t="shared" si="50"/>
        <v>0</v>
      </c>
      <c r="DD29" s="207">
        <f t="shared" si="51"/>
        <v>3.5</v>
      </c>
      <c r="DE29" s="208">
        <f t="shared" si="52"/>
        <v>32.5</v>
      </c>
      <c r="DF29" s="205">
        <f t="shared" si="53"/>
        <v>8.8921631944444446</v>
      </c>
      <c r="DG29" s="206" t="str">
        <f t="shared" si="54"/>
        <v>(0.83)</v>
      </c>
      <c r="DH29" s="207">
        <v>2</v>
      </c>
      <c r="DI29" s="207">
        <f t="shared" si="55"/>
        <v>3.5</v>
      </c>
      <c r="DJ29" s="207">
        <v>0</v>
      </c>
      <c r="DK29" s="207">
        <f t="shared" si="56"/>
        <v>0</v>
      </c>
      <c r="DL29" s="207">
        <v>0</v>
      </c>
      <c r="DM29" s="207">
        <f t="shared" si="57"/>
        <v>0</v>
      </c>
      <c r="DN29" s="207">
        <f t="shared" si="58"/>
        <v>3.5</v>
      </c>
      <c r="DO29" s="208">
        <f t="shared" si="59"/>
        <v>38.5</v>
      </c>
      <c r="DP29" s="205">
        <f t="shared" si="60"/>
        <v>10.277954861111111</v>
      </c>
      <c r="DQ29" s="206" t="str">
        <f t="shared" si="61"/>
        <v>(0.95)</v>
      </c>
      <c r="DR29" s="207">
        <v>2</v>
      </c>
      <c r="DS29" s="207">
        <f t="shared" si="62"/>
        <v>3.5</v>
      </c>
      <c r="DT29" s="207">
        <v>0</v>
      </c>
      <c r="DU29" s="207">
        <f t="shared" si="63"/>
        <v>0</v>
      </c>
      <c r="DV29" s="207">
        <v>0</v>
      </c>
      <c r="DW29" s="207">
        <f t="shared" si="64"/>
        <v>0</v>
      </c>
      <c r="DX29" s="207">
        <f t="shared" si="65"/>
        <v>3.5</v>
      </c>
      <c r="DY29" s="208">
        <f t="shared" si="66"/>
        <v>44.5</v>
      </c>
      <c r="DZ29" s="205">
        <f t="shared" si="67"/>
        <v>11.43278125</v>
      </c>
      <c r="EA29" s="206" t="str">
        <f t="shared" si="68"/>
        <v>(1.06)</v>
      </c>
      <c r="EB29" s="207">
        <v>2</v>
      </c>
      <c r="EC29" s="207">
        <f t="shared" si="69"/>
        <v>3.5</v>
      </c>
      <c r="ED29" s="207">
        <v>0</v>
      </c>
      <c r="EE29" s="207">
        <f t="shared" si="70"/>
        <v>0</v>
      </c>
      <c r="EF29" s="207">
        <v>1</v>
      </c>
      <c r="EG29" s="207">
        <f t="shared" si="71"/>
        <v>1</v>
      </c>
      <c r="EH29" s="207">
        <f t="shared" si="72"/>
        <v>4.5</v>
      </c>
      <c r="EI29" s="208">
        <f t="shared" si="73"/>
        <v>49.5</v>
      </c>
      <c r="EJ29" s="205">
        <f t="shared" si="74"/>
        <v>12.818572916666668</v>
      </c>
      <c r="EK29" s="206" t="str">
        <f t="shared" si="75"/>
        <v>(1.19)</v>
      </c>
      <c r="EL29" s="207">
        <v>2</v>
      </c>
      <c r="EM29" s="207">
        <f t="shared" si="76"/>
        <v>3.5</v>
      </c>
      <c r="EN29" s="207">
        <v>0</v>
      </c>
      <c r="EO29" s="207">
        <f t="shared" si="77"/>
        <v>0</v>
      </c>
      <c r="EP29" s="207">
        <v>1</v>
      </c>
      <c r="EQ29" s="207">
        <f t="shared" si="78"/>
        <v>1</v>
      </c>
      <c r="ER29" s="207">
        <f t="shared" si="79"/>
        <v>4.5</v>
      </c>
      <c r="ES29" s="208">
        <f t="shared" si="80"/>
        <v>55.5</v>
      </c>
      <c r="ET29" s="205">
        <f t="shared" si="81"/>
        <v>14.204364583333334</v>
      </c>
      <c r="EU29" s="206" t="str">
        <f t="shared" si="82"/>
        <v>(1.32)</v>
      </c>
      <c r="EV29" s="207">
        <v>2</v>
      </c>
      <c r="EW29" s="207">
        <f t="shared" si="83"/>
        <v>3.5</v>
      </c>
      <c r="EX29" s="207">
        <v>0</v>
      </c>
      <c r="EY29" s="207">
        <f t="shared" si="84"/>
        <v>0</v>
      </c>
      <c r="EZ29" s="207">
        <v>1</v>
      </c>
      <c r="FA29" s="207">
        <f t="shared" si="85"/>
        <v>1</v>
      </c>
      <c r="FB29" s="207">
        <f t="shared" si="86"/>
        <v>4.5</v>
      </c>
      <c r="FC29" s="208">
        <f t="shared" si="87"/>
        <v>61.5</v>
      </c>
      <c r="FD29" s="205">
        <f t="shared" si="88"/>
        <v>15.821121527777779</v>
      </c>
      <c r="FE29" s="206" t="str">
        <f t="shared" si="89"/>
        <v>(1.47)</v>
      </c>
      <c r="FF29" s="207">
        <v>2</v>
      </c>
      <c r="FG29" s="207">
        <f t="shared" si="90"/>
        <v>3.5</v>
      </c>
      <c r="FH29" s="469">
        <v>0</v>
      </c>
      <c r="FI29" s="207">
        <f t="shared" si="91"/>
        <v>0</v>
      </c>
      <c r="FJ29" s="207">
        <v>0</v>
      </c>
      <c r="FK29" s="207">
        <f t="shared" si="92"/>
        <v>0</v>
      </c>
      <c r="FL29" s="207">
        <f t="shared" si="93"/>
        <v>3.5</v>
      </c>
      <c r="FM29" s="208">
        <f t="shared" si="94"/>
        <v>68.5</v>
      </c>
      <c r="FN29" s="205">
        <f t="shared" si="95"/>
        <v>16.947077256944443</v>
      </c>
      <c r="FO29" s="206" t="str">
        <f t="shared" si="96"/>
        <v>(1.57)</v>
      </c>
      <c r="FP29" s="207">
        <v>2</v>
      </c>
      <c r="FQ29" s="207">
        <f t="shared" si="97"/>
        <v>3.5</v>
      </c>
      <c r="FR29" s="207">
        <v>1</v>
      </c>
      <c r="FS29" s="207">
        <f t="shared" si="98"/>
        <v>1.125</v>
      </c>
      <c r="FT29" s="207">
        <v>0</v>
      </c>
      <c r="FU29" s="207">
        <f t="shared" si="99"/>
        <v>0</v>
      </c>
      <c r="FV29" s="207">
        <f t="shared" si="100"/>
        <v>4.625</v>
      </c>
      <c r="FW29" s="208">
        <f t="shared" si="101"/>
        <v>73.375</v>
      </c>
      <c r="FX29" s="205">
        <f t="shared" si="102"/>
        <v>18.332868923611112</v>
      </c>
      <c r="FY29" s="206" t="str">
        <f t="shared" si="103"/>
        <v>(1.70)</v>
      </c>
      <c r="FZ29" s="207">
        <v>2</v>
      </c>
      <c r="GA29" s="207">
        <f t="shared" si="104"/>
        <v>3.5</v>
      </c>
      <c r="GB29" s="207">
        <v>1</v>
      </c>
      <c r="GC29" s="207">
        <f t="shared" si="105"/>
        <v>1.125</v>
      </c>
      <c r="GD29" s="207">
        <v>0</v>
      </c>
      <c r="GE29" s="207">
        <f t="shared" si="106"/>
        <v>0</v>
      </c>
      <c r="GF29" s="207">
        <f t="shared" si="107"/>
        <v>4.625</v>
      </c>
      <c r="GG29" s="208">
        <f t="shared" si="108"/>
        <v>79.375</v>
      </c>
      <c r="GH29" s="205">
        <f t="shared" si="109"/>
        <v>19.718660590277779</v>
      </c>
      <c r="GI29" s="206" t="str">
        <f t="shared" si="110"/>
        <v>(1.83)</v>
      </c>
      <c r="GJ29" s="207">
        <v>2</v>
      </c>
      <c r="GK29" s="207">
        <f t="shared" si="111"/>
        <v>3.5</v>
      </c>
      <c r="GL29" s="207">
        <v>1</v>
      </c>
      <c r="GM29" s="207">
        <f t="shared" si="112"/>
        <v>1.125</v>
      </c>
      <c r="GN29" s="207">
        <v>0</v>
      </c>
      <c r="GO29" s="207">
        <f t="shared" si="113"/>
        <v>0</v>
      </c>
      <c r="GP29" s="207">
        <f t="shared" si="114"/>
        <v>4.625</v>
      </c>
      <c r="GQ29" s="208">
        <f t="shared" si="115"/>
        <v>85.375</v>
      </c>
      <c r="GR29" s="205">
        <f t="shared" si="116"/>
        <v>21.104452256944445</v>
      </c>
      <c r="GS29" s="206" t="str">
        <f t="shared" si="117"/>
        <v>(1.96)</v>
      </c>
      <c r="GT29" s="207">
        <v>2</v>
      </c>
      <c r="GU29" s="207">
        <f t="shared" si="118"/>
        <v>3.5</v>
      </c>
      <c r="GV29" s="207">
        <v>1</v>
      </c>
      <c r="GW29" s="207">
        <f t="shared" si="119"/>
        <v>1.125</v>
      </c>
      <c r="GX29" s="207">
        <v>0</v>
      </c>
      <c r="GY29" s="207">
        <f t="shared" si="120"/>
        <v>0</v>
      </c>
      <c r="GZ29" s="207">
        <f t="shared" si="121"/>
        <v>4.625</v>
      </c>
      <c r="HA29" s="208">
        <f t="shared" si="122"/>
        <v>91.375</v>
      </c>
      <c r="HB29" s="205">
        <f t="shared" si="123"/>
        <v>22.490243923611111</v>
      </c>
      <c r="HC29" s="206" t="str">
        <f t="shared" si="124"/>
        <v>(2.09)</v>
      </c>
      <c r="HD29" s="207">
        <v>2</v>
      </c>
      <c r="HE29" s="207">
        <f t="shared" si="125"/>
        <v>3.5</v>
      </c>
      <c r="HF29" s="207">
        <v>1</v>
      </c>
      <c r="HG29" s="207">
        <f t="shared" si="126"/>
        <v>1.125</v>
      </c>
      <c r="HH29" s="207">
        <v>0</v>
      </c>
      <c r="HI29" s="207">
        <f t="shared" si="127"/>
        <v>0</v>
      </c>
      <c r="HJ29" s="207">
        <f t="shared" si="128"/>
        <v>4.625</v>
      </c>
      <c r="HK29" s="208">
        <f t="shared" si="129"/>
        <v>97.375</v>
      </c>
      <c r="HL29" s="205">
        <f t="shared" si="130"/>
        <v>23.414105034722223</v>
      </c>
      <c r="HM29" s="206" t="str">
        <f t="shared" si="131"/>
        <v>(2.18)</v>
      </c>
      <c r="HN29" s="207">
        <v>2</v>
      </c>
      <c r="HO29" s="207">
        <f t="shared" si="132"/>
        <v>3.5</v>
      </c>
      <c r="HP29" s="207">
        <v>1</v>
      </c>
      <c r="HQ29" s="207">
        <f t="shared" si="133"/>
        <v>1.125</v>
      </c>
      <c r="HR29" s="207">
        <v>2</v>
      </c>
      <c r="HS29" s="207">
        <f t="shared" si="134"/>
        <v>2</v>
      </c>
      <c r="HT29" s="207">
        <f t="shared" si="135"/>
        <v>6.625</v>
      </c>
      <c r="HU29" s="208">
        <f t="shared" si="136"/>
        <v>101.375</v>
      </c>
      <c r="HV29" s="205">
        <f t="shared" si="137"/>
        <v>24.799896701388889</v>
      </c>
      <c r="HW29" s="206" t="str">
        <f t="shared" si="138"/>
        <v>(2.30)</v>
      </c>
      <c r="HX29" s="207">
        <v>2</v>
      </c>
      <c r="HY29" s="207">
        <f t="shared" si="139"/>
        <v>3.5</v>
      </c>
      <c r="HZ29" s="207">
        <v>1</v>
      </c>
      <c r="IA29" s="207">
        <f t="shared" si="140"/>
        <v>1.125</v>
      </c>
      <c r="IB29" s="207">
        <v>2</v>
      </c>
      <c r="IC29" s="207">
        <f t="shared" si="141"/>
        <v>2</v>
      </c>
      <c r="ID29" s="207">
        <f t="shared" si="142"/>
        <v>6.625</v>
      </c>
      <c r="IE29" s="208">
        <f t="shared" si="143"/>
        <v>107.375</v>
      </c>
      <c r="IF29" s="205">
        <f t="shared" si="144"/>
        <v>26.185688368055555</v>
      </c>
      <c r="IG29" s="206" t="str">
        <f t="shared" si="145"/>
        <v>(2.43)</v>
      </c>
      <c r="IH29" s="21">
        <v>2</v>
      </c>
      <c r="II29" s="21">
        <f t="shared" si="146"/>
        <v>3.5</v>
      </c>
      <c r="IJ29" s="21">
        <v>1</v>
      </c>
      <c r="IK29" s="21">
        <f t="shared" si="147"/>
        <v>1.125</v>
      </c>
      <c r="IL29" s="21">
        <v>2</v>
      </c>
      <c r="IM29" s="21">
        <f t="shared" si="148"/>
        <v>2</v>
      </c>
      <c r="IN29" s="21">
        <f t="shared" si="149"/>
        <v>6.625</v>
      </c>
      <c r="IO29" s="22">
        <f t="shared" si="150"/>
        <v>113.375</v>
      </c>
      <c r="IP29" s="23"/>
      <c r="IQ29" s="24">
        <v>10</v>
      </c>
      <c r="IR29" s="25">
        <v>3.1160000000000001</v>
      </c>
      <c r="IS29" s="25">
        <v>3.0659999999999998</v>
      </c>
      <c r="IT29" s="25">
        <v>2.5489999999999999</v>
      </c>
      <c r="IU29" s="25">
        <v>1.75</v>
      </c>
      <c r="IV29" s="25">
        <v>1</v>
      </c>
      <c r="IW29" s="25">
        <v>1.125</v>
      </c>
      <c r="IX29" s="7"/>
    </row>
    <row r="30" spans="2:258" ht="15.75" thickBot="1" x14ac:dyDescent="0.3">
      <c r="B30" s="79">
        <f t="shared" si="9"/>
        <v>78</v>
      </c>
      <c r="C30" s="147">
        <v>14</v>
      </c>
      <c r="D30" s="487"/>
      <c r="E30" s="488"/>
      <c r="F30" s="488"/>
      <c r="G30" s="488"/>
      <c r="H30" s="488"/>
      <c r="I30" s="488"/>
      <c r="J30" s="488"/>
      <c r="K30" s="488"/>
      <c r="L30" s="488"/>
      <c r="M30" s="488"/>
      <c r="N30" s="488"/>
      <c r="O30" s="488"/>
      <c r="P30" s="488"/>
      <c r="Q30" s="488"/>
      <c r="R30" s="488"/>
      <c r="S30" s="488"/>
      <c r="T30" s="488"/>
      <c r="U30" s="488"/>
      <c r="V30" s="488"/>
      <c r="W30" s="488"/>
      <c r="X30" s="76"/>
      <c r="Y30" s="46"/>
      <c r="AT30" s="3"/>
      <c r="AU30" s="26">
        <f t="shared" si="151"/>
        <v>60</v>
      </c>
      <c r="AV30" s="27" t="str">
        <f t="shared" si="10"/>
        <v>(1500)</v>
      </c>
      <c r="AW30" s="18"/>
      <c r="AX30" s="19">
        <f t="shared" si="11"/>
        <v>1.4363020833333333</v>
      </c>
      <c r="AY30" s="28" t="str">
        <f t="shared" si="12"/>
        <v>(0.13)</v>
      </c>
      <c r="AZ30" s="21">
        <v>2</v>
      </c>
      <c r="BA30" s="21">
        <f t="shared" si="13"/>
        <v>3.5</v>
      </c>
      <c r="BB30" s="29">
        <v>0</v>
      </c>
      <c r="BC30" s="21">
        <f t="shared" si="14"/>
        <v>0</v>
      </c>
      <c r="BD30" s="29">
        <v>0</v>
      </c>
      <c r="BE30" s="21">
        <f t="shared" si="15"/>
        <v>0</v>
      </c>
      <c r="BF30" s="21">
        <f t="shared" si="16"/>
        <v>3.5</v>
      </c>
      <c r="BG30" s="22">
        <f t="shared" si="17"/>
        <v>5.5</v>
      </c>
      <c r="BH30" s="205">
        <f t="shared" si="18"/>
        <v>2.2197395833333333</v>
      </c>
      <c r="BI30" s="206" t="str">
        <f t="shared" si="19"/>
        <v>(0.21)</v>
      </c>
      <c r="BJ30" s="207">
        <v>2</v>
      </c>
      <c r="BK30" s="207">
        <f t="shared" si="20"/>
        <v>3.5</v>
      </c>
      <c r="BL30" s="207">
        <v>0</v>
      </c>
      <c r="BM30" s="207">
        <f t="shared" si="21"/>
        <v>0</v>
      </c>
      <c r="BN30" s="207">
        <v>0</v>
      </c>
      <c r="BO30" s="207">
        <f t="shared" si="22"/>
        <v>0</v>
      </c>
      <c r="BP30" s="207">
        <f t="shared" si="23"/>
        <v>3.5</v>
      </c>
      <c r="BQ30" s="208">
        <f t="shared" si="24"/>
        <v>8.5</v>
      </c>
      <c r="BR30" s="205">
        <f t="shared" si="25"/>
        <v>3.7866145833333329</v>
      </c>
      <c r="BS30" s="206" t="str">
        <f t="shared" si="26"/>
        <v>(0.35)</v>
      </c>
      <c r="BT30" s="207">
        <v>2</v>
      </c>
      <c r="BU30" s="207">
        <f t="shared" si="27"/>
        <v>3.5</v>
      </c>
      <c r="BV30" s="207">
        <v>0</v>
      </c>
      <c r="BW30" s="207">
        <f t="shared" si="28"/>
        <v>0</v>
      </c>
      <c r="BX30" s="207">
        <v>0</v>
      </c>
      <c r="BY30" s="207">
        <f t="shared" si="29"/>
        <v>0</v>
      </c>
      <c r="BZ30" s="207">
        <f t="shared" si="30"/>
        <v>3.5</v>
      </c>
      <c r="CA30" s="208">
        <f t="shared" si="31"/>
        <v>14.5</v>
      </c>
      <c r="CB30" s="205">
        <f t="shared" si="32"/>
        <v>5.3534895833333325</v>
      </c>
      <c r="CC30" s="206" t="str">
        <f t="shared" si="33"/>
        <v>(0.5)</v>
      </c>
      <c r="CD30" s="207">
        <v>2</v>
      </c>
      <c r="CE30" s="207">
        <f t="shared" si="34"/>
        <v>3.5</v>
      </c>
      <c r="CF30" s="207">
        <v>0</v>
      </c>
      <c r="CG30" s="207">
        <f t="shared" si="35"/>
        <v>0</v>
      </c>
      <c r="CH30" s="207">
        <v>0</v>
      </c>
      <c r="CI30" s="207">
        <f t="shared" si="36"/>
        <v>0</v>
      </c>
      <c r="CJ30" s="207">
        <f t="shared" si="37"/>
        <v>3.5</v>
      </c>
      <c r="CK30" s="208">
        <f t="shared" si="38"/>
        <v>20.5</v>
      </c>
      <c r="CL30" s="205">
        <f t="shared" si="39"/>
        <v>6.9203645833333329</v>
      </c>
      <c r="CM30" s="206" t="str">
        <f t="shared" si="40"/>
        <v>(0.64)</v>
      </c>
      <c r="CN30" s="207">
        <v>2</v>
      </c>
      <c r="CO30" s="207">
        <f t="shared" si="41"/>
        <v>3.5</v>
      </c>
      <c r="CP30" s="207">
        <v>0</v>
      </c>
      <c r="CQ30" s="207">
        <f t="shared" si="42"/>
        <v>0</v>
      </c>
      <c r="CR30" s="207">
        <v>0</v>
      </c>
      <c r="CS30" s="207">
        <f t="shared" si="43"/>
        <v>0</v>
      </c>
      <c r="CT30" s="207">
        <f t="shared" si="44"/>
        <v>3.5</v>
      </c>
      <c r="CU30" s="208">
        <f t="shared" si="45"/>
        <v>26.5</v>
      </c>
      <c r="CV30" s="205">
        <f t="shared" si="46"/>
        <v>8.4872395833333325</v>
      </c>
      <c r="CW30" s="206" t="str">
        <f t="shared" si="47"/>
        <v>(0.79)</v>
      </c>
      <c r="CX30" s="207">
        <v>2</v>
      </c>
      <c r="CY30" s="207">
        <f t="shared" si="48"/>
        <v>3.5</v>
      </c>
      <c r="CZ30" s="207">
        <v>0</v>
      </c>
      <c r="DA30" s="207">
        <f t="shared" si="49"/>
        <v>0</v>
      </c>
      <c r="DB30" s="207">
        <v>0</v>
      </c>
      <c r="DC30" s="207">
        <f t="shared" si="50"/>
        <v>0</v>
      </c>
      <c r="DD30" s="207">
        <f t="shared" si="51"/>
        <v>3.5</v>
      </c>
      <c r="DE30" s="208">
        <f t="shared" si="52"/>
        <v>32.5</v>
      </c>
      <c r="DF30" s="205">
        <f t="shared" si="53"/>
        <v>10.054114583333332</v>
      </c>
      <c r="DG30" s="206" t="str">
        <f t="shared" si="54"/>
        <v>(0.93)</v>
      </c>
      <c r="DH30" s="207">
        <v>2</v>
      </c>
      <c r="DI30" s="207">
        <f t="shared" si="55"/>
        <v>3.5</v>
      </c>
      <c r="DJ30" s="207">
        <v>0</v>
      </c>
      <c r="DK30" s="207">
        <f t="shared" si="56"/>
        <v>0</v>
      </c>
      <c r="DL30" s="207">
        <v>0</v>
      </c>
      <c r="DM30" s="207">
        <f t="shared" si="57"/>
        <v>0</v>
      </c>
      <c r="DN30" s="207">
        <f t="shared" si="58"/>
        <v>3.5</v>
      </c>
      <c r="DO30" s="208">
        <f t="shared" si="59"/>
        <v>38.5</v>
      </c>
      <c r="DP30" s="205">
        <f t="shared" si="60"/>
        <v>11.620989583333333</v>
      </c>
      <c r="DQ30" s="206" t="str">
        <f t="shared" si="61"/>
        <v>(1.08)</v>
      </c>
      <c r="DR30" s="207">
        <v>2</v>
      </c>
      <c r="DS30" s="207">
        <f t="shared" si="62"/>
        <v>3.5</v>
      </c>
      <c r="DT30" s="207">
        <v>0</v>
      </c>
      <c r="DU30" s="207">
        <f t="shared" si="63"/>
        <v>0</v>
      </c>
      <c r="DV30" s="207">
        <v>0</v>
      </c>
      <c r="DW30" s="207">
        <f t="shared" si="64"/>
        <v>0</v>
      </c>
      <c r="DX30" s="207">
        <f t="shared" si="65"/>
        <v>3.5</v>
      </c>
      <c r="DY30" s="208">
        <f t="shared" si="66"/>
        <v>44.5</v>
      </c>
      <c r="DZ30" s="205">
        <f t="shared" si="67"/>
        <v>12.926718749999999</v>
      </c>
      <c r="EA30" s="206" t="str">
        <f t="shared" si="68"/>
        <v>(1.20)</v>
      </c>
      <c r="EB30" s="207">
        <v>2</v>
      </c>
      <c r="EC30" s="207">
        <f t="shared" si="69"/>
        <v>3.5</v>
      </c>
      <c r="ED30" s="207">
        <v>0</v>
      </c>
      <c r="EE30" s="207">
        <f t="shared" si="70"/>
        <v>0</v>
      </c>
      <c r="EF30" s="207">
        <v>1</v>
      </c>
      <c r="EG30" s="207">
        <f t="shared" si="71"/>
        <v>1</v>
      </c>
      <c r="EH30" s="207">
        <f t="shared" si="72"/>
        <v>4.5</v>
      </c>
      <c r="EI30" s="208">
        <f t="shared" si="73"/>
        <v>49.5</v>
      </c>
      <c r="EJ30" s="205">
        <f t="shared" si="74"/>
        <v>14.493593749999999</v>
      </c>
      <c r="EK30" s="206" t="str">
        <f t="shared" si="75"/>
        <v>(1.35)</v>
      </c>
      <c r="EL30" s="207">
        <v>2</v>
      </c>
      <c r="EM30" s="207">
        <f t="shared" si="76"/>
        <v>3.5</v>
      </c>
      <c r="EN30" s="207">
        <v>0</v>
      </c>
      <c r="EO30" s="207">
        <f t="shared" si="77"/>
        <v>0</v>
      </c>
      <c r="EP30" s="207">
        <v>1</v>
      </c>
      <c r="EQ30" s="207">
        <f t="shared" si="78"/>
        <v>1</v>
      </c>
      <c r="ER30" s="207">
        <f t="shared" si="79"/>
        <v>4.5</v>
      </c>
      <c r="ES30" s="208">
        <f t="shared" si="80"/>
        <v>55.5</v>
      </c>
      <c r="ET30" s="205">
        <f t="shared" si="81"/>
        <v>16.060468749999998</v>
      </c>
      <c r="EU30" s="206" t="str">
        <f t="shared" si="82"/>
        <v>(1.49)</v>
      </c>
      <c r="EV30" s="207">
        <v>2</v>
      </c>
      <c r="EW30" s="207">
        <f t="shared" si="83"/>
        <v>3.5</v>
      </c>
      <c r="EX30" s="207">
        <v>0</v>
      </c>
      <c r="EY30" s="207">
        <f t="shared" si="84"/>
        <v>0</v>
      </c>
      <c r="EZ30" s="207">
        <v>1</v>
      </c>
      <c r="FA30" s="207">
        <f t="shared" si="85"/>
        <v>1</v>
      </c>
      <c r="FB30" s="207">
        <f t="shared" si="86"/>
        <v>4.5</v>
      </c>
      <c r="FC30" s="208">
        <f t="shared" si="87"/>
        <v>61.5</v>
      </c>
      <c r="FD30" s="205">
        <f t="shared" si="88"/>
        <v>17.888489583333332</v>
      </c>
      <c r="FE30" s="206" t="str">
        <f t="shared" si="89"/>
        <v>(1.66)</v>
      </c>
      <c r="FF30" s="207">
        <v>2</v>
      </c>
      <c r="FG30" s="207">
        <f t="shared" si="90"/>
        <v>3.5</v>
      </c>
      <c r="FH30" s="469">
        <v>0</v>
      </c>
      <c r="FI30" s="207">
        <f t="shared" si="91"/>
        <v>0</v>
      </c>
      <c r="FJ30" s="207">
        <v>0</v>
      </c>
      <c r="FK30" s="207">
        <f t="shared" si="92"/>
        <v>0</v>
      </c>
      <c r="FL30" s="207">
        <f t="shared" si="93"/>
        <v>3.5</v>
      </c>
      <c r="FM30" s="208">
        <f t="shared" si="94"/>
        <v>68.5</v>
      </c>
      <c r="FN30" s="205">
        <f t="shared" si="95"/>
        <v>19.161575520833331</v>
      </c>
      <c r="FO30" s="206" t="str">
        <f t="shared" si="96"/>
        <v>(1.78)</v>
      </c>
      <c r="FP30" s="207">
        <v>2</v>
      </c>
      <c r="FQ30" s="207">
        <f t="shared" si="97"/>
        <v>3.5</v>
      </c>
      <c r="FR30" s="207">
        <v>1</v>
      </c>
      <c r="FS30" s="207">
        <f t="shared" si="98"/>
        <v>1.125</v>
      </c>
      <c r="FT30" s="207">
        <v>0</v>
      </c>
      <c r="FU30" s="207">
        <f t="shared" si="99"/>
        <v>0</v>
      </c>
      <c r="FV30" s="207">
        <f t="shared" si="100"/>
        <v>4.625</v>
      </c>
      <c r="FW30" s="208">
        <f t="shared" si="101"/>
        <v>73.375</v>
      </c>
      <c r="FX30" s="205">
        <f t="shared" si="102"/>
        <v>20.728450520833334</v>
      </c>
      <c r="FY30" s="206" t="str">
        <f t="shared" si="103"/>
        <v>(1.93)</v>
      </c>
      <c r="FZ30" s="207">
        <v>2</v>
      </c>
      <c r="GA30" s="207">
        <f t="shared" si="104"/>
        <v>3.5</v>
      </c>
      <c r="GB30" s="207">
        <v>1</v>
      </c>
      <c r="GC30" s="207">
        <f t="shared" si="105"/>
        <v>1.125</v>
      </c>
      <c r="GD30" s="207">
        <v>0</v>
      </c>
      <c r="GE30" s="207">
        <f t="shared" si="106"/>
        <v>0</v>
      </c>
      <c r="GF30" s="207">
        <f t="shared" si="107"/>
        <v>4.625</v>
      </c>
      <c r="GG30" s="208">
        <f t="shared" si="108"/>
        <v>79.375</v>
      </c>
      <c r="GH30" s="205">
        <f t="shared" si="109"/>
        <v>22.29532552083333</v>
      </c>
      <c r="GI30" s="206" t="str">
        <f t="shared" si="110"/>
        <v>(2.07)</v>
      </c>
      <c r="GJ30" s="207">
        <v>2</v>
      </c>
      <c r="GK30" s="207">
        <f t="shared" si="111"/>
        <v>3.5</v>
      </c>
      <c r="GL30" s="207">
        <v>1</v>
      </c>
      <c r="GM30" s="207">
        <f t="shared" si="112"/>
        <v>1.125</v>
      </c>
      <c r="GN30" s="207">
        <v>0</v>
      </c>
      <c r="GO30" s="207">
        <f t="shared" si="113"/>
        <v>0</v>
      </c>
      <c r="GP30" s="207">
        <f t="shared" si="114"/>
        <v>4.625</v>
      </c>
      <c r="GQ30" s="208">
        <f t="shared" si="115"/>
        <v>85.375</v>
      </c>
      <c r="GR30" s="205">
        <f t="shared" si="116"/>
        <v>23.86220052083333</v>
      </c>
      <c r="GS30" s="206" t="str">
        <f t="shared" si="117"/>
        <v>(2.22)</v>
      </c>
      <c r="GT30" s="207">
        <v>2</v>
      </c>
      <c r="GU30" s="207">
        <f t="shared" si="118"/>
        <v>3.5</v>
      </c>
      <c r="GV30" s="207">
        <v>1</v>
      </c>
      <c r="GW30" s="207">
        <f t="shared" si="119"/>
        <v>1.125</v>
      </c>
      <c r="GX30" s="207">
        <v>0</v>
      </c>
      <c r="GY30" s="207">
        <f t="shared" si="120"/>
        <v>0</v>
      </c>
      <c r="GZ30" s="207">
        <f t="shared" si="121"/>
        <v>4.625</v>
      </c>
      <c r="HA30" s="208">
        <f t="shared" si="122"/>
        <v>91.375</v>
      </c>
      <c r="HB30" s="205">
        <f t="shared" si="123"/>
        <v>25.429075520833333</v>
      </c>
      <c r="HC30" s="206" t="str">
        <f t="shared" si="124"/>
        <v>(2.36)</v>
      </c>
      <c r="HD30" s="207">
        <v>2</v>
      </c>
      <c r="HE30" s="207">
        <f t="shared" si="125"/>
        <v>3.5</v>
      </c>
      <c r="HF30" s="207">
        <v>1</v>
      </c>
      <c r="HG30" s="207">
        <f t="shared" si="126"/>
        <v>1.125</v>
      </c>
      <c r="HH30" s="207">
        <v>0</v>
      </c>
      <c r="HI30" s="207">
        <f t="shared" si="127"/>
        <v>0</v>
      </c>
      <c r="HJ30" s="207">
        <f t="shared" si="128"/>
        <v>4.625</v>
      </c>
      <c r="HK30" s="208">
        <f t="shared" si="129"/>
        <v>97.375</v>
      </c>
      <c r="HL30" s="205">
        <f t="shared" si="130"/>
        <v>26.473658854166665</v>
      </c>
      <c r="HM30" s="206" t="str">
        <f t="shared" si="131"/>
        <v>(2.46)</v>
      </c>
      <c r="HN30" s="207">
        <v>2</v>
      </c>
      <c r="HO30" s="207">
        <f t="shared" si="132"/>
        <v>3.5</v>
      </c>
      <c r="HP30" s="207">
        <v>1</v>
      </c>
      <c r="HQ30" s="207">
        <f t="shared" si="133"/>
        <v>1.125</v>
      </c>
      <c r="HR30" s="207">
        <v>2</v>
      </c>
      <c r="HS30" s="207">
        <f t="shared" si="134"/>
        <v>2</v>
      </c>
      <c r="HT30" s="207">
        <f t="shared" si="135"/>
        <v>6.625</v>
      </c>
      <c r="HU30" s="208">
        <f t="shared" si="136"/>
        <v>101.375</v>
      </c>
      <c r="HV30" s="205">
        <f t="shared" si="137"/>
        <v>28.040533854166664</v>
      </c>
      <c r="HW30" s="206" t="str">
        <f t="shared" si="138"/>
        <v>(2.61)</v>
      </c>
      <c r="HX30" s="207">
        <v>2</v>
      </c>
      <c r="HY30" s="207">
        <f t="shared" si="139"/>
        <v>3.5</v>
      </c>
      <c r="HZ30" s="207">
        <v>1</v>
      </c>
      <c r="IA30" s="207">
        <f t="shared" si="140"/>
        <v>1.125</v>
      </c>
      <c r="IB30" s="207">
        <v>2</v>
      </c>
      <c r="IC30" s="207">
        <f t="shared" si="141"/>
        <v>2</v>
      </c>
      <c r="ID30" s="207">
        <f t="shared" si="142"/>
        <v>6.625</v>
      </c>
      <c r="IE30" s="208">
        <f t="shared" si="143"/>
        <v>107.375</v>
      </c>
      <c r="IF30" s="205">
        <f t="shared" si="144"/>
        <v>29.607408854166668</v>
      </c>
      <c r="IG30" s="206" t="str">
        <f t="shared" si="145"/>
        <v>(2.75)</v>
      </c>
      <c r="IH30" s="21">
        <v>2</v>
      </c>
      <c r="II30" s="21">
        <f t="shared" si="146"/>
        <v>3.5</v>
      </c>
      <c r="IJ30" s="29">
        <v>1</v>
      </c>
      <c r="IK30" s="21">
        <f t="shared" si="147"/>
        <v>1.125</v>
      </c>
      <c r="IL30" s="21">
        <v>2</v>
      </c>
      <c r="IM30" s="21">
        <f t="shared" si="148"/>
        <v>2</v>
      </c>
      <c r="IN30" s="21">
        <f t="shared" si="149"/>
        <v>6.625</v>
      </c>
      <c r="IO30" s="22">
        <f t="shared" si="150"/>
        <v>113.375</v>
      </c>
      <c r="IP30" s="23"/>
      <c r="IQ30" s="24">
        <v>12</v>
      </c>
      <c r="IR30" s="25">
        <v>3.1160000000000001</v>
      </c>
      <c r="IS30" s="25">
        <v>3.0659999999999998</v>
      </c>
      <c r="IT30" s="25">
        <v>0.76300000000000001</v>
      </c>
      <c r="IU30" s="25">
        <v>1.75</v>
      </c>
      <c r="IV30" s="25">
        <v>1</v>
      </c>
      <c r="IW30" s="25">
        <v>1.125</v>
      </c>
      <c r="IX30" s="7"/>
    </row>
    <row r="31" spans="2:258" ht="15.75" thickBot="1" x14ac:dyDescent="0.3">
      <c r="B31" s="79">
        <f t="shared" si="9"/>
        <v>84</v>
      </c>
      <c r="C31" s="148">
        <v>15</v>
      </c>
      <c r="D31" s="487"/>
      <c r="E31" s="488"/>
      <c r="F31" s="488"/>
      <c r="G31" s="488"/>
      <c r="H31" s="488"/>
      <c r="I31" s="488"/>
      <c r="J31" s="488"/>
      <c r="K31" s="488"/>
      <c r="L31" s="488"/>
      <c r="M31" s="488"/>
      <c r="N31" s="488"/>
      <c r="O31" s="488"/>
      <c r="P31" s="488"/>
      <c r="Q31" s="488"/>
      <c r="R31" s="488"/>
      <c r="S31" s="488"/>
      <c r="T31" s="488"/>
      <c r="U31" s="488"/>
      <c r="V31" s="488"/>
      <c r="W31" s="488"/>
      <c r="X31" s="76"/>
      <c r="Y31" s="46"/>
      <c r="AT31" s="3"/>
      <c r="AU31" s="13">
        <f t="shared" si="151"/>
        <v>66</v>
      </c>
      <c r="AV31" s="11" t="str">
        <f t="shared" si="10"/>
        <v>(1700)</v>
      </c>
      <c r="AW31" s="18"/>
      <c r="AX31" s="19">
        <f t="shared" si="11"/>
        <v>1.60634375</v>
      </c>
      <c r="AY31" s="20" t="str">
        <f t="shared" si="12"/>
        <v>(0.15)</v>
      </c>
      <c r="AZ31" s="21">
        <v>2</v>
      </c>
      <c r="BA31" s="21">
        <f t="shared" si="13"/>
        <v>3.5</v>
      </c>
      <c r="BB31" s="21">
        <v>0</v>
      </c>
      <c r="BC31" s="21">
        <f t="shared" si="14"/>
        <v>0</v>
      </c>
      <c r="BD31" s="21">
        <v>0</v>
      </c>
      <c r="BE31" s="21">
        <f t="shared" si="15"/>
        <v>0</v>
      </c>
      <c r="BF31" s="21">
        <f t="shared" si="16"/>
        <v>3.5</v>
      </c>
      <c r="BG31" s="22">
        <f t="shared" si="17"/>
        <v>5.5</v>
      </c>
      <c r="BH31" s="205">
        <f t="shared" si="18"/>
        <v>2.4825312500000001</v>
      </c>
      <c r="BI31" s="206" t="str">
        <f t="shared" si="19"/>
        <v>(0.23)</v>
      </c>
      <c r="BJ31" s="207">
        <v>2</v>
      </c>
      <c r="BK31" s="207">
        <f t="shared" si="20"/>
        <v>3.5</v>
      </c>
      <c r="BL31" s="207">
        <v>0</v>
      </c>
      <c r="BM31" s="207">
        <f t="shared" si="21"/>
        <v>0</v>
      </c>
      <c r="BN31" s="207">
        <v>0</v>
      </c>
      <c r="BO31" s="207">
        <f t="shared" si="22"/>
        <v>0</v>
      </c>
      <c r="BP31" s="207">
        <f t="shared" si="23"/>
        <v>3.5</v>
      </c>
      <c r="BQ31" s="208">
        <f t="shared" si="24"/>
        <v>8.5</v>
      </c>
      <c r="BR31" s="205">
        <f t="shared" si="25"/>
        <v>4.2349062499999999</v>
      </c>
      <c r="BS31" s="206" t="str">
        <f t="shared" si="26"/>
        <v>(0.39)</v>
      </c>
      <c r="BT31" s="207">
        <v>2</v>
      </c>
      <c r="BU31" s="207">
        <f t="shared" si="27"/>
        <v>3.5</v>
      </c>
      <c r="BV31" s="207">
        <v>0</v>
      </c>
      <c r="BW31" s="207">
        <f t="shared" si="28"/>
        <v>0</v>
      </c>
      <c r="BX31" s="207">
        <v>0</v>
      </c>
      <c r="BY31" s="207">
        <f t="shared" si="29"/>
        <v>0</v>
      </c>
      <c r="BZ31" s="207">
        <f t="shared" si="30"/>
        <v>3.5</v>
      </c>
      <c r="CA31" s="208">
        <f t="shared" si="31"/>
        <v>14.5</v>
      </c>
      <c r="CB31" s="205">
        <f t="shared" si="32"/>
        <v>5.9872812499999997</v>
      </c>
      <c r="CC31" s="206" t="str">
        <f t="shared" si="33"/>
        <v>(0.56)</v>
      </c>
      <c r="CD31" s="207">
        <v>2</v>
      </c>
      <c r="CE31" s="207">
        <f t="shared" si="34"/>
        <v>3.5</v>
      </c>
      <c r="CF31" s="207">
        <v>0</v>
      </c>
      <c r="CG31" s="207">
        <f t="shared" si="35"/>
        <v>0</v>
      </c>
      <c r="CH31" s="207">
        <v>0</v>
      </c>
      <c r="CI31" s="207">
        <f t="shared" si="36"/>
        <v>0</v>
      </c>
      <c r="CJ31" s="207">
        <f t="shared" si="37"/>
        <v>3.5</v>
      </c>
      <c r="CK31" s="208">
        <f t="shared" si="38"/>
        <v>20.5</v>
      </c>
      <c r="CL31" s="205">
        <f t="shared" si="39"/>
        <v>7.7396562500000003</v>
      </c>
      <c r="CM31" s="206" t="str">
        <f t="shared" si="40"/>
        <v>(0.72)</v>
      </c>
      <c r="CN31" s="207">
        <v>2</v>
      </c>
      <c r="CO31" s="207">
        <f t="shared" si="41"/>
        <v>3.5</v>
      </c>
      <c r="CP31" s="207">
        <v>0</v>
      </c>
      <c r="CQ31" s="207">
        <f t="shared" si="42"/>
        <v>0</v>
      </c>
      <c r="CR31" s="207">
        <v>0</v>
      </c>
      <c r="CS31" s="207">
        <f t="shared" si="43"/>
        <v>0</v>
      </c>
      <c r="CT31" s="207">
        <f t="shared" si="44"/>
        <v>3.5</v>
      </c>
      <c r="CU31" s="208">
        <f t="shared" si="45"/>
        <v>26.5</v>
      </c>
      <c r="CV31" s="205">
        <f t="shared" si="46"/>
        <v>9.4920312500000001</v>
      </c>
      <c r="CW31" s="206" t="str">
        <f t="shared" si="47"/>
        <v>(0.88)</v>
      </c>
      <c r="CX31" s="207">
        <v>2</v>
      </c>
      <c r="CY31" s="207">
        <f t="shared" si="48"/>
        <v>3.5</v>
      </c>
      <c r="CZ31" s="207">
        <v>0</v>
      </c>
      <c r="DA31" s="207">
        <f t="shared" si="49"/>
        <v>0</v>
      </c>
      <c r="DB31" s="207">
        <v>0</v>
      </c>
      <c r="DC31" s="207">
        <f t="shared" si="50"/>
        <v>0</v>
      </c>
      <c r="DD31" s="207">
        <f t="shared" si="51"/>
        <v>3.5</v>
      </c>
      <c r="DE31" s="208">
        <f t="shared" si="52"/>
        <v>32.5</v>
      </c>
      <c r="DF31" s="205">
        <f t="shared" si="53"/>
        <v>11.244406250000001</v>
      </c>
      <c r="DG31" s="206" t="str">
        <f t="shared" si="54"/>
        <v>(1.04)</v>
      </c>
      <c r="DH31" s="207">
        <v>2</v>
      </c>
      <c r="DI31" s="207">
        <f t="shared" si="55"/>
        <v>3.5</v>
      </c>
      <c r="DJ31" s="207">
        <v>0</v>
      </c>
      <c r="DK31" s="207">
        <f t="shared" si="56"/>
        <v>0</v>
      </c>
      <c r="DL31" s="207">
        <v>0</v>
      </c>
      <c r="DM31" s="207">
        <f t="shared" si="57"/>
        <v>0</v>
      </c>
      <c r="DN31" s="207">
        <f t="shared" si="58"/>
        <v>3.5</v>
      </c>
      <c r="DO31" s="208">
        <f t="shared" si="59"/>
        <v>38.5</v>
      </c>
      <c r="DP31" s="205">
        <f t="shared" si="60"/>
        <v>12.996781250000002</v>
      </c>
      <c r="DQ31" s="206" t="str">
        <f t="shared" si="61"/>
        <v>(1.21)</v>
      </c>
      <c r="DR31" s="207">
        <v>2</v>
      </c>
      <c r="DS31" s="207">
        <f t="shared" si="62"/>
        <v>3.5</v>
      </c>
      <c r="DT31" s="207">
        <v>0</v>
      </c>
      <c r="DU31" s="207">
        <f t="shared" si="63"/>
        <v>0</v>
      </c>
      <c r="DV31" s="207">
        <v>0</v>
      </c>
      <c r="DW31" s="207">
        <f t="shared" si="64"/>
        <v>0</v>
      </c>
      <c r="DX31" s="207">
        <f t="shared" si="65"/>
        <v>3.5</v>
      </c>
      <c r="DY31" s="208">
        <f t="shared" si="66"/>
        <v>44.5</v>
      </c>
      <c r="DZ31" s="205">
        <f t="shared" si="67"/>
        <v>14.45709375</v>
      </c>
      <c r="EA31" s="206" t="str">
        <f t="shared" si="68"/>
        <v>(1.34)</v>
      </c>
      <c r="EB31" s="207">
        <v>2</v>
      </c>
      <c r="EC31" s="207">
        <f t="shared" si="69"/>
        <v>3.5</v>
      </c>
      <c r="ED31" s="207">
        <v>0</v>
      </c>
      <c r="EE31" s="207">
        <f t="shared" si="70"/>
        <v>0</v>
      </c>
      <c r="EF31" s="207">
        <v>1</v>
      </c>
      <c r="EG31" s="207">
        <f t="shared" si="71"/>
        <v>1</v>
      </c>
      <c r="EH31" s="207">
        <f t="shared" si="72"/>
        <v>4.5</v>
      </c>
      <c r="EI31" s="208">
        <f t="shared" si="73"/>
        <v>49.5</v>
      </c>
      <c r="EJ31" s="205">
        <f t="shared" si="74"/>
        <v>16.209468749999999</v>
      </c>
      <c r="EK31" s="206" t="str">
        <f t="shared" si="75"/>
        <v>(1.51)</v>
      </c>
      <c r="EL31" s="207">
        <v>2</v>
      </c>
      <c r="EM31" s="207">
        <f t="shared" si="76"/>
        <v>3.5</v>
      </c>
      <c r="EN31" s="207">
        <v>0</v>
      </c>
      <c r="EO31" s="207">
        <f t="shared" si="77"/>
        <v>0</v>
      </c>
      <c r="EP31" s="207">
        <v>1</v>
      </c>
      <c r="EQ31" s="207">
        <f t="shared" si="78"/>
        <v>1</v>
      </c>
      <c r="ER31" s="207">
        <f t="shared" si="79"/>
        <v>4.5</v>
      </c>
      <c r="ES31" s="208">
        <f t="shared" si="80"/>
        <v>55.5</v>
      </c>
      <c r="ET31" s="205">
        <f t="shared" si="81"/>
        <v>17.96184375</v>
      </c>
      <c r="EU31" s="206" t="str">
        <f t="shared" si="82"/>
        <v>(1.67)</v>
      </c>
      <c r="EV31" s="207">
        <v>2</v>
      </c>
      <c r="EW31" s="207">
        <f t="shared" si="83"/>
        <v>3.5</v>
      </c>
      <c r="EX31" s="207">
        <v>0</v>
      </c>
      <c r="EY31" s="207">
        <f t="shared" si="84"/>
        <v>0</v>
      </c>
      <c r="EZ31" s="207">
        <v>1</v>
      </c>
      <c r="FA31" s="207">
        <f t="shared" si="85"/>
        <v>1</v>
      </c>
      <c r="FB31" s="207">
        <f t="shared" si="86"/>
        <v>4.5</v>
      </c>
      <c r="FC31" s="208">
        <f t="shared" si="87"/>
        <v>61.5</v>
      </c>
      <c r="FD31" s="205">
        <f t="shared" si="88"/>
        <v>20.006281250000001</v>
      </c>
      <c r="FE31" s="206" t="str">
        <f t="shared" si="89"/>
        <v>(1.86)</v>
      </c>
      <c r="FF31" s="207">
        <v>2</v>
      </c>
      <c r="FG31" s="207">
        <f t="shared" si="90"/>
        <v>3.5</v>
      </c>
      <c r="FH31" s="469">
        <v>0</v>
      </c>
      <c r="FI31" s="207">
        <f t="shared" si="91"/>
        <v>0</v>
      </c>
      <c r="FJ31" s="207">
        <v>0</v>
      </c>
      <c r="FK31" s="207">
        <f t="shared" si="92"/>
        <v>0</v>
      </c>
      <c r="FL31" s="207">
        <f t="shared" si="93"/>
        <v>3.5</v>
      </c>
      <c r="FM31" s="208">
        <f t="shared" si="94"/>
        <v>68.5</v>
      </c>
      <c r="FN31" s="205">
        <f t="shared" si="95"/>
        <v>21.430085937500003</v>
      </c>
      <c r="FO31" s="206" t="str">
        <f t="shared" si="96"/>
        <v>(1.99)</v>
      </c>
      <c r="FP31" s="207">
        <v>2</v>
      </c>
      <c r="FQ31" s="207">
        <f t="shared" si="97"/>
        <v>3.5</v>
      </c>
      <c r="FR31" s="207">
        <v>1</v>
      </c>
      <c r="FS31" s="207">
        <f t="shared" si="98"/>
        <v>1.125</v>
      </c>
      <c r="FT31" s="207">
        <v>0</v>
      </c>
      <c r="FU31" s="207">
        <f t="shared" si="99"/>
        <v>0</v>
      </c>
      <c r="FV31" s="207">
        <f t="shared" si="100"/>
        <v>4.625</v>
      </c>
      <c r="FW31" s="208">
        <f t="shared" si="101"/>
        <v>73.375</v>
      </c>
      <c r="FX31" s="205">
        <f t="shared" si="102"/>
        <v>23.1824609375</v>
      </c>
      <c r="FY31" s="206" t="str">
        <f t="shared" si="103"/>
        <v>(2.15)</v>
      </c>
      <c r="FZ31" s="207">
        <v>2</v>
      </c>
      <c r="GA31" s="207">
        <f t="shared" si="104"/>
        <v>3.5</v>
      </c>
      <c r="GB31" s="207">
        <v>1</v>
      </c>
      <c r="GC31" s="207">
        <f t="shared" si="105"/>
        <v>1.125</v>
      </c>
      <c r="GD31" s="207">
        <v>0</v>
      </c>
      <c r="GE31" s="207">
        <f t="shared" si="106"/>
        <v>0</v>
      </c>
      <c r="GF31" s="207">
        <f t="shared" si="107"/>
        <v>4.625</v>
      </c>
      <c r="GG31" s="208">
        <f t="shared" si="108"/>
        <v>79.375</v>
      </c>
      <c r="GH31" s="205">
        <f t="shared" si="109"/>
        <v>24.934835937500001</v>
      </c>
      <c r="GI31" s="206" t="str">
        <f t="shared" si="110"/>
        <v>(2.32)</v>
      </c>
      <c r="GJ31" s="207">
        <v>2</v>
      </c>
      <c r="GK31" s="207">
        <f t="shared" si="111"/>
        <v>3.5</v>
      </c>
      <c r="GL31" s="207">
        <v>1</v>
      </c>
      <c r="GM31" s="207">
        <f t="shared" si="112"/>
        <v>1.125</v>
      </c>
      <c r="GN31" s="207">
        <v>0</v>
      </c>
      <c r="GO31" s="207">
        <f t="shared" si="113"/>
        <v>0</v>
      </c>
      <c r="GP31" s="207">
        <f t="shared" si="114"/>
        <v>4.625</v>
      </c>
      <c r="GQ31" s="208">
        <f t="shared" si="115"/>
        <v>85.375</v>
      </c>
      <c r="GR31" s="205">
        <f t="shared" si="116"/>
        <v>26.687210937500002</v>
      </c>
      <c r="GS31" s="206" t="str">
        <f t="shared" si="117"/>
        <v>(2.48)</v>
      </c>
      <c r="GT31" s="207">
        <v>2</v>
      </c>
      <c r="GU31" s="207">
        <f t="shared" si="118"/>
        <v>3.5</v>
      </c>
      <c r="GV31" s="207">
        <v>1</v>
      </c>
      <c r="GW31" s="207">
        <f t="shared" si="119"/>
        <v>1.125</v>
      </c>
      <c r="GX31" s="207">
        <v>0</v>
      </c>
      <c r="GY31" s="207">
        <f t="shared" si="120"/>
        <v>0</v>
      </c>
      <c r="GZ31" s="207">
        <f t="shared" si="121"/>
        <v>4.625</v>
      </c>
      <c r="HA31" s="208">
        <f t="shared" si="122"/>
        <v>91.375</v>
      </c>
      <c r="HB31" s="205">
        <f t="shared" si="123"/>
        <v>28.439585937500002</v>
      </c>
      <c r="HC31" s="206" t="str">
        <f t="shared" si="124"/>
        <v>(2.64)</v>
      </c>
      <c r="HD31" s="207">
        <v>2</v>
      </c>
      <c r="HE31" s="207">
        <f t="shared" si="125"/>
        <v>3.5</v>
      </c>
      <c r="HF31" s="207">
        <v>1</v>
      </c>
      <c r="HG31" s="207">
        <f t="shared" si="126"/>
        <v>1.125</v>
      </c>
      <c r="HH31" s="207">
        <v>0</v>
      </c>
      <c r="HI31" s="207">
        <f t="shared" si="127"/>
        <v>0</v>
      </c>
      <c r="HJ31" s="207">
        <f t="shared" si="128"/>
        <v>4.625</v>
      </c>
      <c r="HK31" s="208">
        <f t="shared" si="129"/>
        <v>97.375</v>
      </c>
      <c r="HL31" s="205">
        <f t="shared" si="130"/>
        <v>29.607835937499999</v>
      </c>
      <c r="HM31" s="206" t="str">
        <f t="shared" si="131"/>
        <v>(2.75)</v>
      </c>
      <c r="HN31" s="207">
        <v>2</v>
      </c>
      <c r="HO31" s="207">
        <f t="shared" si="132"/>
        <v>3.5</v>
      </c>
      <c r="HP31" s="207">
        <v>1</v>
      </c>
      <c r="HQ31" s="207">
        <f t="shared" si="133"/>
        <v>1.125</v>
      </c>
      <c r="HR31" s="207">
        <v>2</v>
      </c>
      <c r="HS31" s="207">
        <f t="shared" si="134"/>
        <v>2</v>
      </c>
      <c r="HT31" s="207">
        <f t="shared" si="135"/>
        <v>6.625</v>
      </c>
      <c r="HU31" s="208">
        <f t="shared" si="136"/>
        <v>101.375</v>
      </c>
      <c r="HV31" s="205">
        <f t="shared" si="137"/>
        <v>31.360210937500003</v>
      </c>
      <c r="HW31" s="206" t="str">
        <f t="shared" si="138"/>
        <v>(2.91)</v>
      </c>
      <c r="HX31" s="207">
        <v>2</v>
      </c>
      <c r="HY31" s="207">
        <f t="shared" si="139"/>
        <v>3.5</v>
      </c>
      <c r="HZ31" s="207">
        <v>1</v>
      </c>
      <c r="IA31" s="207">
        <f t="shared" si="140"/>
        <v>1.125</v>
      </c>
      <c r="IB31" s="207">
        <v>2</v>
      </c>
      <c r="IC31" s="207">
        <f t="shared" si="141"/>
        <v>2</v>
      </c>
      <c r="ID31" s="207">
        <f t="shared" si="142"/>
        <v>6.625</v>
      </c>
      <c r="IE31" s="208">
        <f t="shared" si="143"/>
        <v>107.375</v>
      </c>
      <c r="IF31" s="205">
        <f t="shared" si="144"/>
        <v>33.1125859375</v>
      </c>
      <c r="IG31" s="206" t="str">
        <f t="shared" si="145"/>
        <v>(3.08)</v>
      </c>
      <c r="IH31" s="21">
        <v>2</v>
      </c>
      <c r="II31" s="21">
        <f t="shared" si="146"/>
        <v>3.5</v>
      </c>
      <c r="IJ31" s="21">
        <v>1</v>
      </c>
      <c r="IK31" s="21">
        <f t="shared" si="147"/>
        <v>1.125</v>
      </c>
      <c r="IL31" s="21">
        <v>2</v>
      </c>
      <c r="IM31" s="21">
        <f t="shared" si="148"/>
        <v>2</v>
      </c>
      <c r="IN31" s="21">
        <f t="shared" si="149"/>
        <v>6.625</v>
      </c>
      <c r="IO31" s="22">
        <f t="shared" si="150"/>
        <v>113.375</v>
      </c>
      <c r="IP31" s="23"/>
      <c r="IQ31" s="24">
        <v>13</v>
      </c>
      <c r="IR31" s="25">
        <v>3.1160000000000001</v>
      </c>
      <c r="IS31" s="25">
        <v>3.0659999999999998</v>
      </c>
      <c r="IT31" s="25">
        <v>2.149</v>
      </c>
      <c r="IU31" s="25">
        <v>1.75</v>
      </c>
      <c r="IV31" s="25">
        <v>1</v>
      </c>
      <c r="IW31" s="25">
        <v>1.125</v>
      </c>
      <c r="IX31" s="7"/>
    </row>
    <row r="32" spans="2:258" ht="15.75" thickBot="1" x14ac:dyDescent="0.3">
      <c r="B32" s="79">
        <f t="shared" si="9"/>
        <v>90</v>
      </c>
      <c r="C32" s="147">
        <v>16</v>
      </c>
      <c r="D32" s="487"/>
      <c r="E32" s="488"/>
      <c r="F32" s="488"/>
      <c r="G32" s="488"/>
      <c r="H32" s="488"/>
      <c r="I32" s="488"/>
      <c r="J32" s="488"/>
      <c r="K32" s="488"/>
      <c r="L32" s="488"/>
      <c r="M32" s="488"/>
      <c r="N32" s="488"/>
      <c r="O32" s="488"/>
      <c r="P32" s="488"/>
      <c r="Q32" s="488"/>
      <c r="R32" s="488"/>
      <c r="S32" s="488"/>
      <c r="T32" s="488"/>
      <c r="U32" s="488"/>
      <c r="V32" s="488"/>
      <c r="W32" s="488"/>
      <c r="X32" s="76"/>
      <c r="Y32" s="46"/>
      <c r="AT32" s="3"/>
      <c r="AU32" s="13">
        <f t="shared" si="151"/>
        <v>72</v>
      </c>
      <c r="AV32" s="11" t="str">
        <f t="shared" si="10"/>
        <v>(1850)</v>
      </c>
      <c r="AW32" s="18"/>
      <c r="AX32" s="19">
        <f t="shared" si="11"/>
        <v>1.7387256944444442</v>
      </c>
      <c r="AY32" s="20" t="str">
        <f t="shared" si="12"/>
        <v>(0.16)</v>
      </c>
      <c r="AZ32" s="21">
        <v>2</v>
      </c>
      <c r="BA32" s="21">
        <f t="shared" si="13"/>
        <v>3.5</v>
      </c>
      <c r="BB32" s="21">
        <v>0</v>
      </c>
      <c r="BC32" s="21">
        <f t="shared" si="14"/>
        <v>0</v>
      </c>
      <c r="BD32" s="21">
        <v>0</v>
      </c>
      <c r="BE32" s="21">
        <f t="shared" si="15"/>
        <v>0</v>
      </c>
      <c r="BF32" s="21">
        <f t="shared" si="16"/>
        <v>3.5</v>
      </c>
      <c r="BG32" s="22">
        <f t="shared" si="17"/>
        <v>5.5</v>
      </c>
      <c r="BH32" s="205">
        <f t="shared" si="18"/>
        <v>2.6871215277777778</v>
      </c>
      <c r="BI32" s="206" t="str">
        <f t="shared" si="19"/>
        <v>(0.25)</v>
      </c>
      <c r="BJ32" s="207">
        <v>2</v>
      </c>
      <c r="BK32" s="207">
        <f t="shared" si="20"/>
        <v>3.5</v>
      </c>
      <c r="BL32" s="207">
        <v>0</v>
      </c>
      <c r="BM32" s="207">
        <f t="shared" si="21"/>
        <v>0</v>
      </c>
      <c r="BN32" s="207">
        <v>0</v>
      </c>
      <c r="BO32" s="207">
        <f t="shared" si="22"/>
        <v>0</v>
      </c>
      <c r="BP32" s="207">
        <f t="shared" si="23"/>
        <v>3.5</v>
      </c>
      <c r="BQ32" s="208">
        <f t="shared" si="24"/>
        <v>8.5</v>
      </c>
      <c r="BR32" s="205">
        <f t="shared" si="25"/>
        <v>4.5839131944444444</v>
      </c>
      <c r="BS32" s="206" t="str">
        <f t="shared" si="26"/>
        <v>(0.43)</v>
      </c>
      <c r="BT32" s="207">
        <v>2</v>
      </c>
      <c r="BU32" s="207">
        <f t="shared" si="27"/>
        <v>3.5</v>
      </c>
      <c r="BV32" s="207">
        <v>0</v>
      </c>
      <c r="BW32" s="207">
        <f t="shared" si="28"/>
        <v>0</v>
      </c>
      <c r="BX32" s="207">
        <v>0</v>
      </c>
      <c r="BY32" s="207">
        <f t="shared" si="29"/>
        <v>0</v>
      </c>
      <c r="BZ32" s="207">
        <f t="shared" si="30"/>
        <v>3.5</v>
      </c>
      <c r="CA32" s="208">
        <f t="shared" si="31"/>
        <v>14.5</v>
      </c>
      <c r="CB32" s="205">
        <f t="shared" si="32"/>
        <v>6.4807048611111107</v>
      </c>
      <c r="CC32" s="206" t="str">
        <f t="shared" si="33"/>
        <v>(0.6)</v>
      </c>
      <c r="CD32" s="207">
        <v>2</v>
      </c>
      <c r="CE32" s="207">
        <f t="shared" si="34"/>
        <v>3.5</v>
      </c>
      <c r="CF32" s="207">
        <v>0</v>
      </c>
      <c r="CG32" s="207">
        <f t="shared" si="35"/>
        <v>0</v>
      </c>
      <c r="CH32" s="207">
        <v>0</v>
      </c>
      <c r="CI32" s="207">
        <f t="shared" si="36"/>
        <v>0</v>
      </c>
      <c r="CJ32" s="207">
        <f t="shared" si="37"/>
        <v>3.5</v>
      </c>
      <c r="CK32" s="208">
        <f t="shared" si="38"/>
        <v>20.5</v>
      </c>
      <c r="CL32" s="205">
        <f t="shared" si="39"/>
        <v>8.377496527777776</v>
      </c>
      <c r="CM32" s="206" t="str">
        <f t="shared" si="40"/>
        <v>(0.78)</v>
      </c>
      <c r="CN32" s="207">
        <v>2</v>
      </c>
      <c r="CO32" s="207">
        <f t="shared" si="41"/>
        <v>3.5</v>
      </c>
      <c r="CP32" s="207">
        <v>0</v>
      </c>
      <c r="CQ32" s="207">
        <f t="shared" si="42"/>
        <v>0</v>
      </c>
      <c r="CR32" s="207">
        <v>0</v>
      </c>
      <c r="CS32" s="207">
        <f t="shared" si="43"/>
        <v>0</v>
      </c>
      <c r="CT32" s="207">
        <f t="shared" si="44"/>
        <v>3.5</v>
      </c>
      <c r="CU32" s="208">
        <f t="shared" si="45"/>
        <v>26.5</v>
      </c>
      <c r="CV32" s="205">
        <f t="shared" si="46"/>
        <v>10.274288194444445</v>
      </c>
      <c r="CW32" s="206" t="str">
        <f t="shared" si="47"/>
        <v>(0.95)</v>
      </c>
      <c r="CX32" s="207">
        <v>2</v>
      </c>
      <c r="CY32" s="207">
        <f t="shared" si="48"/>
        <v>3.5</v>
      </c>
      <c r="CZ32" s="207">
        <v>0</v>
      </c>
      <c r="DA32" s="207">
        <f t="shared" si="49"/>
        <v>0</v>
      </c>
      <c r="DB32" s="207">
        <v>0</v>
      </c>
      <c r="DC32" s="207">
        <f t="shared" si="50"/>
        <v>0</v>
      </c>
      <c r="DD32" s="207">
        <f t="shared" si="51"/>
        <v>3.5</v>
      </c>
      <c r="DE32" s="208">
        <f t="shared" si="52"/>
        <v>32.5</v>
      </c>
      <c r="DF32" s="205">
        <f t="shared" si="53"/>
        <v>12.17107986111111</v>
      </c>
      <c r="DG32" s="206" t="str">
        <f t="shared" si="54"/>
        <v>(1.13)</v>
      </c>
      <c r="DH32" s="207">
        <v>2</v>
      </c>
      <c r="DI32" s="207">
        <f t="shared" si="55"/>
        <v>3.5</v>
      </c>
      <c r="DJ32" s="207">
        <v>0</v>
      </c>
      <c r="DK32" s="207">
        <f t="shared" si="56"/>
        <v>0</v>
      </c>
      <c r="DL32" s="207">
        <v>0</v>
      </c>
      <c r="DM32" s="207">
        <f t="shared" si="57"/>
        <v>0</v>
      </c>
      <c r="DN32" s="207">
        <f t="shared" si="58"/>
        <v>3.5</v>
      </c>
      <c r="DO32" s="208">
        <f t="shared" si="59"/>
        <v>38.5</v>
      </c>
      <c r="DP32" s="205">
        <f t="shared" si="60"/>
        <v>14.067871527777775</v>
      </c>
      <c r="DQ32" s="206" t="str">
        <f t="shared" si="61"/>
        <v>(1.31)</v>
      </c>
      <c r="DR32" s="207">
        <v>2</v>
      </c>
      <c r="DS32" s="207">
        <f t="shared" si="62"/>
        <v>3.5</v>
      </c>
      <c r="DT32" s="207">
        <v>0</v>
      </c>
      <c r="DU32" s="207">
        <f t="shared" si="63"/>
        <v>0</v>
      </c>
      <c r="DV32" s="207">
        <v>0</v>
      </c>
      <c r="DW32" s="207">
        <f t="shared" si="64"/>
        <v>0</v>
      </c>
      <c r="DX32" s="207">
        <f t="shared" si="65"/>
        <v>3.5</v>
      </c>
      <c r="DY32" s="208">
        <f t="shared" si="66"/>
        <v>44.5</v>
      </c>
      <c r="DZ32" s="205">
        <f t="shared" si="67"/>
        <v>15.64853125</v>
      </c>
      <c r="EA32" s="206" t="str">
        <f t="shared" si="68"/>
        <v>(1.45)</v>
      </c>
      <c r="EB32" s="207">
        <v>2</v>
      </c>
      <c r="EC32" s="207">
        <f t="shared" si="69"/>
        <v>3.5</v>
      </c>
      <c r="ED32" s="207">
        <v>0</v>
      </c>
      <c r="EE32" s="207">
        <f t="shared" si="70"/>
        <v>0</v>
      </c>
      <c r="EF32" s="207">
        <v>1</v>
      </c>
      <c r="EG32" s="207">
        <f t="shared" si="71"/>
        <v>1</v>
      </c>
      <c r="EH32" s="207">
        <f t="shared" si="72"/>
        <v>4.5</v>
      </c>
      <c r="EI32" s="208">
        <f t="shared" si="73"/>
        <v>49.5</v>
      </c>
      <c r="EJ32" s="205">
        <f t="shared" si="74"/>
        <v>17.545322916666667</v>
      </c>
      <c r="EK32" s="206" t="str">
        <f t="shared" si="75"/>
        <v>(1.63)</v>
      </c>
      <c r="EL32" s="207">
        <v>2</v>
      </c>
      <c r="EM32" s="207">
        <f t="shared" si="76"/>
        <v>3.5</v>
      </c>
      <c r="EN32" s="207">
        <v>0</v>
      </c>
      <c r="EO32" s="207">
        <f t="shared" si="77"/>
        <v>0</v>
      </c>
      <c r="EP32" s="207">
        <v>1</v>
      </c>
      <c r="EQ32" s="207">
        <f t="shared" si="78"/>
        <v>1</v>
      </c>
      <c r="ER32" s="207">
        <f t="shared" si="79"/>
        <v>4.5</v>
      </c>
      <c r="ES32" s="208">
        <f t="shared" si="80"/>
        <v>55.5</v>
      </c>
      <c r="ET32" s="205">
        <f t="shared" si="81"/>
        <v>19.442114583333332</v>
      </c>
      <c r="EU32" s="206" t="str">
        <f t="shared" si="82"/>
        <v>(1.81)</v>
      </c>
      <c r="EV32" s="207">
        <v>2</v>
      </c>
      <c r="EW32" s="207">
        <f t="shared" si="83"/>
        <v>3.5</v>
      </c>
      <c r="EX32" s="207">
        <v>0</v>
      </c>
      <c r="EY32" s="207">
        <f t="shared" si="84"/>
        <v>0</v>
      </c>
      <c r="EZ32" s="207">
        <v>1</v>
      </c>
      <c r="FA32" s="207">
        <f t="shared" si="85"/>
        <v>1</v>
      </c>
      <c r="FB32" s="207">
        <f t="shared" si="86"/>
        <v>4.5</v>
      </c>
      <c r="FC32" s="208">
        <f t="shared" si="87"/>
        <v>61.5</v>
      </c>
      <c r="FD32" s="205">
        <f t="shared" si="88"/>
        <v>21.655038194444444</v>
      </c>
      <c r="FE32" s="206" t="str">
        <f t="shared" si="89"/>
        <v>(2.01)</v>
      </c>
      <c r="FF32" s="207">
        <v>2</v>
      </c>
      <c r="FG32" s="207">
        <f t="shared" si="90"/>
        <v>3.5</v>
      </c>
      <c r="FH32" s="469">
        <v>0</v>
      </c>
      <c r="FI32" s="207">
        <f t="shared" si="91"/>
        <v>0</v>
      </c>
      <c r="FJ32" s="207">
        <v>0</v>
      </c>
      <c r="FK32" s="207">
        <f t="shared" si="92"/>
        <v>0</v>
      </c>
      <c r="FL32" s="207">
        <f t="shared" si="93"/>
        <v>3.5</v>
      </c>
      <c r="FM32" s="208">
        <f t="shared" si="94"/>
        <v>68.5</v>
      </c>
      <c r="FN32" s="205">
        <f t="shared" si="95"/>
        <v>23.196181423611108</v>
      </c>
      <c r="FO32" s="206" t="str">
        <f t="shared" si="96"/>
        <v>(2.15)</v>
      </c>
      <c r="FP32" s="207">
        <v>2</v>
      </c>
      <c r="FQ32" s="207">
        <f t="shared" si="97"/>
        <v>3.5</v>
      </c>
      <c r="FR32" s="207">
        <v>1</v>
      </c>
      <c r="FS32" s="207">
        <f t="shared" si="98"/>
        <v>1.125</v>
      </c>
      <c r="FT32" s="207">
        <v>0</v>
      </c>
      <c r="FU32" s="207">
        <f t="shared" si="99"/>
        <v>0</v>
      </c>
      <c r="FV32" s="207">
        <f t="shared" si="100"/>
        <v>4.625</v>
      </c>
      <c r="FW32" s="208">
        <f t="shared" si="101"/>
        <v>73.375</v>
      </c>
      <c r="FX32" s="205">
        <f t="shared" si="102"/>
        <v>25.092973090277773</v>
      </c>
      <c r="FY32" s="206" t="str">
        <f t="shared" si="103"/>
        <v>(2.33)</v>
      </c>
      <c r="FZ32" s="207">
        <v>2</v>
      </c>
      <c r="GA32" s="207">
        <f t="shared" si="104"/>
        <v>3.5</v>
      </c>
      <c r="GB32" s="207">
        <v>1</v>
      </c>
      <c r="GC32" s="207">
        <f t="shared" si="105"/>
        <v>1.125</v>
      </c>
      <c r="GD32" s="207">
        <v>0</v>
      </c>
      <c r="GE32" s="207">
        <f t="shared" si="106"/>
        <v>0</v>
      </c>
      <c r="GF32" s="207">
        <f t="shared" si="107"/>
        <v>4.625</v>
      </c>
      <c r="GG32" s="208">
        <f t="shared" si="108"/>
        <v>79.375</v>
      </c>
      <c r="GH32" s="205">
        <f t="shared" si="109"/>
        <v>26.989764756944442</v>
      </c>
      <c r="GI32" s="206" t="str">
        <f t="shared" si="110"/>
        <v>(2.51)</v>
      </c>
      <c r="GJ32" s="207">
        <v>2</v>
      </c>
      <c r="GK32" s="207">
        <f t="shared" si="111"/>
        <v>3.5</v>
      </c>
      <c r="GL32" s="207">
        <v>1</v>
      </c>
      <c r="GM32" s="207">
        <f t="shared" si="112"/>
        <v>1.125</v>
      </c>
      <c r="GN32" s="207">
        <v>0</v>
      </c>
      <c r="GO32" s="207">
        <f t="shared" si="113"/>
        <v>0</v>
      </c>
      <c r="GP32" s="207">
        <f t="shared" si="114"/>
        <v>4.625</v>
      </c>
      <c r="GQ32" s="208">
        <f t="shared" si="115"/>
        <v>85.375</v>
      </c>
      <c r="GR32" s="205">
        <f t="shared" si="116"/>
        <v>28.886556423611108</v>
      </c>
      <c r="GS32" s="206" t="str">
        <f t="shared" si="117"/>
        <v>(2.68)</v>
      </c>
      <c r="GT32" s="207">
        <v>2</v>
      </c>
      <c r="GU32" s="207">
        <f t="shared" si="118"/>
        <v>3.5</v>
      </c>
      <c r="GV32" s="207">
        <v>1</v>
      </c>
      <c r="GW32" s="207">
        <f t="shared" si="119"/>
        <v>1.125</v>
      </c>
      <c r="GX32" s="207">
        <v>0</v>
      </c>
      <c r="GY32" s="207">
        <f t="shared" si="120"/>
        <v>0</v>
      </c>
      <c r="GZ32" s="207">
        <f t="shared" si="121"/>
        <v>4.625</v>
      </c>
      <c r="HA32" s="208">
        <f t="shared" si="122"/>
        <v>91.375</v>
      </c>
      <c r="HB32" s="205">
        <f t="shared" si="123"/>
        <v>30.783348090277773</v>
      </c>
      <c r="HC32" s="206" t="str">
        <f t="shared" si="124"/>
        <v>(2.86)</v>
      </c>
      <c r="HD32" s="207">
        <v>2</v>
      </c>
      <c r="HE32" s="207">
        <f t="shared" si="125"/>
        <v>3.5</v>
      </c>
      <c r="HF32" s="207">
        <v>1</v>
      </c>
      <c r="HG32" s="207">
        <f t="shared" si="126"/>
        <v>1.125</v>
      </c>
      <c r="HH32" s="207">
        <v>0</v>
      </c>
      <c r="HI32" s="207">
        <f t="shared" si="127"/>
        <v>0</v>
      </c>
      <c r="HJ32" s="207">
        <f t="shared" si="128"/>
        <v>4.625</v>
      </c>
      <c r="HK32" s="208">
        <f t="shared" si="129"/>
        <v>97.375</v>
      </c>
      <c r="HL32" s="205">
        <f t="shared" si="130"/>
        <v>32.047875868055556</v>
      </c>
      <c r="HM32" s="206" t="str">
        <f t="shared" si="131"/>
        <v>(2.98)</v>
      </c>
      <c r="HN32" s="207">
        <v>2</v>
      </c>
      <c r="HO32" s="207">
        <f t="shared" si="132"/>
        <v>3.5</v>
      </c>
      <c r="HP32" s="207">
        <v>1</v>
      </c>
      <c r="HQ32" s="207">
        <f t="shared" si="133"/>
        <v>1.125</v>
      </c>
      <c r="HR32" s="207">
        <v>2</v>
      </c>
      <c r="HS32" s="207">
        <f t="shared" si="134"/>
        <v>2</v>
      </c>
      <c r="HT32" s="207">
        <f t="shared" si="135"/>
        <v>6.625</v>
      </c>
      <c r="HU32" s="208">
        <f t="shared" si="136"/>
        <v>101.375</v>
      </c>
      <c r="HV32" s="205">
        <f t="shared" si="137"/>
        <v>33.944667534722221</v>
      </c>
      <c r="HW32" s="206" t="str">
        <f t="shared" si="138"/>
        <v>(3.15)</v>
      </c>
      <c r="HX32" s="207">
        <v>2</v>
      </c>
      <c r="HY32" s="207">
        <f t="shared" si="139"/>
        <v>3.5</v>
      </c>
      <c r="HZ32" s="207">
        <v>1</v>
      </c>
      <c r="IA32" s="207">
        <f t="shared" si="140"/>
        <v>1.125</v>
      </c>
      <c r="IB32" s="207">
        <v>2</v>
      </c>
      <c r="IC32" s="207">
        <f t="shared" si="141"/>
        <v>2</v>
      </c>
      <c r="ID32" s="207">
        <f t="shared" si="142"/>
        <v>6.625</v>
      </c>
      <c r="IE32" s="208">
        <f t="shared" si="143"/>
        <v>107.375</v>
      </c>
      <c r="IF32" s="205">
        <f t="shared" si="144"/>
        <v>35.841459201388886</v>
      </c>
      <c r="IG32" s="206" t="str">
        <f t="shared" si="145"/>
        <v>(3.33)</v>
      </c>
      <c r="IH32" s="21">
        <v>2</v>
      </c>
      <c r="II32" s="21">
        <f t="shared" si="146"/>
        <v>3.5</v>
      </c>
      <c r="IJ32" s="21">
        <v>1</v>
      </c>
      <c r="IK32" s="21">
        <f t="shared" si="147"/>
        <v>1.125</v>
      </c>
      <c r="IL32" s="21">
        <v>2</v>
      </c>
      <c r="IM32" s="21">
        <f t="shared" si="148"/>
        <v>2</v>
      </c>
      <c r="IN32" s="21">
        <f t="shared" si="149"/>
        <v>6.625</v>
      </c>
      <c r="IO32" s="22">
        <f t="shared" si="150"/>
        <v>113.375</v>
      </c>
      <c r="IP32" s="23"/>
      <c r="IQ32" s="24">
        <v>14</v>
      </c>
      <c r="IR32" s="25">
        <v>3.1160000000000001</v>
      </c>
      <c r="IS32" s="25">
        <v>3.0659999999999998</v>
      </c>
      <c r="IT32" s="25">
        <v>2.5489999999999999</v>
      </c>
      <c r="IU32" s="25">
        <v>1.75</v>
      </c>
      <c r="IV32" s="25">
        <v>1</v>
      </c>
      <c r="IW32" s="25">
        <v>1.125</v>
      </c>
      <c r="IX32" s="7"/>
    </row>
    <row r="33" spans="2:258" ht="15.75" thickBot="1" x14ac:dyDescent="0.3">
      <c r="B33" s="79">
        <f t="shared" si="9"/>
        <v>96</v>
      </c>
      <c r="C33" s="148">
        <v>17</v>
      </c>
      <c r="D33" s="487"/>
      <c r="E33" s="488"/>
      <c r="F33" s="488"/>
      <c r="G33" s="488"/>
      <c r="H33" s="488"/>
      <c r="I33" s="488"/>
      <c r="J33" s="488"/>
      <c r="K33" s="488"/>
      <c r="L33" s="488"/>
      <c r="M33" s="488"/>
      <c r="N33" s="488"/>
      <c r="O33" s="488"/>
      <c r="P33" s="488"/>
      <c r="Q33" s="488"/>
      <c r="R33" s="488"/>
      <c r="S33" s="488"/>
      <c r="T33" s="488"/>
      <c r="U33" s="488"/>
      <c r="V33" s="488"/>
      <c r="W33" s="488"/>
      <c r="X33" s="76"/>
      <c r="Y33" s="46"/>
      <c r="AT33" s="3"/>
      <c r="AU33" s="13">
        <f t="shared" si="151"/>
        <v>78</v>
      </c>
      <c r="AV33" s="11" t="str">
        <f t="shared" si="10"/>
        <v>(2000)</v>
      </c>
      <c r="AW33" s="18"/>
      <c r="AX33" s="19">
        <f t="shared" si="11"/>
        <v>1.9047187499999998</v>
      </c>
      <c r="AY33" s="20" t="str">
        <f t="shared" si="12"/>
        <v>(0.18)</v>
      </c>
      <c r="AZ33" s="21">
        <v>2</v>
      </c>
      <c r="BA33" s="21">
        <f t="shared" si="13"/>
        <v>3.5</v>
      </c>
      <c r="BB33" s="21">
        <v>0</v>
      </c>
      <c r="BC33" s="21">
        <f t="shared" si="14"/>
        <v>0</v>
      </c>
      <c r="BD33" s="21">
        <v>0</v>
      </c>
      <c r="BE33" s="21">
        <f t="shared" si="15"/>
        <v>0</v>
      </c>
      <c r="BF33" s="21">
        <f t="shared" si="16"/>
        <v>3.5</v>
      </c>
      <c r="BG33" s="22">
        <f t="shared" si="17"/>
        <v>5.5</v>
      </c>
      <c r="BH33" s="205">
        <f t="shared" si="18"/>
        <v>2.9436562499999996</v>
      </c>
      <c r="BI33" s="206" t="str">
        <f t="shared" si="19"/>
        <v>(0.27)</v>
      </c>
      <c r="BJ33" s="207">
        <v>2</v>
      </c>
      <c r="BK33" s="207">
        <f t="shared" si="20"/>
        <v>3.5</v>
      </c>
      <c r="BL33" s="207">
        <v>0</v>
      </c>
      <c r="BM33" s="207">
        <f t="shared" si="21"/>
        <v>0</v>
      </c>
      <c r="BN33" s="207">
        <v>0</v>
      </c>
      <c r="BO33" s="207">
        <f t="shared" si="22"/>
        <v>0</v>
      </c>
      <c r="BP33" s="207">
        <f t="shared" si="23"/>
        <v>3.5</v>
      </c>
      <c r="BQ33" s="208">
        <f t="shared" si="24"/>
        <v>8.5</v>
      </c>
      <c r="BR33" s="205">
        <f t="shared" si="25"/>
        <v>5.0215312499999989</v>
      </c>
      <c r="BS33" s="206" t="str">
        <f t="shared" si="26"/>
        <v>(0.47)</v>
      </c>
      <c r="BT33" s="207">
        <v>2</v>
      </c>
      <c r="BU33" s="207">
        <f t="shared" si="27"/>
        <v>3.5</v>
      </c>
      <c r="BV33" s="207">
        <v>0</v>
      </c>
      <c r="BW33" s="207">
        <f t="shared" si="28"/>
        <v>0</v>
      </c>
      <c r="BX33" s="207">
        <v>0</v>
      </c>
      <c r="BY33" s="207">
        <f t="shared" si="29"/>
        <v>0</v>
      </c>
      <c r="BZ33" s="207">
        <f t="shared" si="30"/>
        <v>3.5</v>
      </c>
      <c r="CA33" s="208">
        <f t="shared" si="31"/>
        <v>14.5</v>
      </c>
      <c r="CB33" s="205">
        <f t="shared" si="32"/>
        <v>7.0994062499999986</v>
      </c>
      <c r="CC33" s="206" t="str">
        <f t="shared" si="33"/>
        <v>(0.66)</v>
      </c>
      <c r="CD33" s="207">
        <v>2</v>
      </c>
      <c r="CE33" s="207">
        <f t="shared" si="34"/>
        <v>3.5</v>
      </c>
      <c r="CF33" s="207">
        <v>0</v>
      </c>
      <c r="CG33" s="207">
        <f t="shared" si="35"/>
        <v>0</v>
      </c>
      <c r="CH33" s="207">
        <v>0</v>
      </c>
      <c r="CI33" s="207">
        <f t="shared" si="36"/>
        <v>0</v>
      </c>
      <c r="CJ33" s="207">
        <f t="shared" si="37"/>
        <v>3.5</v>
      </c>
      <c r="CK33" s="208">
        <f t="shared" si="38"/>
        <v>20.5</v>
      </c>
      <c r="CL33" s="205">
        <f t="shared" si="39"/>
        <v>9.1772812500000001</v>
      </c>
      <c r="CM33" s="206" t="str">
        <f t="shared" si="40"/>
        <v>(0.85)</v>
      </c>
      <c r="CN33" s="207">
        <v>2</v>
      </c>
      <c r="CO33" s="207">
        <f t="shared" si="41"/>
        <v>3.5</v>
      </c>
      <c r="CP33" s="207">
        <v>0</v>
      </c>
      <c r="CQ33" s="207">
        <f t="shared" si="42"/>
        <v>0</v>
      </c>
      <c r="CR33" s="207">
        <v>0</v>
      </c>
      <c r="CS33" s="207">
        <f t="shared" si="43"/>
        <v>0</v>
      </c>
      <c r="CT33" s="207">
        <f t="shared" si="44"/>
        <v>3.5</v>
      </c>
      <c r="CU33" s="208">
        <f t="shared" si="45"/>
        <v>26.5</v>
      </c>
      <c r="CV33" s="205">
        <f t="shared" si="46"/>
        <v>11.255156249999999</v>
      </c>
      <c r="CW33" s="206" t="str">
        <f t="shared" si="47"/>
        <v>(1.05)</v>
      </c>
      <c r="CX33" s="207">
        <v>2</v>
      </c>
      <c r="CY33" s="207">
        <f t="shared" si="48"/>
        <v>3.5</v>
      </c>
      <c r="CZ33" s="207">
        <v>0</v>
      </c>
      <c r="DA33" s="207">
        <f t="shared" si="49"/>
        <v>0</v>
      </c>
      <c r="DB33" s="207">
        <v>0</v>
      </c>
      <c r="DC33" s="207">
        <f t="shared" si="50"/>
        <v>0</v>
      </c>
      <c r="DD33" s="207">
        <f t="shared" si="51"/>
        <v>3.5</v>
      </c>
      <c r="DE33" s="208">
        <f t="shared" si="52"/>
        <v>32.5</v>
      </c>
      <c r="DF33" s="205">
        <f t="shared" si="53"/>
        <v>13.333031249999998</v>
      </c>
      <c r="DG33" s="206" t="str">
        <f t="shared" si="54"/>
        <v>(1.24)</v>
      </c>
      <c r="DH33" s="207">
        <v>2</v>
      </c>
      <c r="DI33" s="207">
        <f t="shared" si="55"/>
        <v>3.5</v>
      </c>
      <c r="DJ33" s="207">
        <v>0</v>
      </c>
      <c r="DK33" s="207">
        <f t="shared" si="56"/>
        <v>0</v>
      </c>
      <c r="DL33" s="207">
        <v>0</v>
      </c>
      <c r="DM33" s="207">
        <f t="shared" si="57"/>
        <v>0</v>
      </c>
      <c r="DN33" s="207">
        <f t="shared" si="58"/>
        <v>3.5</v>
      </c>
      <c r="DO33" s="208">
        <f t="shared" si="59"/>
        <v>38.5</v>
      </c>
      <c r="DP33" s="205">
        <f t="shared" si="60"/>
        <v>15.410906249999998</v>
      </c>
      <c r="DQ33" s="206" t="str">
        <f t="shared" si="61"/>
        <v>(1.43)</v>
      </c>
      <c r="DR33" s="207">
        <v>2</v>
      </c>
      <c r="DS33" s="207">
        <f t="shared" si="62"/>
        <v>3.5</v>
      </c>
      <c r="DT33" s="207">
        <v>0</v>
      </c>
      <c r="DU33" s="207">
        <f t="shared" si="63"/>
        <v>0</v>
      </c>
      <c r="DV33" s="207">
        <v>0</v>
      </c>
      <c r="DW33" s="207">
        <f t="shared" si="64"/>
        <v>0</v>
      </c>
      <c r="DX33" s="207">
        <f t="shared" si="65"/>
        <v>3.5</v>
      </c>
      <c r="DY33" s="208">
        <f t="shared" si="66"/>
        <v>44.5</v>
      </c>
      <c r="DZ33" s="205">
        <f t="shared" si="67"/>
        <v>17.142468749999995</v>
      </c>
      <c r="EA33" s="206" t="str">
        <f t="shared" si="68"/>
        <v>(1.59)</v>
      </c>
      <c r="EB33" s="207">
        <v>2</v>
      </c>
      <c r="EC33" s="207">
        <f t="shared" si="69"/>
        <v>3.5</v>
      </c>
      <c r="ED33" s="207">
        <v>0</v>
      </c>
      <c r="EE33" s="207">
        <f t="shared" si="70"/>
        <v>0</v>
      </c>
      <c r="EF33" s="207">
        <v>1</v>
      </c>
      <c r="EG33" s="207">
        <f t="shared" si="71"/>
        <v>1</v>
      </c>
      <c r="EH33" s="207">
        <f t="shared" si="72"/>
        <v>4.5</v>
      </c>
      <c r="EI33" s="208">
        <f t="shared" si="73"/>
        <v>49.5</v>
      </c>
      <c r="EJ33" s="205">
        <f t="shared" si="74"/>
        <v>19.220343749999998</v>
      </c>
      <c r="EK33" s="206" t="str">
        <f t="shared" si="75"/>
        <v>(1.79)</v>
      </c>
      <c r="EL33" s="207">
        <v>2</v>
      </c>
      <c r="EM33" s="207">
        <f t="shared" si="76"/>
        <v>3.5</v>
      </c>
      <c r="EN33" s="207">
        <v>0</v>
      </c>
      <c r="EO33" s="207">
        <f t="shared" si="77"/>
        <v>0</v>
      </c>
      <c r="EP33" s="207">
        <v>1</v>
      </c>
      <c r="EQ33" s="207">
        <f t="shared" si="78"/>
        <v>1</v>
      </c>
      <c r="ER33" s="207">
        <f t="shared" si="79"/>
        <v>4.5</v>
      </c>
      <c r="ES33" s="208">
        <f t="shared" si="80"/>
        <v>55.5</v>
      </c>
      <c r="ET33" s="205">
        <f t="shared" si="81"/>
        <v>21.298218749999997</v>
      </c>
      <c r="EU33" s="206" t="str">
        <f t="shared" si="82"/>
        <v>(1.98)</v>
      </c>
      <c r="EV33" s="207">
        <v>2</v>
      </c>
      <c r="EW33" s="207">
        <f t="shared" si="83"/>
        <v>3.5</v>
      </c>
      <c r="EX33" s="207">
        <v>0</v>
      </c>
      <c r="EY33" s="207">
        <f t="shared" si="84"/>
        <v>0</v>
      </c>
      <c r="EZ33" s="207">
        <v>1</v>
      </c>
      <c r="FA33" s="207">
        <f t="shared" si="85"/>
        <v>1</v>
      </c>
      <c r="FB33" s="207">
        <f t="shared" si="86"/>
        <v>4.5</v>
      </c>
      <c r="FC33" s="208">
        <f t="shared" si="87"/>
        <v>61.5</v>
      </c>
      <c r="FD33" s="205">
        <f t="shared" si="88"/>
        <v>23.722406249999995</v>
      </c>
      <c r="FE33" s="206" t="str">
        <f t="shared" si="89"/>
        <v>(2.20)</v>
      </c>
      <c r="FF33" s="207">
        <v>2</v>
      </c>
      <c r="FG33" s="207">
        <f t="shared" si="90"/>
        <v>3.5</v>
      </c>
      <c r="FH33" s="469">
        <v>0</v>
      </c>
      <c r="FI33" s="207">
        <f t="shared" si="91"/>
        <v>0</v>
      </c>
      <c r="FJ33" s="207">
        <v>0</v>
      </c>
      <c r="FK33" s="207">
        <f t="shared" si="92"/>
        <v>0</v>
      </c>
      <c r="FL33" s="207">
        <f t="shared" si="93"/>
        <v>3.5</v>
      </c>
      <c r="FM33" s="208">
        <f t="shared" si="94"/>
        <v>68.5</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1"/>
      <c r="GO33" s="31"/>
      <c r="GP33" s="31"/>
      <c r="GQ33" s="31"/>
      <c r="GR33" s="30"/>
      <c r="GS33" s="30"/>
      <c r="GT33" s="31"/>
      <c r="GU33" s="31"/>
      <c r="GV33" s="31"/>
      <c r="GW33" s="31"/>
      <c r="GX33" s="31"/>
      <c r="GY33" s="31"/>
      <c r="GZ33" s="31"/>
      <c r="HA33" s="31"/>
      <c r="HB33" s="30"/>
      <c r="HC33" s="30"/>
      <c r="HD33" s="31"/>
      <c r="HE33" s="31"/>
      <c r="HF33" s="31"/>
      <c r="HG33" s="31"/>
      <c r="HH33" s="31"/>
      <c r="HI33" s="31"/>
      <c r="HJ33" s="31"/>
      <c r="HK33" s="31"/>
      <c r="HL33" s="30"/>
      <c r="HM33" s="30"/>
      <c r="HN33" s="31"/>
      <c r="HO33" s="31"/>
      <c r="HP33" s="31"/>
      <c r="HQ33" s="31"/>
      <c r="HR33" s="31"/>
      <c r="HS33" s="31"/>
      <c r="HT33" s="31"/>
      <c r="HU33" s="31"/>
      <c r="HV33" s="30"/>
      <c r="HW33" s="30"/>
      <c r="HX33" s="31"/>
      <c r="HY33" s="31"/>
      <c r="HZ33" s="31"/>
      <c r="IA33" s="31"/>
      <c r="IB33" s="31"/>
      <c r="IC33" s="31"/>
      <c r="ID33" s="31"/>
      <c r="IE33" s="31"/>
      <c r="IF33" s="30"/>
      <c r="IG33" s="30"/>
      <c r="IH33" s="31"/>
      <c r="II33" s="31"/>
      <c r="IJ33" s="31"/>
      <c r="IK33" s="31"/>
      <c r="IL33" s="31"/>
      <c r="IM33" s="31"/>
      <c r="IN33" s="32"/>
      <c r="IO33" s="32"/>
      <c r="IP33" s="32"/>
      <c r="IQ33" s="24">
        <v>16</v>
      </c>
      <c r="IR33" s="25">
        <v>3.1160000000000001</v>
      </c>
      <c r="IS33" s="25">
        <v>3.0659999999999998</v>
      </c>
      <c r="IT33" s="25">
        <v>0.76300000000000001</v>
      </c>
      <c r="IU33" s="25">
        <v>1.75</v>
      </c>
      <c r="IV33" s="25">
        <v>1</v>
      </c>
      <c r="IW33" s="25">
        <v>1.125</v>
      </c>
      <c r="IX33" s="7"/>
    </row>
    <row r="34" spans="2:258" ht="15.75" thickBot="1" x14ac:dyDescent="0.3">
      <c r="B34" s="79">
        <f t="shared" si="9"/>
        <v>102</v>
      </c>
      <c r="C34" s="147">
        <v>18</v>
      </c>
      <c r="D34" s="487"/>
      <c r="E34" s="488"/>
      <c r="F34" s="488"/>
      <c r="G34" s="488"/>
      <c r="H34" s="488"/>
      <c r="I34" s="488"/>
      <c r="J34" s="488"/>
      <c r="K34" s="488"/>
      <c r="L34" s="488"/>
      <c r="M34" s="488"/>
      <c r="N34" s="488"/>
      <c r="O34" s="488"/>
      <c r="P34" s="488"/>
      <c r="Q34" s="488"/>
      <c r="R34" s="488"/>
      <c r="S34" s="488"/>
      <c r="T34" s="488"/>
      <c r="U34" s="488"/>
      <c r="V34" s="488"/>
      <c r="W34" s="488"/>
      <c r="X34" s="76"/>
      <c r="Y34" s="46"/>
      <c r="AT34" s="3"/>
      <c r="AU34" s="13">
        <f t="shared" si="151"/>
        <v>84</v>
      </c>
      <c r="AV34" s="11" t="str">
        <f t="shared" si="10"/>
        <v>(2150)</v>
      </c>
      <c r="AW34" s="18"/>
      <c r="AX34" s="19">
        <f t="shared" si="11"/>
        <v>2.0747604166666664</v>
      </c>
      <c r="AY34" s="20" t="str">
        <f t="shared" si="12"/>
        <v>(0.19)</v>
      </c>
      <c r="AZ34" s="21">
        <v>2</v>
      </c>
      <c r="BA34" s="21">
        <f t="shared" si="13"/>
        <v>3.5</v>
      </c>
      <c r="BB34" s="21">
        <v>0</v>
      </c>
      <c r="BC34" s="21">
        <f t="shared" si="14"/>
        <v>0</v>
      </c>
      <c r="BD34" s="21">
        <v>0</v>
      </c>
      <c r="BE34" s="21">
        <f t="shared" si="15"/>
        <v>0</v>
      </c>
      <c r="BF34" s="21">
        <f t="shared" si="16"/>
        <v>3.5</v>
      </c>
      <c r="BG34" s="22">
        <f t="shared" si="17"/>
        <v>5.5</v>
      </c>
      <c r="BH34" s="205">
        <f t="shared" si="18"/>
        <v>3.2064479166666668</v>
      </c>
      <c r="BI34" s="206" t="str">
        <f t="shared" si="19"/>
        <v>(0.30)</v>
      </c>
      <c r="BJ34" s="207">
        <v>2</v>
      </c>
      <c r="BK34" s="207">
        <f t="shared" si="20"/>
        <v>3.5</v>
      </c>
      <c r="BL34" s="207">
        <v>0</v>
      </c>
      <c r="BM34" s="207">
        <f t="shared" si="21"/>
        <v>0</v>
      </c>
      <c r="BN34" s="207">
        <v>0</v>
      </c>
      <c r="BO34" s="207">
        <f t="shared" si="22"/>
        <v>0</v>
      </c>
      <c r="BP34" s="207">
        <f t="shared" si="23"/>
        <v>3.5</v>
      </c>
      <c r="BQ34" s="208">
        <f t="shared" si="24"/>
        <v>8.5</v>
      </c>
      <c r="BR34" s="205">
        <f t="shared" si="25"/>
        <v>5.4698229166666668</v>
      </c>
      <c r="BS34" s="206" t="str">
        <f t="shared" si="26"/>
        <v>(0.51)</v>
      </c>
      <c r="BT34" s="207">
        <v>2</v>
      </c>
      <c r="BU34" s="207">
        <f t="shared" si="27"/>
        <v>3.5</v>
      </c>
      <c r="BV34" s="207">
        <v>0</v>
      </c>
      <c r="BW34" s="207">
        <f t="shared" si="28"/>
        <v>0</v>
      </c>
      <c r="BX34" s="207">
        <v>0</v>
      </c>
      <c r="BY34" s="207">
        <f t="shared" si="29"/>
        <v>0</v>
      </c>
      <c r="BZ34" s="207">
        <f t="shared" si="30"/>
        <v>3.5</v>
      </c>
      <c r="CA34" s="208">
        <f t="shared" si="31"/>
        <v>14.5</v>
      </c>
      <c r="CB34" s="205">
        <f t="shared" si="32"/>
        <v>7.7331979166666667</v>
      </c>
      <c r="CC34" s="206" t="str">
        <f t="shared" si="33"/>
        <v>(0.72)</v>
      </c>
      <c r="CD34" s="207">
        <v>2</v>
      </c>
      <c r="CE34" s="207">
        <f t="shared" si="34"/>
        <v>3.5</v>
      </c>
      <c r="CF34" s="207">
        <v>0</v>
      </c>
      <c r="CG34" s="207">
        <f t="shared" si="35"/>
        <v>0</v>
      </c>
      <c r="CH34" s="207">
        <v>0</v>
      </c>
      <c r="CI34" s="207">
        <f t="shared" si="36"/>
        <v>0</v>
      </c>
      <c r="CJ34" s="207">
        <f t="shared" si="37"/>
        <v>3.5</v>
      </c>
      <c r="CK34" s="208">
        <f t="shared" si="38"/>
        <v>20.5</v>
      </c>
      <c r="CL34" s="205">
        <f t="shared" si="39"/>
        <v>9.9965729166666666</v>
      </c>
      <c r="CM34" s="206" t="str">
        <f t="shared" si="40"/>
        <v>(0.93)</v>
      </c>
      <c r="CN34" s="207">
        <v>2</v>
      </c>
      <c r="CO34" s="207">
        <f t="shared" si="41"/>
        <v>3.5</v>
      </c>
      <c r="CP34" s="207">
        <v>0</v>
      </c>
      <c r="CQ34" s="207">
        <f t="shared" si="42"/>
        <v>0</v>
      </c>
      <c r="CR34" s="207">
        <v>0</v>
      </c>
      <c r="CS34" s="207">
        <f t="shared" si="43"/>
        <v>0</v>
      </c>
      <c r="CT34" s="207">
        <f t="shared" si="44"/>
        <v>3.5</v>
      </c>
      <c r="CU34" s="208">
        <f t="shared" si="45"/>
        <v>26.5</v>
      </c>
      <c r="CV34" s="205">
        <f t="shared" si="46"/>
        <v>12.259947916666667</v>
      </c>
      <c r="CW34" s="206" t="str">
        <f t="shared" si="47"/>
        <v>(1.14)</v>
      </c>
      <c r="CX34" s="207">
        <v>2</v>
      </c>
      <c r="CY34" s="207">
        <f t="shared" si="48"/>
        <v>3.5</v>
      </c>
      <c r="CZ34" s="207">
        <v>0</v>
      </c>
      <c r="DA34" s="207">
        <f t="shared" si="49"/>
        <v>0</v>
      </c>
      <c r="DB34" s="207">
        <v>0</v>
      </c>
      <c r="DC34" s="207">
        <f t="shared" si="50"/>
        <v>0</v>
      </c>
      <c r="DD34" s="207">
        <f t="shared" si="51"/>
        <v>3.5</v>
      </c>
      <c r="DE34" s="208">
        <f t="shared" si="52"/>
        <v>32.5</v>
      </c>
      <c r="DF34" s="205">
        <f t="shared" si="53"/>
        <v>14.523322916666665</v>
      </c>
      <c r="DG34" s="206" t="str">
        <f t="shared" si="54"/>
        <v>(1.35)</v>
      </c>
      <c r="DH34" s="207">
        <v>2</v>
      </c>
      <c r="DI34" s="207">
        <f t="shared" si="55"/>
        <v>3.5</v>
      </c>
      <c r="DJ34" s="207">
        <v>0</v>
      </c>
      <c r="DK34" s="207">
        <f t="shared" si="56"/>
        <v>0</v>
      </c>
      <c r="DL34" s="207">
        <v>0</v>
      </c>
      <c r="DM34" s="207">
        <f t="shared" si="57"/>
        <v>0</v>
      </c>
      <c r="DN34" s="207">
        <f t="shared" si="58"/>
        <v>3.5</v>
      </c>
      <c r="DO34" s="208">
        <f t="shared" si="59"/>
        <v>38.5</v>
      </c>
      <c r="DP34" s="205">
        <f t="shared" si="60"/>
        <v>16.786697916666665</v>
      </c>
      <c r="DQ34" s="206" t="str">
        <f t="shared" si="61"/>
        <v>(1.56)</v>
      </c>
      <c r="DR34" s="207">
        <v>2</v>
      </c>
      <c r="DS34" s="207">
        <f t="shared" si="62"/>
        <v>3.5</v>
      </c>
      <c r="DT34" s="207">
        <v>0</v>
      </c>
      <c r="DU34" s="207">
        <f t="shared" si="63"/>
        <v>0</v>
      </c>
      <c r="DV34" s="207">
        <v>0</v>
      </c>
      <c r="DW34" s="207">
        <f t="shared" si="64"/>
        <v>0</v>
      </c>
      <c r="DX34" s="207">
        <f t="shared" si="65"/>
        <v>3.5</v>
      </c>
      <c r="DY34" s="208">
        <f t="shared" si="66"/>
        <v>44.5</v>
      </c>
      <c r="DZ34" s="205">
        <f t="shared" si="67"/>
        <v>18.672843749999998</v>
      </c>
      <c r="EA34" s="206" t="str">
        <f t="shared" si="68"/>
        <v>(1.73)</v>
      </c>
      <c r="EB34" s="207">
        <v>2</v>
      </c>
      <c r="EC34" s="207">
        <f t="shared" si="69"/>
        <v>3.5</v>
      </c>
      <c r="ED34" s="207">
        <v>0</v>
      </c>
      <c r="EE34" s="207">
        <f t="shared" si="70"/>
        <v>0</v>
      </c>
      <c r="EF34" s="207">
        <v>1</v>
      </c>
      <c r="EG34" s="207">
        <f t="shared" si="71"/>
        <v>1</v>
      </c>
      <c r="EH34" s="207">
        <f t="shared" si="72"/>
        <v>4.5</v>
      </c>
      <c r="EI34" s="208">
        <f t="shared" si="73"/>
        <v>49.5</v>
      </c>
      <c r="EJ34" s="205">
        <f t="shared" si="74"/>
        <v>20.936218749999998</v>
      </c>
      <c r="EK34" s="206" t="str">
        <f t="shared" si="75"/>
        <v>(1.95)</v>
      </c>
      <c r="EL34" s="207">
        <v>2</v>
      </c>
      <c r="EM34" s="207">
        <f t="shared" si="76"/>
        <v>3.5</v>
      </c>
      <c r="EN34" s="207">
        <v>0</v>
      </c>
      <c r="EO34" s="207">
        <f t="shared" si="77"/>
        <v>0</v>
      </c>
      <c r="EP34" s="207">
        <v>1</v>
      </c>
      <c r="EQ34" s="207">
        <f t="shared" si="78"/>
        <v>1</v>
      </c>
      <c r="ER34" s="207">
        <f t="shared" si="79"/>
        <v>4.5</v>
      </c>
      <c r="ES34" s="208">
        <f t="shared" si="80"/>
        <v>55.5</v>
      </c>
      <c r="ET34" s="205">
        <f t="shared" si="81"/>
        <v>23.199593750000002</v>
      </c>
      <c r="EU34" s="206" t="str">
        <f t="shared" si="82"/>
        <v>(2.16)</v>
      </c>
      <c r="EV34" s="207">
        <v>2</v>
      </c>
      <c r="EW34" s="207">
        <f t="shared" si="83"/>
        <v>3.5</v>
      </c>
      <c r="EX34" s="207">
        <v>0</v>
      </c>
      <c r="EY34" s="207">
        <f t="shared" si="84"/>
        <v>0</v>
      </c>
      <c r="EZ34" s="207">
        <v>1</v>
      </c>
      <c r="FA34" s="207">
        <f t="shared" si="85"/>
        <v>1</v>
      </c>
      <c r="FB34" s="207">
        <f t="shared" si="86"/>
        <v>4.5</v>
      </c>
      <c r="FC34" s="208">
        <f t="shared" si="87"/>
        <v>61.5</v>
      </c>
      <c r="FD34" s="205">
        <f t="shared" si="88"/>
        <v>25.840197916666668</v>
      </c>
      <c r="FE34" s="206" t="str">
        <f t="shared" si="89"/>
        <v>(2.40)</v>
      </c>
      <c r="FF34" s="207">
        <v>2</v>
      </c>
      <c r="FG34" s="207">
        <f t="shared" si="90"/>
        <v>3.5</v>
      </c>
      <c r="FH34" s="469">
        <v>0</v>
      </c>
      <c r="FI34" s="207">
        <f t="shared" si="91"/>
        <v>0</v>
      </c>
      <c r="FJ34" s="207">
        <v>0</v>
      </c>
      <c r="FK34" s="207">
        <f t="shared" si="92"/>
        <v>0</v>
      </c>
      <c r="FL34" s="207">
        <f t="shared" si="93"/>
        <v>3.5</v>
      </c>
      <c r="FM34" s="208">
        <f t="shared" si="94"/>
        <v>68.5</v>
      </c>
      <c r="FN34" s="30"/>
      <c r="FO34" s="30"/>
      <c r="FP34" s="31"/>
      <c r="FQ34" s="31"/>
      <c r="FR34" s="31"/>
      <c r="FS34" s="31"/>
      <c r="FT34" s="31"/>
      <c r="FU34" s="31"/>
      <c r="FV34" s="31"/>
      <c r="FW34" s="31"/>
      <c r="FX34" s="30"/>
      <c r="FY34" s="30"/>
      <c r="FZ34" s="31"/>
      <c r="GA34" s="31"/>
      <c r="GB34" s="31"/>
      <c r="GC34" s="31"/>
      <c r="GD34" s="31"/>
      <c r="GE34" s="31"/>
      <c r="GF34" s="31"/>
      <c r="GG34" s="31"/>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1"/>
      <c r="IK34" s="31"/>
      <c r="IL34" s="31"/>
      <c r="IM34" s="31"/>
      <c r="IN34" s="32"/>
      <c r="IO34" s="32"/>
      <c r="IP34" s="32"/>
      <c r="IQ34" s="24">
        <v>17</v>
      </c>
      <c r="IR34" s="25">
        <v>3.1160000000000001</v>
      </c>
      <c r="IS34" s="25">
        <v>3.0659999999999998</v>
      </c>
      <c r="IT34" s="25">
        <v>2.149</v>
      </c>
      <c r="IU34" s="25">
        <v>1.75</v>
      </c>
      <c r="IV34" s="25">
        <v>1</v>
      </c>
      <c r="IW34" s="25">
        <v>1.125</v>
      </c>
      <c r="IX34" s="7"/>
    </row>
    <row r="35" spans="2:258" ht="15.75" thickBot="1" x14ac:dyDescent="0.3">
      <c r="B35" s="79">
        <f t="shared" si="9"/>
        <v>108</v>
      </c>
      <c r="C35" s="148">
        <v>19</v>
      </c>
      <c r="D35" s="487"/>
      <c r="E35" s="488"/>
      <c r="F35" s="488"/>
      <c r="G35" s="488"/>
      <c r="H35" s="488"/>
      <c r="I35" s="488"/>
      <c r="J35" s="488"/>
      <c r="K35" s="488"/>
      <c r="L35" s="488"/>
      <c r="M35" s="488"/>
      <c r="N35" s="488"/>
      <c r="O35" s="488"/>
      <c r="P35" s="488"/>
      <c r="Q35" s="488"/>
      <c r="R35" s="488"/>
      <c r="S35" s="488"/>
      <c r="T35" s="488"/>
      <c r="U35" s="488"/>
      <c r="V35" s="488"/>
      <c r="W35" s="488"/>
      <c r="X35" s="76"/>
      <c r="Y35" s="46"/>
      <c r="AT35" s="3"/>
      <c r="AU35" s="26">
        <f t="shared" si="151"/>
        <v>90</v>
      </c>
      <c r="AV35" s="27" t="str">
        <f t="shared" si="10"/>
        <v>(2300)</v>
      </c>
      <c r="AW35" s="18"/>
      <c r="AX35" s="19">
        <f t="shared" si="11"/>
        <v>2.2071423611111114</v>
      </c>
      <c r="AY35" s="28" t="str">
        <f t="shared" si="12"/>
        <v>(0.21)</v>
      </c>
      <c r="AZ35" s="21">
        <v>2</v>
      </c>
      <c r="BA35" s="21">
        <f t="shared" si="13"/>
        <v>3.5</v>
      </c>
      <c r="BB35" s="29">
        <v>0</v>
      </c>
      <c r="BC35" s="21">
        <f t="shared" si="14"/>
        <v>0</v>
      </c>
      <c r="BD35" s="29">
        <v>0</v>
      </c>
      <c r="BE35" s="21">
        <f t="shared" si="15"/>
        <v>0</v>
      </c>
      <c r="BF35" s="21">
        <f t="shared" si="16"/>
        <v>3.5</v>
      </c>
      <c r="BG35" s="22">
        <f t="shared" si="17"/>
        <v>5.5</v>
      </c>
      <c r="BH35" s="205">
        <f t="shared" si="18"/>
        <v>3.4110381944444446</v>
      </c>
      <c r="BI35" s="206" t="str">
        <f t="shared" si="19"/>
        <v>(0.32)</v>
      </c>
      <c r="BJ35" s="207">
        <v>2</v>
      </c>
      <c r="BK35" s="207">
        <f t="shared" si="20"/>
        <v>3.5</v>
      </c>
      <c r="BL35" s="207">
        <v>0</v>
      </c>
      <c r="BM35" s="207">
        <f t="shared" si="21"/>
        <v>0</v>
      </c>
      <c r="BN35" s="207">
        <v>0</v>
      </c>
      <c r="BO35" s="207">
        <f t="shared" si="22"/>
        <v>0</v>
      </c>
      <c r="BP35" s="207">
        <f t="shared" si="23"/>
        <v>3.5</v>
      </c>
      <c r="BQ35" s="208">
        <f t="shared" si="24"/>
        <v>8.5</v>
      </c>
      <c r="BR35" s="205">
        <f t="shared" si="25"/>
        <v>5.8188298611111104</v>
      </c>
      <c r="BS35" s="206" t="str">
        <f t="shared" si="26"/>
        <v>(0.54)</v>
      </c>
      <c r="BT35" s="207">
        <v>2</v>
      </c>
      <c r="BU35" s="207">
        <f t="shared" si="27"/>
        <v>3.5</v>
      </c>
      <c r="BV35" s="207">
        <v>0</v>
      </c>
      <c r="BW35" s="207">
        <f t="shared" si="28"/>
        <v>0</v>
      </c>
      <c r="BX35" s="207">
        <v>0</v>
      </c>
      <c r="BY35" s="207">
        <f t="shared" si="29"/>
        <v>0</v>
      </c>
      <c r="BZ35" s="207">
        <f t="shared" si="30"/>
        <v>3.5</v>
      </c>
      <c r="CA35" s="208">
        <f t="shared" si="31"/>
        <v>14.5</v>
      </c>
      <c r="CB35" s="205">
        <f t="shared" si="32"/>
        <v>8.2266215277777768</v>
      </c>
      <c r="CC35" s="206" t="str">
        <f t="shared" si="33"/>
        <v>(0.76)</v>
      </c>
      <c r="CD35" s="207">
        <v>2</v>
      </c>
      <c r="CE35" s="207">
        <f t="shared" si="34"/>
        <v>3.5</v>
      </c>
      <c r="CF35" s="207">
        <v>0</v>
      </c>
      <c r="CG35" s="207">
        <f t="shared" si="35"/>
        <v>0</v>
      </c>
      <c r="CH35" s="207">
        <v>0</v>
      </c>
      <c r="CI35" s="207">
        <f t="shared" si="36"/>
        <v>0</v>
      </c>
      <c r="CJ35" s="207">
        <f t="shared" si="37"/>
        <v>3.5</v>
      </c>
      <c r="CK35" s="208">
        <f t="shared" si="38"/>
        <v>20.5</v>
      </c>
      <c r="CL35" s="205">
        <f t="shared" si="39"/>
        <v>10.634413194444443</v>
      </c>
      <c r="CM35" s="206" t="str">
        <f t="shared" si="40"/>
        <v>(0.99)</v>
      </c>
      <c r="CN35" s="207">
        <v>2</v>
      </c>
      <c r="CO35" s="207">
        <f t="shared" si="41"/>
        <v>3.5</v>
      </c>
      <c r="CP35" s="207">
        <v>0</v>
      </c>
      <c r="CQ35" s="207">
        <f t="shared" si="42"/>
        <v>0</v>
      </c>
      <c r="CR35" s="207">
        <v>0</v>
      </c>
      <c r="CS35" s="207">
        <f t="shared" si="43"/>
        <v>0</v>
      </c>
      <c r="CT35" s="207">
        <f t="shared" si="44"/>
        <v>3.5</v>
      </c>
      <c r="CU35" s="208">
        <f t="shared" si="45"/>
        <v>26.5</v>
      </c>
      <c r="CV35" s="205">
        <f t="shared" si="46"/>
        <v>13.042204861111109</v>
      </c>
      <c r="CW35" s="206" t="str">
        <f t="shared" si="47"/>
        <v>(1.21)</v>
      </c>
      <c r="CX35" s="207">
        <v>2</v>
      </c>
      <c r="CY35" s="207">
        <f t="shared" si="48"/>
        <v>3.5</v>
      </c>
      <c r="CZ35" s="207">
        <v>0</v>
      </c>
      <c r="DA35" s="207">
        <f t="shared" si="49"/>
        <v>0</v>
      </c>
      <c r="DB35" s="207">
        <v>0</v>
      </c>
      <c r="DC35" s="207">
        <f t="shared" si="50"/>
        <v>0</v>
      </c>
      <c r="DD35" s="207">
        <f t="shared" si="51"/>
        <v>3.5</v>
      </c>
      <c r="DE35" s="208">
        <f t="shared" si="52"/>
        <v>32.5</v>
      </c>
      <c r="DF35" s="205">
        <f t="shared" si="53"/>
        <v>15.449996527777778</v>
      </c>
      <c r="DG35" s="206" t="str">
        <f t="shared" si="54"/>
        <v>(1.44)</v>
      </c>
      <c r="DH35" s="207">
        <v>2</v>
      </c>
      <c r="DI35" s="207">
        <f t="shared" si="55"/>
        <v>3.5</v>
      </c>
      <c r="DJ35" s="207">
        <v>0</v>
      </c>
      <c r="DK35" s="207">
        <f t="shared" si="56"/>
        <v>0</v>
      </c>
      <c r="DL35" s="207">
        <v>0</v>
      </c>
      <c r="DM35" s="207">
        <f t="shared" si="57"/>
        <v>0</v>
      </c>
      <c r="DN35" s="207">
        <f t="shared" si="58"/>
        <v>3.5</v>
      </c>
      <c r="DO35" s="208">
        <f t="shared" si="59"/>
        <v>38.5</v>
      </c>
      <c r="DP35" s="205">
        <f t="shared" si="60"/>
        <v>17.857788194444442</v>
      </c>
      <c r="DQ35" s="206" t="str">
        <f t="shared" si="61"/>
        <v>(1.66)</v>
      </c>
      <c r="DR35" s="207">
        <v>2</v>
      </c>
      <c r="DS35" s="207">
        <f t="shared" si="62"/>
        <v>3.5</v>
      </c>
      <c r="DT35" s="207">
        <v>0</v>
      </c>
      <c r="DU35" s="207">
        <f t="shared" si="63"/>
        <v>0</v>
      </c>
      <c r="DV35" s="207">
        <v>0</v>
      </c>
      <c r="DW35" s="207">
        <f t="shared" si="64"/>
        <v>0</v>
      </c>
      <c r="DX35" s="207">
        <f t="shared" si="65"/>
        <v>3.5</v>
      </c>
      <c r="DY35" s="208">
        <f t="shared" si="66"/>
        <v>44.5</v>
      </c>
      <c r="DZ35" s="205">
        <f t="shared" si="67"/>
        <v>19.864281249999998</v>
      </c>
      <c r="EA35" s="206" t="str">
        <f t="shared" si="68"/>
        <v>(1.85)</v>
      </c>
      <c r="EB35" s="207">
        <v>2</v>
      </c>
      <c r="EC35" s="207">
        <f t="shared" si="69"/>
        <v>3.5</v>
      </c>
      <c r="ED35" s="207">
        <v>0</v>
      </c>
      <c r="EE35" s="207">
        <f t="shared" si="70"/>
        <v>0</v>
      </c>
      <c r="EF35" s="207">
        <v>1</v>
      </c>
      <c r="EG35" s="207">
        <f t="shared" si="71"/>
        <v>1</v>
      </c>
      <c r="EH35" s="207">
        <f t="shared" si="72"/>
        <v>4.5</v>
      </c>
      <c r="EI35" s="208">
        <f t="shared" si="73"/>
        <v>49.5</v>
      </c>
      <c r="EJ35" s="205">
        <f t="shared" si="74"/>
        <v>22.272072916666666</v>
      </c>
      <c r="EK35" s="206" t="str">
        <f t="shared" si="75"/>
        <v>(2.07)</v>
      </c>
      <c r="EL35" s="207">
        <v>2</v>
      </c>
      <c r="EM35" s="207">
        <f t="shared" si="76"/>
        <v>3.5</v>
      </c>
      <c r="EN35" s="207">
        <v>0</v>
      </c>
      <c r="EO35" s="207">
        <f t="shared" si="77"/>
        <v>0</v>
      </c>
      <c r="EP35" s="207">
        <v>1</v>
      </c>
      <c r="EQ35" s="207">
        <f t="shared" si="78"/>
        <v>1</v>
      </c>
      <c r="ER35" s="207">
        <f t="shared" si="79"/>
        <v>4.5</v>
      </c>
      <c r="ES35" s="208">
        <f t="shared" si="80"/>
        <v>55.5</v>
      </c>
      <c r="ET35" s="205">
        <f t="shared" si="81"/>
        <v>24.67986458333333</v>
      </c>
      <c r="EU35" s="206" t="str">
        <f t="shared" si="82"/>
        <v>(2.29)</v>
      </c>
      <c r="EV35" s="207">
        <v>2</v>
      </c>
      <c r="EW35" s="207">
        <f t="shared" si="83"/>
        <v>3.5</v>
      </c>
      <c r="EX35" s="207">
        <v>0</v>
      </c>
      <c r="EY35" s="207">
        <f t="shared" si="84"/>
        <v>0</v>
      </c>
      <c r="EZ35" s="207">
        <v>1</v>
      </c>
      <c r="FA35" s="207">
        <f t="shared" si="85"/>
        <v>1</v>
      </c>
      <c r="FB35" s="207">
        <f t="shared" si="86"/>
        <v>4.5</v>
      </c>
      <c r="FC35" s="208">
        <f t="shared" si="87"/>
        <v>61.5</v>
      </c>
      <c r="FD35" s="205">
        <f t="shared" si="88"/>
        <v>27.488954861111111</v>
      </c>
      <c r="FE35" s="206" t="str">
        <f t="shared" si="89"/>
        <v>(2.55)</v>
      </c>
      <c r="FF35" s="207">
        <v>2</v>
      </c>
      <c r="FG35" s="207">
        <f t="shared" si="90"/>
        <v>3.5</v>
      </c>
      <c r="FH35" s="469">
        <v>0</v>
      </c>
      <c r="FI35" s="207">
        <f t="shared" si="91"/>
        <v>0</v>
      </c>
      <c r="FJ35" s="207">
        <v>0</v>
      </c>
      <c r="FK35" s="207">
        <f t="shared" si="92"/>
        <v>0</v>
      </c>
      <c r="FL35" s="207">
        <f t="shared" si="93"/>
        <v>3.5</v>
      </c>
      <c r="FM35" s="208">
        <f t="shared" si="94"/>
        <v>68.5</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3"/>
      <c r="IK35" s="31"/>
      <c r="IL35" s="31"/>
      <c r="IM35" s="31"/>
      <c r="IN35" s="32"/>
      <c r="IO35" s="32"/>
      <c r="IP35" s="32"/>
      <c r="IQ35" s="24">
        <v>18</v>
      </c>
      <c r="IR35" s="25">
        <v>3.1160000000000001</v>
      </c>
      <c r="IS35" s="25">
        <v>3.0659999999999998</v>
      </c>
      <c r="IT35" s="25">
        <v>2.5489999999999999</v>
      </c>
      <c r="IU35" s="25">
        <v>1.75</v>
      </c>
      <c r="IV35" s="25">
        <v>1</v>
      </c>
      <c r="IW35" s="25">
        <v>1.125</v>
      </c>
      <c r="IX35" s="7"/>
    </row>
    <row r="36" spans="2:258" ht="15.75" thickBot="1" x14ac:dyDescent="0.3">
      <c r="B36" s="79">
        <f>B35+6</f>
        <v>114</v>
      </c>
      <c r="C36" s="147">
        <v>20</v>
      </c>
      <c r="D36" s="487"/>
      <c r="E36" s="488"/>
      <c r="F36" s="488"/>
      <c r="G36" s="488"/>
      <c r="H36" s="488"/>
      <c r="I36" s="488"/>
      <c r="J36" s="488"/>
      <c r="K36" s="488"/>
      <c r="L36" s="488"/>
      <c r="M36" s="488"/>
      <c r="N36" s="488"/>
      <c r="O36" s="488"/>
      <c r="P36" s="488"/>
      <c r="Q36" s="488"/>
      <c r="R36" s="488"/>
      <c r="S36" s="488"/>
      <c r="T36" s="488"/>
      <c r="U36" s="488"/>
      <c r="V36" s="488"/>
      <c r="W36" s="488"/>
      <c r="X36" s="76"/>
      <c r="Y36" s="46"/>
      <c r="AT36" s="3"/>
      <c r="AU36" s="26">
        <f t="shared" si="151"/>
        <v>96</v>
      </c>
      <c r="AV36" s="27" t="str">
        <f t="shared" si="10"/>
        <v>(2450)</v>
      </c>
      <c r="AW36" s="18"/>
      <c r="AX36" s="19">
        <f t="shared" si="11"/>
        <v>2.3731354166666665</v>
      </c>
      <c r="AY36" s="20" t="str">
        <f t="shared" si="12"/>
        <v>(0.22)</v>
      </c>
      <c r="AZ36" s="21">
        <v>2</v>
      </c>
      <c r="BA36" s="21">
        <f t="shared" si="13"/>
        <v>3.5</v>
      </c>
      <c r="BB36" s="21">
        <v>0</v>
      </c>
      <c r="BC36" s="21">
        <f t="shared" si="14"/>
        <v>0</v>
      </c>
      <c r="BD36" s="21">
        <v>0</v>
      </c>
      <c r="BE36" s="21">
        <f t="shared" si="15"/>
        <v>0</v>
      </c>
      <c r="BF36" s="21">
        <f t="shared" si="16"/>
        <v>3.5</v>
      </c>
      <c r="BG36" s="22">
        <f t="shared" si="17"/>
        <v>5.5</v>
      </c>
      <c r="BH36" s="205">
        <f t="shared" si="18"/>
        <v>3.6675729166666664</v>
      </c>
      <c r="BI36" s="206" t="str">
        <f t="shared" si="19"/>
        <v>(0.34)</v>
      </c>
      <c r="BJ36" s="207">
        <v>2</v>
      </c>
      <c r="BK36" s="207">
        <f t="shared" si="20"/>
        <v>3.5</v>
      </c>
      <c r="BL36" s="207">
        <v>0</v>
      </c>
      <c r="BM36" s="207">
        <f t="shared" si="21"/>
        <v>0</v>
      </c>
      <c r="BN36" s="207">
        <v>0</v>
      </c>
      <c r="BO36" s="207">
        <f t="shared" si="22"/>
        <v>0</v>
      </c>
      <c r="BP36" s="207">
        <f t="shared" si="23"/>
        <v>3.5</v>
      </c>
      <c r="BQ36" s="208">
        <f t="shared" si="24"/>
        <v>8.5</v>
      </c>
      <c r="BR36" s="205">
        <f t="shared" si="25"/>
        <v>6.2564479166666667</v>
      </c>
      <c r="BS36" s="206" t="str">
        <f t="shared" si="26"/>
        <v>(0.58)</v>
      </c>
      <c r="BT36" s="207">
        <v>2</v>
      </c>
      <c r="BU36" s="207">
        <f t="shared" si="27"/>
        <v>3.5</v>
      </c>
      <c r="BV36" s="207">
        <v>0</v>
      </c>
      <c r="BW36" s="207">
        <f t="shared" si="28"/>
        <v>0</v>
      </c>
      <c r="BX36" s="207">
        <v>0</v>
      </c>
      <c r="BY36" s="207">
        <f t="shared" si="29"/>
        <v>0</v>
      </c>
      <c r="BZ36" s="207">
        <f t="shared" si="30"/>
        <v>3.5</v>
      </c>
      <c r="CA36" s="208">
        <f t="shared" si="31"/>
        <v>14.5</v>
      </c>
      <c r="CB36" s="205">
        <f t="shared" si="32"/>
        <v>8.8453229166666674</v>
      </c>
      <c r="CC36" s="206" t="str">
        <f t="shared" si="33"/>
        <v>(0.82)</v>
      </c>
      <c r="CD36" s="207">
        <v>2</v>
      </c>
      <c r="CE36" s="207">
        <f t="shared" si="34"/>
        <v>3.5</v>
      </c>
      <c r="CF36" s="207">
        <v>0</v>
      </c>
      <c r="CG36" s="207">
        <f t="shared" si="35"/>
        <v>0</v>
      </c>
      <c r="CH36" s="207">
        <v>0</v>
      </c>
      <c r="CI36" s="207">
        <f t="shared" si="36"/>
        <v>0</v>
      </c>
      <c r="CJ36" s="207">
        <f t="shared" si="37"/>
        <v>3.5</v>
      </c>
      <c r="CK36" s="208">
        <f t="shared" si="38"/>
        <v>20.5</v>
      </c>
      <c r="CL36" s="205">
        <f t="shared" si="39"/>
        <v>11.434197916666667</v>
      </c>
      <c r="CM36" s="206" t="str">
        <f t="shared" si="40"/>
        <v>(1.06)</v>
      </c>
      <c r="CN36" s="207">
        <v>2</v>
      </c>
      <c r="CO36" s="207">
        <f t="shared" si="41"/>
        <v>3.5</v>
      </c>
      <c r="CP36" s="207">
        <v>0</v>
      </c>
      <c r="CQ36" s="207">
        <f t="shared" si="42"/>
        <v>0</v>
      </c>
      <c r="CR36" s="207">
        <v>0</v>
      </c>
      <c r="CS36" s="207">
        <f t="shared" si="43"/>
        <v>0</v>
      </c>
      <c r="CT36" s="207">
        <f t="shared" si="44"/>
        <v>3.5</v>
      </c>
      <c r="CU36" s="208">
        <f t="shared" si="45"/>
        <v>26.5</v>
      </c>
      <c r="CV36" s="205">
        <f t="shared" si="46"/>
        <v>14.023072916666665</v>
      </c>
      <c r="CW36" s="206" t="str">
        <f t="shared" si="47"/>
        <v>(1.3)</v>
      </c>
      <c r="CX36" s="207">
        <v>2</v>
      </c>
      <c r="CY36" s="207">
        <f t="shared" si="48"/>
        <v>3.5</v>
      </c>
      <c r="CZ36" s="207">
        <v>0</v>
      </c>
      <c r="DA36" s="207">
        <f t="shared" si="49"/>
        <v>0</v>
      </c>
      <c r="DB36" s="207">
        <v>0</v>
      </c>
      <c r="DC36" s="207">
        <f t="shared" si="50"/>
        <v>0</v>
      </c>
      <c r="DD36" s="207">
        <f t="shared" si="51"/>
        <v>3.5</v>
      </c>
      <c r="DE36" s="208">
        <f t="shared" si="52"/>
        <v>32.5</v>
      </c>
      <c r="DF36" s="205">
        <f t="shared" si="53"/>
        <v>16.611947916666665</v>
      </c>
      <c r="DG36" s="206" t="str">
        <f t="shared" si="54"/>
        <v>(1.54)</v>
      </c>
      <c r="DH36" s="207">
        <v>2</v>
      </c>
      <c r="DI36" s="207">
        <f t="shared" si="55"/>
        <v>3.5</v>
      </c>
      <c r="DJ36" s="207">
        <v>0</v>
      </c>
      <c r="DK36" s="207">
        <f t="shared" si="56"/>
        <v>0</v>
      </c>
      <c r="DL36" s="207">
        <v>0</v>
      </c>
      <c r="DM36" s="207">
        <f t="shared" si="57"/>
        <v>0</v>
      </c>
      <c r="DN36" s="207">
        <f t="shared" si="58"/>
        <v>3.5</v>
      </c>
      <c r="DO36" s="208">
        <f t="shared" si="59"/>
        <v>38.5</v>
      </c>
      <c r="DP36" s="205">
        <f t="shared" si="60"/>
        <v>19.200822916666667</v>
      </c>
      <c r="DQ36" s="206" t="str">
        <f t="shared" si="61"/>
        <v>(1.78)</v>
      </c>
      <c r="DR36" s="207">
        <v>2</v>
      </c>
      <c r="DS36" s="207">
        <f t="shared" si="62"/>
        <v>3.5</v>
      </c>
      <c r="DT36" s="207">
        <v>0</v>
      </c>
      <c r="DU36" s="207">
        <f t="shared" si="63"/>
        <v>0</v>
      </c>
      <c r="DV36" s="207">
        <v>0</v>
      </c>
      <c r="DW36" s="207">
        <f t="shared" si="64"/>
        <v>0</v>
      </c>
      <c r="DX36" s="207">
        <f t="shared" si="65"/>
        <v>3.5</v>
      </c>
      <c r="DY36" s="208">
        <f t="shared" si="66"/>
        <v>44.5</v>
      </c>
      <c r="DZ36" s="205">
        <f t="shared" si="67"/>
        <v>21.358218749999999</v>
      </c>
      <c r="EA36" s="206" t="str">
        <f t="shared" si="68"/>
        <v>(1.98)</v>
      </c>
      <c r="EB36" s="207">
        <v>2</v>
      </c>
      <c r="EC36" s="207">
        <f t="shared" si="69"/>
        <v>3.5</v>
      </c>
      <c r="ED36" s="207">
        <v>0</v>
      </c>
      <c r="EE36" s="207">
        <f t="shared" si="70"/>
        <v>0</v>
      </c>
      <c r="EF36" s="207">
        <v>1</v>
      </c>
      <c r="EG36" s="207">
        <f t="shared" si="71"/>
        <v>1</v>
      </c>
      <c r="EH36" s="207">
        <f t="shared" si="72"/>
        <v>4.5</v>
      </c>
      <c r="EI36" s="208">
        <f t="shared" si="73"/>
        <v>49.5</v>
      </c>
      <c r="EJ36" s="205">
        <f t="shared" si="74"/>
        <v>23.947093750000001</v>
      </c>
      <c r="EK36" s="206" t="str">
        <f t="shared" si="75"/>
        <v>(2.22)</v>
      </c>
      <c r="EL36" s="207">
        <v>2</v>
      </c>
      <c r="EM36" s="207">
        <f t="shared" si="76"/>
        <v>3.5</v>
      </c>
      <c r="EN36" s="207">
        <v>0</v>
      </c>
      <c r="EO36" s="207">
        <f t="shared" si="77"/>
        <v>0</v>
      </c>
      <c r="EP36" s="207">
        <v>1</v>
      </c>
      <c r="EQ36" s="207">
        <f t="shared" si="78"/>
        <v>1</v>
      </c>
      <c r="ER36" s="207">
        <f t="shared" si="79"/>
        <v>4.5</v>
      </c>
      <c r="ES36" s="208">
        <f t="shared" si="80"/>
        <v>55.5</v>
      </c>
      <c r="ET36" s="205">
        <f t="shared" si="81"/>
        <v>26.535968749999999</v>
      </c>
      <c r="EU36" s="206" t="str">
        <f t="shared" si="82"/>
        <v>(2.47)</v>
      </c>
      <c r="EV36" s="207">
        <v>2</v>
      </c>
      <c r="EW36" s="207">
        <f t="shared" si="83"/>
        <v>3.5</v>
      </c>
      <c r="EX36" s="207">
        <v>0</v>
      </c>
      <c r="EY36" s="207">
        <f t="shared" si="84"/>
        <v>0</v>
      </c>
      <c r="EZ36" s="207">
        <v>1</v>
      </c>
      <c r="FA36" s="207">
        <f t="shared" si="85"/>
        <v>1</v>
      </c>
      <c r="FB36" s="207">
        <f t="shared" si="86"/>
        <v>4.5</v>
      </c>
      <c r="FC36" s="208">
        <f t="shared" si="87"/>
        <v>61.5</v>
      </c>
      <c r="FD36" s="205">
        <f t="shared" si="88"/>
        <v>29.556322916666666</v>
      </c>
      <c r="FE36" s="206" t="str">
        <f t="shared" si="89"/>
        <v>(2.75)</v>
      </c>
      <c r="FF36" s="207">
        <v>2</v>
      </c>
      <c r="FG36" s="207">
        <f t="shared" si="90"/>
        <v>3.5</v>
      </c>
      <c r="FH36" s="469">
        <v>0</v>
      </c>
      <c r="FI36" s="207">
        <f t="shared" si="91"/>
        <v>0</v>
      </c>
      <c r="FJ36" s="207">
        <v>0</v>
      </c>
      <c r="FK36" s="207">
        <f t="shared" si="92"/>
        <v>0</v>
      </c>
      <c r="FL36" s="207">
        <f t="shared" si="93"/>
        <v>3.5</v>
      </c>
      <c r="FM36" s="208">
        <f t="shared" si="94"/>
        <v>68.5</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24">
        <v>20</v>
      </c>
      <c r="IR36" s="25">
        <v>3.1160000000000001</v>
      </c>
      <c r="IS36" s="25">
        <v>3.0659999999999998</v>
      </c>
      <c r="IT36" s="25">
        <v>0.76300000000000001</v>
      </c>
      <c r="IU36" s="25">
        <v>1.75</v>
      </c>
      <c r="IV36" s="25">
        <v>1</v>
      </c>
      <c r="IW36" s="25">
        <v>1.125</v>
      </c>
      <c r="IX36" s="7"/>
    </row>
    <row r="37" spans="2:258" ht="15.75" thickBot="1" x14ac:dyDescent="0.3">
      <c r="B37" s="79">
        <f t="shared" si="9"/>
        <v>120</v>
      </c>
      <c r="C37" s="149">
        <v>21</v>
      </c>
      <c r="D37" s="487"/>
      <c r="E37" s="488"/>
      <c r="F37" s="488"/>
      <c r="G37" s="488"/>
      <c r="H37" s="488"/>
      <c r="I37" s="488"/>
      <c r="J37" s="488"/>
      <c r="K37" s="488"/>
      <c r="L37" s="488"/>
      <c r="M37" s="488"/>
      <c r="N37" s="488"/>
      <c r="O37" s="488"/>
      <c r="P37" s="488"/>
      <c r="Q37" s="488"/>
      <c r="R37" s="488"/>
      <c r="S37" s="488"/>
      <c r="T37" s="488"/>
      <c r="U37" s="488"/>
      <c r="V37" s="488"/>
      <c r="W37" s="488"/>
      <c r="X37" s="76"/>
      <c r="Y37" s="46"/>
      <c r="AT37" s="3"/>
      <c r="AU37" s="26">
        <f t="shared" si="151"/>
        <v>102</v>
      </c>
      <c r="AV37" s="27" t="str">
        <f t="shared" si="10"/>
        <v>(2600)</v>
      </c>
      <c r="AW37" s="18"/>
      <c r="AX37" s="19">
        <f t="shared" si="11"/>
        <v>2.5431770833333331</v>
      </c>
      <c r="AY37" s="20" t="str">
        <f t="shared" si="12"/>
        <v>(0.24)</v>
      </c>
      <c r="AZ37" s="21">
        <v>2</v>
      </c>
      <c r="BA37" s="21">
        <f t="shared" si="13"/>
        <v>3.5</v>
      </c>
      <c r="BB37" s="21">
        <v>0</v>
      </c>
      <c r="BC37" s="21">
        <f t="shared" si="14"/>
        <v>0</v>
      </c>
      <c r="BD37" s="21">
        <v>0</v>
      </c>
      <c r="BE37" s="21">
        <f t="shared" si="15"/>
        <v>0</v>
      </c>
      <c r="BF37" s="21">
        <f t="shared" si="16"/>
        <v>3.5</v>
      </c>
      <c r="BG37" s="22">
        <f t="shared" si="17"/>
        <v>5.5</v>
      </c>
      <c r="BH37" s="205">
        <f t="shared" si="18"/>
        <v>3.9303645833333332</v>
      </c>
      <c r="BI37" s="206" t="str">
        <f t="shared" si="19"/>
        <v>(0.37)</v>
      </c>
      <c r="BJ37" s="207">
        <v>2</v>
      </c>
      <c r="BK37" s="207">
        <f t="shared" si="20"/>
        <v>3.5</v>
      </c>
      <c r="BL37" s="207">
        <v>0</v>
      </c>
      <c r="BM37" s="207">
        <f t="shared" si="21"/>
        <v>0</v>
      </c>
      <c r="BN37" s="207">
        <v>0</v>
      </c>
      <c r="BO37" s="207">
        <f t="shared" si="22"/>
        <v>0</v>
      </c>
      <c r="BP37" s="207">
        <f t="shared" si="23"/>
        <v>3.5</v>
      </c>
      <c r="BQ37" s="208">
        <f t="shared" si="24"/>
        <v>8.5</v>
      </c>
      <c r="BR37" s="205">
        <f t="shared" si="25"/>
        <v>6.7047395833333328</v>
      </c>
      <c r="BS37" s="206" t="str">
        <f t="shared" si="26"/>
        <v>(0.62)</v>
      </c>
      <c r="BT37" s="207">
        <v>2</v>
      </c>
      <c r="BU37" s="207">
        <f t="shared" si="27"/>
        <v>3.5</v>
      </c>
      <c r="BV37" s="207">
        <v>0</v>
      </c>
      <c r="BW37" s="207">
        <f t="shared" si="28"/>
        <v>0</v>
      </c>
      <c r="BX37" s="207">
        <v>0</v>
      </c>
      <c r="BY37" s="207">
        <f t="shared" si="29"/>
        <v>0</v>
      </c>
      <c r="BZ37" s="207">
        <f t="shared" si="30"/>
        <v>3.5</v>
      </c>
      <c r="CA37" s="208">
        <f t="shared" si="31"/>
        <v>14.5</v>
      </c>
      <c r="CB37" s="205">
        <f t="shared" si="32"/>
        <v>9.4791145833333328</v>
      </c>
      <c r="CC37" s="206" t="str">
        <f t="shared" si="33"/>
        <v>(0.88)</v>
      </c>
      <c r="CD37" s="207">
        <v>2</v>
      </c>
      <c r="CE37" s="207">
        <f t="shared" si="34"/>
        <v>3.5</v>
      </c>
      <c r="CF37" s="207">
        <v>0</v>
      </c>
      <c r="CG37" s="207">
        <f t="shared" si="35"/>
        <v>0</v>
      </c>
      <c r="CH37" s="207">
        <v>0</v>
      </c>
      <c r="CI37" s="207">
        <f t="shared" si="36"/>
        <v>0</v>
      </c>
      <c r="CJ37" s="207">
        <f t="shared" si="37"/>
        <v>3.5</v>
      </c>
      <c r="CK37" s="208">
        <f t="shared" si="38"/>
        <v>20.5</v>
      </c>
      <c r="CL37" s="205">
        <f t="shared" si="39"/>
        <v>12.253489583333332</v>
      </c>
      <c r="CM37" s="206" t="str">
        <f t="shared" si="40"/>
        <v>(1.14)</v>
      </c>
      <c r="CN37" s="207">
        <v>2</v>
      </c>
      <c r="CO37" s="207">
        <f t="shared" si="41"/>
        <v>3.5</v>
      </c>
      <c r="CP37" s="207">
        <v>0</v>
      </c>
      <c r="CQ37" s="207">
        <f t="shared" si="42"/>
        <v>0</v>
      </c>
      <c r="CR37" s="207">
        <v>0</v>
      </c>
      <c r="CS37" s="207">
        <f t="shared" si="43"/>
        <v>0</v>
      </c>
      <c r="CT37" s="207">
        <f t="shared" si="44"/>
        <v>3.5</v>
      </c>
      <c r="CU37" s="208">
        <f t="shared" si="45"/>
        <v>26.5</v>
      </c>
      <c r="CV37" s="205">
        <f t="shared" si="46"/>
        <v>15.027864583333333</v>
      </c>
      <c r="CW37" s="206" t="str">
        <f t="shared" si="47"/>
        <v>(1.4)</v>
      </c>
      <c r="CX37" s="207">
        <v>2</v>
      </c>
      <c r="CY37" s="207">
        <f t="shared" si="48"/>
        <v>3.5</v>
      </c>
      <c r="CZ37" s="207">
        <v>0</v>
      </c>
      <c r="DA37" s="207">
        <f t="shared" si="49"/>
        <v>0</v>
      </c>
      <c r="DB37" s="207">
        <v>0</v>
      </c>
      <c r="DC37" s="207">
        <f t="shared" si="50"/>
        <v>0</v>
      </c>
      <c r="DD37" s="207">
        <f t="shared" si="51"/>
        <v>3.5</v>
      </c>
      <c r="DE37" s="208">
        <f t="shared" si="52"/>
        <v>32.5</v>
      </c>
      <c r="DF37" s="205">
        <f t="shared" si="53"/>
        <v>17.802239583333332</v>
      </c>
      <c r="DG37" s="206" t="str">
        <f t="shared" si="54"/>
        <v>(1.65)</v>
      </c>
      <c r="DH37" s="207">
        <v>2</v>
      </c>
      <c r="DI37" s="207">
        <f t="shared" si="55"/>
        <v>3.5</v>
      </c>
      <c r="DJ37" s="207">
        <v>0</v>
      </c>
      <c r="DK37" s="207">
        <f t="shared" si="56"/>
        <v>0</v>
      </c>
      <c r="DL37" s="207">
        <v>0</v>
      </c>
      <c r="DM37" s="207">
        <f t="shared" si="57"/>
        <v>0</v>
      </c>
      <c r="DN37" s="207">
        <f t="shared" si="58"/>
        <v>3.5</v>
      </c>
      <c r="DO37" s="208">
        <f t="shared" si="59"/>
        <v>38.5</v>
      </c>
      <c r="DP37" s="205">
        <f t="shared" si="60"/>
        <v>20.576614583333331</v>
      </c>
      <c r="DQ37" s="206" t="str">
        <f t="shared" si="61"/>
        <v>(1.91)</v>
      </c>
      <c r="DR37" s="207">
        <v>2</v>
      </c>
      <c r="DS37" s="207">
        <f t="shared" si="62"/>
        <v>3.5</v>
      </c>
      <c r="DT37" s="207">
        <v>0</v>
      </c>
      <c r="DU37" s="207">
        <f t="shared" si="63"/>
        <v>0</v>
      </c>
      <c r="DV37" s="207">
        <v>0</v>
      </c>
      <c r="DW37" s="207">
        <f t="shared" si="64"/>
        <v>0</v>
      </c>
      <c r="DX37" s="207">
        <f t="shared" si="65"/>
        <v>3.5</v>
      </c>
      <c r="DY37" s="208">
        <f t="shared" si="66"/>
        <v>44.5</v>
      </c>
      <c r="DZ37" s="205">
        <f t="shared" si="67"/>
        <v>22.888593749999998</v>
      </c>
      <c r="EA37" s="206" t="str">
        <f t="shared" si="68"/>
        <v>(2.13)</v>
      </c>
      <c r="EB37" s="207">
        <v>2</v>
      </c>
      <c r="EC37" s="207">
        <f t="shared" si="69"/>
        <v>3.5</v>
      </c>
      <c r="ED37" s="207">
        <v>0</v>
      </c>
      <c r="EE37" s="207">
        <f t="shared" si="70"/>
        <v>0</v>
      </c>
      <c r="EF37" s="207">
        <v>1</v>
      </c>
      <c r="EG37" s="207">
        <f t="shared" si="71"/>
        <v>1</v>
      </c>
      <c r="EH37" s="207">
        <f t="shared" si="72"/>
        <v>4.5</v>
      </c>
      <c r="EI37" s="208">
        <f t="shared" si="73"/>
        <v>49.5</v>
      </c>
      <c r="EJ37" s="205">
        <f t="shared" si="74"/>
        <v>25.662968749999997</v>
      </c>
      <c r="EK37" s="206" t="str">
        <f t="shared" si="75"/>
        <v>(2.38)</v>
      </c>
      <c r="EL37" s="207">
        <v>2</v>
      </c>
      <c r="EM37" s="207">
        <f t="shared" si="76"/>
        <v>3.5</v>
      </c>
      <c r="EN37" s="207">
        <v>0</v>
      </c>
      <c r="EO37" s="207">
        <f t="shared" si="77"/>
        <v>0</v>
      </c>
      <c r="EP37" s="207">
        <v>1</v>
      </c>
      <c r="EQ37" s="207">
        <f t="shared" si="78"/>
        <v>1</v>
      </c>
      <c r="ER37" s="207">
        <f t="shared" si="79"/>
        <v>4.5</v>
      </c>
      <c r="ES37" s="208">
        <f t="shared" si="80"/>
        <v>55.5</v>
      </c>
      <c r="ET37" s="205">
        <f t="shared" si="81"/>
        <v>28.437343749999997</v>
      </c>
      <c r="EU37" s="206" t="str">
        <f t="shared" si="82"/>
        <v>(2.64)</v>
      </c>
      <c r="EV37" s="207">
        <v>2</v>
      </c>
      <c r="EW37" s="207">
        <f t="shared" si="83"/>
        <v>3.5</v>
      </c>
      <c r="EX37" s="207">
        <v>0</v>
      </c>
      <c r="EY37" s="207">
        <f t="shared" si="84"/>
        <v>0</v>
      </c>
      <c r="EZ37" s="207">
        <v>1</v>
      </c>
      <c r="FA37" s="207">
        <f t="shared" si="85"/>
        <v>1</v>
      </c>
      <c r="FB37" s="207">
        <f t="shared" si="86"/>
        <v>4.5</v>
      </c>
      <c r="FC37" s="208">
        <f t="shared" si="87"/>
        <v>61.5</v>
      </c>
      <c r="FD37" s="205">
        <f t="shared" si="88"/>
        <v>31.674114583333328</v>
      </c>
      <c r="FE37" s="206" t="str">
        <f t="shared" si="89"/>
        <v>(2.94)</v>
      </c>
      <c r="FF37" s="207">
        <v>2</v>
      </c>
      <c r="FG37" s="207">
        <f t="shared" si="90"/>
        <v>3.5</v>
      </c>
      <c r="FH37" s="469">
        <v>0</v>
      </c>
      <c r="FI37" s="207">
        <f t="shared" si="91"/>
        <v>0</v>
      </c>
      <c r="FJ37" s="207">
        <v>0</v>
      </c>
      <c r="FK37" s="207">
        <f t="shared" si="92"/>
        <v>0</v>
      </c>
      <c r="FL37" s="207">
        <f t="shared" si="93"/>
        <v>3.5</v>
      </c>
      <c r="FM37" s="208">
        <f t="shared" si="94"/>
        <v>68.5</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24">
        <v>21</v>
      </c>
      <c r="IR37" s="25">
        <v>3.1160000000000001</v>
      </c>
      <c r="IS37" s="25">
        <v>3.0659999999999998</v>
      </c>
      <c r="IT37" s="25">
        <v>2.149</v>
      </c>
      <c r="IU37" s="25">
        <v>1.75</v>
      </c>
      <c r="IV37" s="25">
        <v>1</v>
      </c>
      <c r="IW37" s="25">
        <v>1.125</v>
      </c>
      <c r="IX37" s="7"/>
    </row>
    <row r="38" spans="2:258" ht="15.75" thickBot="1" x14ac:dyDescent="0.3">
      <c r="B38" s="47"/>
      <c r="C38" s="76"/>
      <c r="D38" s="76"/>
      <c r="E38" s="76"/>
      <c r="F38" s="76"/>
      <c r="G38" s="76"/>
      <c r="H38" s="76"/>
      <c r="I38" s="76"/>
      <c r="J38" s="76"/>
      <c r="K38" s="76"/>
      <c r="L38" s="76"/>
      <c r="M38" s="76"/>
      <c r="N38" s="76"/>
      <c r="O38" s="76"/>
      <c r="P38" s="76"/>
      <c r="Q38" s="76"/>
      <c r="R38" s="76"/>
      <c r="S38" s="76"/>
      <c r="T38" s="76"/>
      <c r="U38" s="76"/>
      <c r="V38" s="76"/>
      <c r="W38" s="76"/>
      <c r="X38" s="76"/>
      <c r="Y38" s="46"/>
      <c r="AT38" s="3"/>
      <c r="AU38" s="26">
        <f t="shared" si="151"/>
        <v>108</v>
      </c>
      <c r="AV38" s="27" t="str">
        <f t="shared" si="10"/>
        <v>(2750)</v>
      </c>
      <c r="AW38" s="18"/>
      <c r="AX38" s="19">
        <f t="shared" si="11"/>
        <v>2.6755590277777781</v>
      </c>
      <c r="AY38" s="20" t="str">
        <f t="shared" si="12"/>
        <v>(0.25)</v>
      </c>
      <c r="AZ38" s="21">
        <v>2</v>
      </c>
      <c r="BA38" s="21">
        <f t="shared" si="13"/>
        <v>3.5</v>
      </c>
      <c r="BB38" s="21">
        <v>0</v>
      </c>
      <c r="BC38" s="21">
        <f t="shared" si="14"/>
        <v>0</v>
      </c>
      <c r="BD38" s="21">
        <v>0</v>
      </c>
      <c r="BE38" s="21">
        <f t="shared" si="15"/>
        <v>0</v>
      </c>
      <c r="BF38" s="21">
        <f t="shared" si="16"/>
        <v>3.5</v>
      </c>
      <c r="BG38" s="22">
        <f t="shared" si="17"/>
        <v>5.5</v>
      </c>
      <c r="BH38" s="205">
        <f t="shared" si="18"/>
        <v>4.1349548611111109</v>
      </c>
      <c r="BI38" s="206" t="str">
        <f t="shared" si="19"/>
        <v>(0.38)</v>
      </c>
      <c r="BJ38" s="207">
        <v>2</v>
      </c>
      <c r="BK38" s="207">
        <f t="shared" si="20"/>
        <v>3.5</v>
      </c>
      <c r="BL38" s="207">
        <v>0</v>
      </c>
      <c r="BM38" s="207">
        <f t="shared" si="21"/>
        <v>0</v>
      </c>
      <c r="BN38" s="207">
        <v>0</v>
      </c>
      <c r="BO38" s="207">
        <f t="shared" si="22"/>
        <v>0</v>
      </c>
      <c r="BP38" s="207">
        <f t="shared" si="23"/>
        <v>3.5</v>
      </c>
      <c r="BQ38" s="208">
        <f t="shared" si="24"/>
        <v>8.5</v>
      </c>
      <c r="BR38" s="205">
        <f t="shared" si="25"/>
        <v>7.0537465277777782</v>
      </c>
      <c r="BS38" s="206" t="str">
        <f t="shared" si="26"/>
        <v>(0.66)</v>
      </c>
      <c r="BT38" s="207">
        <v>2</v>
      </c>
      <c r="BU38" s="207">
        <f t="shared" si="27"/>
        <v>3.5</v>
      </c>
      <c r="BV38" s="207">
        <v>0</v>
      </c>
      <c r="BW38" s="207">
        <f t="shared" si="28"/>
        <v>0</v>
      </c>
      <c r="BX38" s="207">
        <v>0</v>
      </c>
      <c r="BY38" s="207">
        <f t="shared" si="29"/>
        <v>0</v>
      </c>
      <c r="BZ38" s="207">
        <f t="shared" si="30"/>
        <v>3.5</v>
      </c>
      <c r="CA38" s="208">
        <f t="shared" si="31"/>
        <v>14.5</v>
      </c>
      <c r="CB38" s="205">
        <f t="shared" si="32"/>
        <v>9.9725381944444447</v>
      </c>
      <c r="CC38" s="206" t="str">
        <f t="shared" si="33"/>
        <v>(0.93)</v>
      </c>
      <c r="CD38" s="207">
        <v>2</v>
      </c>
      <c r="CE38" s="207">
        <f t="shared" si="34"/>
        <v>3.5</v>
      </c>
      <c r="CF38" s="207">
        <v>0</v>
      </c>
      <c r="CG38" s="207">
        <f t="shared" si="35"/>
        <v>0</v>
      </c>
      <c r="CH38" s="207">
        <v>0</v>
      </c>
      <c r="CI38" s="207">
        <f t="shared" si="36"/>
        <v>0</v>
      </c>
      <c r="CJ38" s="207">
        <f t="shared" si="37"/>
        <v>3.5</v>
      </c>
      <c r="CK38" s="208">
        <f t="shared" si="38"/>
        <v>20.5</v>
      </c>
      <c r="CL38" s="205">
        <f t="shared" si="39"/>
        <v>12.89132986111111</v>
      </c>
      <c r="CM38" s="206" t="str">
        <f t="shared" si="40"/>
        <v>(1.2)</v>
      </c>
      <c r="CN38" s="207">
        <v>2</v>
      </c>
      <c r="CO38" s="207">
        <f t="shared" si="41"/>
        <v>3.5</v>
      </c>
      <c r="CP38" s="207">
        <v>0</v>
      </c>
      <c r="CQ38" s="207">
        <f t="shared" si="42"/>
        <v>0</v>
      </c>
      <c r="CR38" s="207">
        <v>0</v>
      </c>
      <c r="CS38" s="207">
        <f t="shared" si="43"/>
        <v>0</v>
      </c>
      <c r="CT38" s="207">
        <f t="shared" si="44"/>
        <v>3.5</v>
      </c>
      <c r="CU38" s="208">
        <f t="shared" si="45"/>
        <v>26.5</v>
      </c>
      <c r="CV38" s="205">
        <f t="shared" si="46"/>
        <v>15.810121527777779</v>
      </c>
      <c r="CW38" s="206" t="str">
        <f t="shared" si="47"/>
        <v>(1.47)</v>
      </c>
      <c r="CX38" s="207">
        <v>2</v>
      </c>
      <c r="CY38" s="207">
        <f t="shared" si="48"/>
        <v>3.5</v>
      </c>
      <c r="CZ38" s="207">
        <v>0</v>
      </c>
      <c r="DA38" s="207">
        <f t="shared" si="49"/>
        <v>0</v>
      </c>
      <c r="DB38" s="207">
        <v>0</v>
      </c>
      <c r="DC38" s="207">
        <f t="shared" si="50"/>
        <v>0</v>
      </c>
      <c r="DD38" s="207">
        <f t="shared" si="51"/>
        <v>3.5</v>
      </c>
      <c r="DE38" s="208">
        <f t="shared" si="52"/>
        <v>32.5</v>
      </c>
      <c r="DF38" s="205">
        <f t="shared" si="53"/>
        <v>18.728913194444445</v>
      </c>
      <c r="DG38" s="206" t="str">
        <f t="shared" si="54"/>
        <v>(1.74)</v>
      </c>
      <c r="DH38" s="207">
        <v>2</v>
      </c>
      <c r="DI38" s="207">
        <f t="shared" si="55"/>
        <v>3.5</v>
      </c>
      <c r="DJ38" s="207">
        <v>0</v>
      </c>
      <c r="DK38" s="207">
        <f t="shared" si="56"/>
        <v>0</v>
      </c>
      <c r="DL38" s="207">
        <v>0</v>
      </c>
      <c r="DM38" s="207">
        <f t="shared" si="57"/>
        <v>0</v>
      </c>
      <c r="DN38" s="207">
        <f t="shared" si="58"/>
        <v>3.5</v>
      </c>
      <c r="DO38" s="208">
        <f t="shared" si="59"/>
        <v>38.5</v>
      </c>
      <c r="DP38" s="205">
        <f t="shared" si="60"/>
        <v>21.647704861111109</v>
      </c>
      <c r="DQ38" s="206" t="str">
        <f t="shared" si="61"/>
        <v>(2.01)</v>
      </c>
      <c r="DR38" s="207">
        <v>2</v>
      </c>
      <c r="DS38" s="207">
        <f t="shared" si="62"/>
        <v>3.5</v>
      </c>
      <c r="DT38" s="207">
        <v>0</v>
      </c>
      <c r="DU38" s="207">
        <f t="shared" si="63"/>
        <v>0</v>
      </c>
      <c r="DV38" s="207">
        <v>0</v>
      </c>
      <c r="DW38" s="207">
        <f t="shared" si="64"/>
        <v>0</v>
      </c>
      <c r="DX38" s="207">
        <f t="shared" si="65"/>
        <v>3.5</v>
      </c>
      <c r="DY38" s="208">
        <f t="shared" si="66"/>
        <v>44.5</v>
      </c>
      <c r="DZ38" s="205">
        <f t="shared" si="67"/>
        <v>24.080031250000001</v>
      </c>
      <c r="EA38" s="206" t="str">
        <f t="shared" si="68"/>
        <v>(2.24)</v>
      </c>
      <c r="EB38" s="207">
        <v>2</v>
      </c>
      <c r="EC38" s="207">
        <f t="shared" si="69"/>
        <v>3.5</v>
      </c>
      <c r="ED38" s="207">
        <v>0</v>
      </c>
      <c r="EE38" s="207">
        <f t="shared" si="70"/>
        <v>0</v>
      </c>
      <c r="EF38" s="207">
        <v>1</v>
      </c>
      <c r="EG38" s="207">
        <f t="shared" si="71"/>
        <v>1</v>
      </c>
      <c r="EH38" s="207">
        <f t="shared" si="72"/>
        <v>4.5</v>
      </c>
      <c r="EI38" s="208">
        <f t="shared" si="73"/>
        <v>49.5</v>
      </c>
      <c r="EJ38" s="205">
        <f t="shared" si="74"/>
        <v>26.998822916666668</v>
      </c>
      <c r="EK38" s="206" t="str">
        <f t="shared" si="75"/>
        <v>(2.51)</v>
      </c>
      <c r="EL38" s="207">
        <v>2</v>
      </c>
      <c r="EM38" s="207">
        <f t="shared" si="76"/>
        <v>3.5</v>
      </c>
      <c r="EN38" s="207">
        <v>0</v>
      </c>
      <c r="EO38" s="207">
        <f t="shared" si="77"/>
        <v>0</v>
      </c>
      <c r="EP38" s="207">
        <v>1</v>
      </c>
      <c r="EQ38" s="207">
        <f t="shared" si="78"/>
        <v>1</v>
      </c>
      <c r="ER38" s="207">
        <f t="shared" si="79"/>
        <v>4.5</v>
      </c>
      <c r="ES38" s="208">
        <f t="shared" si="80"/>
        <v>55.5</v>
      </c>
      <c r="ET38" s="205">
        <f t="shared" si="81"/>
        <v>29.917614583333336</v>
      </c>
      <c r="EU38" s="206" t="str">
        <f t="shared" si="82"/>
        <v>(2.78)</v>
      </c>
      <c r="EV38" s="207">
        <v>2</v>
      </c>
      <c r="EW38" s="207">
        <f t="shared" si="83"/>
        <v>3.5</v>
      </c>
      <c r="EX38" s="207">
        <v>0</v>
      </c>
      <c r="EY38" s="207">
        <f t="shared" si="84"/>
        <v>0</v>
      </c>
      <c r="EZ38" s="207">
        <v>1</v>
      </c>
      <c r="FA38" s="207">
        <f t="shared" si="85"/>
        <v>1</v>
      </c>
      <c r="FB38" s="207">
        <f t="shared" si="86"/>
        <v>4.5</v>
      </c>
      <c r="FC38" s="208">
        <f t="shared" si="87"/>
        <v>61.5</v>
      </c>
      <c r="FD38" s="205">
        <f t="shared" si="88"/>
        <v>33.322871527777778</v>
      </c>
      <c r="FE38" s="206" t="str">
        <f t="shared" si="89"/>
        <v>(3.10)</v>
      </c>
      <c r="FF38" s="207">
        <v>2</v>
      </c>
      <c r="FG38" s="207">
        <f t="shared" si="90"/>
        <v>3.5</v>
      </c>
      <c r="FH38" s="469">
        <v>0</v>
      </c>
      <c r="FI38" s="207">
        <f t="shared" si="91"/>
        <v>0</v>
      </c>
      <c r="FJ38" s="207">
        <v>0</v>
      </c>
      <c r="FK38" s="207">
        <f t="shared" si="92"/>
        <v>0</v>
      </c>
      <c r="FL38" s="207">
        <f t="shared" si="93"/>
        <v>3.5</v>
      </c>
      <c r="FM38" s="208">
        <f t="shared" si="94"/>
        <v>68.5</v>
      </c>
      <c r="FN38" s="30"/>
      <c r="FO38" s="30"/>
      <c r="FP38" s="31"/>
      <c r="FQ38" s="31"/>
      <c r="FR38" s="31"/>
      <c r="FS38" s="31"/>
      <c r="FT38" s="31"/>
      <c r="FU38" s="31"/>
      <c r="FV38" s="30"/>
      <c r="FW38" s="30"/>
      <c r="FX38" s="30"/>
      <c r="FY38" s="30"/>
      <c r="FZ38" s="30"/>
      <c r="GA38" s="30"/>
      <c r="GB38" s="30"/>
      <c r="GC38" s="30"/>
      <c r="GD38" s="30"/>
      <c r="GE38" s="30"/>
      <c r="GF38" s="30"/>
      <c r="GG38" s="30"/>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24">
        <v>22</v>
      </c>
      <c r="IR38" s="25">
        <v>3.1160000000000001</v>
      </c>
      <c r="IS38" s="25">
        <v>3.0659999999999998</v>
      </c>
      <c r="IT38" s="25">
        <v>2.5489999999999999</v>
      </c>
      <c r="IU38" s="25">
        <v>1.75</v>
      </c>
      <c r="IV38" s="25">
        <v>1</v>
      </c>
      <c r="IW38" s="25">
        <v>1.125</v>
      </c>
      <c r="IX38" s="7"/>
    </row>
    <row r="39" spans="2:258"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3"/>
      <c r="AU39" s="26">
        <f t="shared" si="151"/>
        <v>114</v>
      </c>
      <c r="AV39" s="27" t="str">
        <f t="shared" si="10"/>
        <v>(2900)</v>
      </c>
      <c r="AW39" s="18"/>
      <c r="AX39" s="19">
        <f t="shared" si="11"/>
        <v>2.8415520833333336</v>
      </c>
      <c r="AY39" s="20" t="str">
        <f t="shared" si="12"/>
        <v>(0.26)</v>
      </c>
      <c r="AZ39" s="21">
        <v>2</v>
      </c>
      <c r="BA39" s="21">
        <f t="shared" si="13"/>
        <v>3.5</v>
      </c>
      <c r="BB39" s="21">
        <v>0</v>
      </c>
      <c r="BC39" s="21">
        <f t="shared" si="14"/>
        <v>0</v>
      </c>
      <c r="BD39" s="21">
        <v>0</v>
      </c>
      <c r="BE39" s="21">
        <f t="shared" si="15"/>
        <v>0</v>
      </c>
      <c r="BF39" s="21">
        <f t="shared" si="16"/>
        <v>3.5</v>
      </c>
      <c r="BG39" s="22">
        <f t="shared" si="17"/>
        <v>5.5</v>
      </c>
      <c r="BH39" s="205">
        <f t="shared" si="18"/>
        <v>4.3914895833333336</v>
      </c>
      <c r="BI39" s="206" t="str">
        <f t="shared" si="19"/>
        <v>(0.41)</v>
      </c>
      <c r="BJ39" s="207">
        <v>2</v>
      </c>
      <c r="BK39" s="207">
        <f t="shared" si="20"/>
        <v>3.5</v>
      </c>
      <c r="BL39" s="207">
        <v>0</v>
      </c>
      <c r="BM39" s="207">
        <f t="shared" si="21"/>
        <v>0</v>
      </c>
      <c r="BN39" s="207">
        <v>0</v>
      </c>
      <c r="BO39" s="207">
        <f t="shared" si="22"/>
        <v>0</v>
      </c>
      <c r="BP39" s="207">
        <f t="shared" si="23"/>
        <v>3.5</v>
      </c>
      <c r="BQ39" s="208">
        <f t="shared" si="24"/>
        <v>8.5</v>
      </c>
      <c r="BR39" s="205">
        <f t="shared" si="25"/>
        <v>7.4913645833333344</v>
      </c>
      <c r="BS39" s="206" t="str">
        <f t="shared" si="26"/>
        <v>(0.7)</v>
      </c>
      <c r="BT39" s="207">
        <v>2</v>
      </c>
      <c r="BU39" s="207">
        <f t="shared" si="27"/>
        <v>3.5</v>
      </c>
      <c r="BV39" s="207">
        <v>0</v>
      </c>
      <c r="BW39" s="207">
        <f t="shared" si="28"/>
        <v>0</v>
      </c>
      <c r="BX39" s="207">
        <v>0</v>
      </c>
      <c r="BY39" s="207">
        <f t="shared" si="29"/>
        <v>0</v>
      </c>
      <c r="BZ39" s="207">
        <f t="shared" si="30"/>
        <v>3.5</v>
      </c>
      <c r="CA39" s="208">
        <f t="shared" si="31"/>
        <v>14.5</v>
      </c>
      <c r="CB39" s="205">
        <f t="shared" si="32"/>
        <v>10.591239583333333</v>
      </c>
      <c r="CC39" s="206" t="str">
        <f t="shared" si="33"/>
        <v>(0.98)</v>
      </c>
      <c r="CD39" s="207">
        <v>2</v>
      </c>
      <c r="CE39" s="207">
        <f t="shared" si="34"/>
        <v>3.5</v>
      </c>
      <c r="CF39" s="207">
        <v>0</v>
      </c>
      <c r="CG39" s="207">
        <f t="shared" si="35"/>
        <v>0</v>
      </c>
      <c r="CH39" s="207">
        <v>0</v>
      </c>
      <c r="CI39" s="207">
        <f t="shared" si="36"/>
        <v>0</v>
      </c>
      <c r="CJ39" s="207">
        <f t="shared" si="37"/>
        <v>3.5</v>
      </c>
      <c r="CK39" s="208">
        <f t="shared" si="38"/>
        <v>20.5</v>
      </c>
      <c r="CL39" s="205">
        <f t="shared" si="39"/>
        <v>13.691114583333334</v>
      </c>
      <c r="CM39" s="206" t="str">
        <f t="shared" si="40"/>
        <v>(1.27)</v>
      </c>
      <c r="CN39" s="207">
        <v>2</v>
      </c>
      <c r="CO39" s="207">
        <f t="shared" si="41"/>
        <v>3.5</v>
      </c>
      <c r="CP39" s="207">
        <v>0</v>
      </c>
      <c r="CQ39" s="207">
        <f t="shared" si="42"/>
        <v>0</v>
      </c>
      <c r="CR39" s="207">
        <v>0</v>
      </c>
      <c r="CS39" s="207">
        <f t="shared" si="43"/>
        <v>0</v>
      </c>
      <c r="CT39" s="207">
        <f t="shared" si="44"/>
        <v>3.5</v>
      </c>
      <c r="CU39" s="208">
        <f t="shared" si="45"/>
        <v>26.5</v>
      </c>
      <c r="CV39" s="205">
        <f t="shared" si="46"/>
        <v>16.790989583333335</v>
      </c>
      <c r="CW39" s="206" t="str">
        <f t="shared" si="47"/>
        <v>(1.56)</v>
      </c>
      <c r="CX39" s="207">
        <v>2</v>
      </c>
      <c r="CY39" s="207">
        <f t="shared" si="48"/>
        <v>3.5</v>
      </c>
      <c r="CZ39" s="207">
        <v>0</v>
      </c>
      <c r="DA39" s="207">
        <f t="shared" si="49"/>
        <v>0</v>
      </c>
      <c r="DB39" s="207">
        <v>0</v>
      </c>
      <c r="DC39" s="207">
        <f t="shared" si="50"/>
        <v>0</v>
      </c>
      <c r="DD39" s="207">
        <f t="shared" si="51"/>
        <v>3.5</v>
      </c>
      <c r="DE39" s="208">
        <f t="shared" si="52"/>
        <v>32.5</v>
      </c>
      <c r="DF39" s="205">
        <f t="shared" si="53"/>
        <v>19.890864583333336</v>
      </c>
      <c r="DG39" s="206" t="str">
        <f t="shared" si="54"/>
        <v>(1.85)</v>
      </c>
      <c r="DH39" s="207">
        <v>2</v>
      </c>
      <c r="DI39" s="207">
        <f t="shared" si="55"/>
        <v>3.5</v>
      </c>
      <c r="DJ39" s="207">
        <v>0</v>
      </c>
      <c r="DK39" s="207">
        <f t="shared" si="56"/>
        <v>0</v>
      </c>
      <c r="DL39" s="207">
        <v>0</v>
      </c>
      <c r="DM39" s="207">
        <f t="shared" si="57"/>
        <v>0</v>
      </c>
      <c r="DN39" s="207">
        <f t="shared" si="58"/>
        <v>3.5</v>
      </c>
      <c r="DO39" s="208">
        <f t="shared" si="59"/>
        <v>38.5</v>
      </c>
      <c r="DP39" s="205">
        <f t="shared" si="60"/>
        <v>22.990739583333337</v>
      </c>
      <c r="DQ39" s="206" t="str">
        <f t="shared" si="61"/>
        <v>(2.14)</v>
      </c>
      <c r="DR39" s="207">
        <v>2</v>
      </c>
      <c r="DS39" s="207">
        <f t="shared" si="62"/>
        <v>3.5</v>
      </c>
      <c r="DT39" s="207">
        <v>0</v>
      </c>
      <c r="DU39" s="207">
        <f t="shared" si="63"/>
        <v>0</v>
      </c>
      <c r="DV39" s="207">
        <v>0</v>
      </c>
      <c r="DW39" s="207">
        <f t="shared" si="64"/>
        <v>0</v>
      </c>
      <c r="DX39" s="207">
        <f t="shared" si="65"/>
        <v>3.5</v>
      </c>
      <c r="DY39" s="208">
        <f t="shared" si="66"/>
        <v>44.5</v>
      </c>
      <c r="DZ39" s="205">
        <f t="shared" si="67"/>
        <v>25.573968750000002</v>
      </c>
      <c r="EA39" s="206" t="str">
        <f t="shared" si="68"/>
        <v>(2.38)</v>
      </c>
      <c r="EB39" s="207">
        <v>2</v>
      </c>
      <c r="EC39" s="207">
        <f t="shared" si="69"/>
        <v>3.5</v>
      </c>
      <c r="ED39" s="207">
        <v>0</v>
      </c>
      <c r="EE39" s="207">
        <f t="shared" si="70"/>
        <v>0</v>
      </c>
      <c r="EF39" s="207">
        <v>1</v>
      </c>
      <c r="EG39" s="207">
        <f t="shared" si="71"/>
        <v>1</v>
      </c>
      <c r="EH39" s="207">
        <f t="shared" si="72"/>
        <v>4.5</v>
      </c>
      <c r="EI39" s="208">
        <f t="shared" si="73"/>
        <v>49.5</v>
      </c>
      <c r="EJ39" s="205">
        <f t="shared" si="74"/>
        <v>28.673843750000003</v>
      </c>
      <c r="EK39" s="206" t="str">
        <f t="shared" si="75"/>
        <v>(2.66)</v>
      </c>
      <c r="EL39" s="207">
        <v>2</v>
      </c>
      <c r="EM39" s="207">
        <f t="shared" si="76"/>
        <v>3.5</v>
      </c>
      <c r="EN39" s="207">
        <v>0</v>
      </c>
      <c r="EO39" s="207">
        <f t="shared" si="77"/>
        <v>0</v>
      </c>
      <c r="EP39" s="207">
        <v>1</v>
      </c>
      <c r="EQ39" s="207">
        <f t="shared" si="78"/>
        <v>1</v>
      </c>
      <c r="ER39" s="207">
        <f t="shared" si="79"/>
        <v>4.5</v>
      </c>
      <c r="ES39" s="208">
        <f t="shared" si="80"/>
        <v>55.5</v>
      </c>
      <c r="ET39" s="205">
        <f t="shared" si="81"/>
        <v>31.77371875</v>
      </c>
      <c r="EU39" s="206" t="str">
        <f t="shared" si="82"/>
        <v>(2.95)</v>
      </c>
      <c r="EV39" s="207">
        <v>2</v>
      </c>
      <c r="EW39" s="207">
        <f t="shared" si="83"/>
        <v>3.5</v>
      </c>
      <c r="EX39" s="207">
        <v>0</v>
      </c>
      <c r="EY39" s="207">
        <f t="shared" si="84"/>
        <v>0</v>
      </c>
      <c r="EZ39" s="207">
        <v>1</v>
      </c>
      <c r="FA39" s="207">
        <f t="shared" si="85"/>
        <v>1</v>
      </c>
      <c r="FB39" s="207">
        <f t="shared" si="86"/>
        <v>4.5</v>
      </c>
      <c r="FC39" s="208">
        <f t="shared" si="87"/>
        <v>61.5</v>
      </c>
      <c r="FD39" s="205">
        <f t="shared" si="88"/>
        <v>35.39023958333334</v>
      </c>
      <c r="FE39" s="206" t="str">
        <f t="shared" si="89"/>
        <v>(3.29)</v>
      </c>
      <c r="FF39" s="207">
        <v>2</v>
      </c>
      <c r="FG39" s="207">
        <f t="shared" si="90"/>
        <v>3.5</v>
      </c>
      <c r="FH39" s="469">
        <v>0</v>
      </c>
      <c r="FI39" s="207">
        <f t="shared" si="91"/>
        <v>0</v>
      </c>
      <c r="FJ39" s="207">
        <v>0</v>
      </c>
      <c r="FK39" s="207">
        <f t="shared" si="92"/>
        <v>0</v>
      </c>
      <c r="FL39" s="207">
        <f t="shared" si="93"/>
        <v>3.5</v>
      </c>
      <c r="FM39" s="208">
        <f t="shared" si="94"/>
        <v>68.5</v>
      </c>
      <c r="FN39" s="30"/>
      <c r="FO39" s="30"/>
      <c r="FP39" s="31"/>
      <c r="FQ39" s="31"/>
      <c r="FR39" s="31"/>
      <c r="FS39" s="31"/>
      <c r="FT39" s="31"/>
      <c r="FU39" s="31"/>
      <c r="FV39" s="5"/>
      <c r="FW39" s="5"/>
      <c r="FX39" s="5"/>
      <c r="FY39" s="5"/>
      <c r="FZ39" s="5"/>
      <c r="GA39" s="5"/>
      <c r="GB39" s="5"/>
      <c r="GC39" s="5"/>
      <c r="GD39" s="5"/>
      <c r="GE39" s="5"/>
      <c r="GF39" s="5"/>
      <c r="GG39" s="5"/>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1"/>
      <c r="IK39" s="31"/>
      <c r="IL39" s="31"/>
      <c r="IM39" s="31"/>
      <c r="IN39" s="32"/>
      <c r="IO39" s="32"/>
      <c r="IP39" s="32"/>
      <c r="IQ39" s="24">
        <v>24</v>
      </c>
      <c r="IR39" s="25">
        <v>3.1160000000000001</v>
      </c>
      <c r="IS39" s="25">
        <v>3.0659999999999998</v>
      </c>
      <c r="IT39" s="25">
        <v>0.76300000000000001</v>
      </c>
      <c r="IU39" s="25">
        <v>1.75</v>
      </c>
      <c r="IV39" s="25">
        <v>1</v>
      </c>
      <c r="IW39" s="25">
        <v>1.125</v>
      </c>
      <c r="IX39" s="7"/>
    </row>
    <row r="40" spans="2:25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3"/>
      <c r="AU40" s="26">
        <f t="shared" si="151"/>
        <v>120</v>
      </c>
      <c r="AV40" s="27" t="str">
        <f t="shared" si="10"/>
        <v>(3050)</v>
      </c>
      <c r="AW40" s="18"/>
      <c r="AX40" s="19">
        <f t="shared" si="11"/>
        <v>3.0115937500000003</v>
      </c>
      <c r="AY40" s="28" t="str">
        <f t="shared" si="12"/>
        <v>(0.28)</v>
      </c>
      <c r="AZ40" s="21">
        <v>2</v>
      </c>
      <c r="BA40" s="21">
        <f t="shared" si="13"/>
        <v>3.5</v>
      </c>
      <c r="BB40" s="29">
        <v>0</v>
      </c>
      <c r="BC40" s="21">
        <f t="shared" si="14"/>
        <v>0</v>
      </c>
      <c r="BD40" s="29">
        <v>0</v>
      </c>
      <c r="BE40" s="21">
        <f t="shared" si="15"/>
        <v>0</v>
      </c>
      <c r="BF40" s="21">
        <f t="shared" si="16"/>
        <v>3.5</v>
      </c>
      <c r="BG40" s="22">
        <f t="shared" si="17"/>
        <v>5.5</v>
      </c>
      <c r="BH40" s="205">
        <f t="shared" si="18"/>
        <v>4.6542812500000004</v>
      </c>
      <c r="BI40" s="206" t="str">
        <f t="shared" si="19"/>
        <v>(0.43)</v>
      </c>
      <c r="BJ40" s="207">
        <v>2</v>
      </c>
      <c r="BK40" s="207">
        <f t="shared" si="20"/>
        <v>3.5</v>
      </c>
      <c r="BL40" s="207">
        <v>0</v>
      </c>
      <c r="BM40" s="207">
        <f t="shared" si="21"/>
        <v>0</v>
      </c>
      <c r="BN40" s="207">
        <v>0</v>
      </c>
      <c r="BO40" s="207">
        <f t="shared" si="22"/>
        <v>0</v>
      </c>
      <c r="BP40" s="207">
        <f t="shared" si="23"/>
        <v>3.5</v>
      </c>
      <c r="BQ40" s="208">
        <f t="shared" si="24"/>
        <v>8.5</v>
      </c>
      <c r="BR40" s="205">
        <f t="shared" si="25"/>
        <v>7.9396562500000005</v>
      </c>
      <c r="BS40" s="206" t="str">
        <f t="shared" si="26"/>
        <v>(0.74)</v>
      </c>
      <c r="BT40" s="207">
        <v>2</v>
      </c>
      <c r="BU40" s="207">
        <f t="shared" si="27"/>
        <v>3.5</v>
      </c>
      <c r="BV40" s="207">
        <v>0</v>
      </c>
      <c r="BW40" s="207">
        <f t="shared" si="28"/>
        <v>0</v>
      </c>
      <c r="BX40" s="207">
        <v>0</v>
      </c>
      <c r="BY40" s="207">
        <f t="shared" si="29"/>
        <v>0</v>
      </c>
      <c r="BZ40" s="207">
        <f t="shared" si="30"/>
        <v>3.5</v>
      </c>
      <c r="CA40" s="208">
        <f t="shared" si="31"/>
        <v>14.5</v>
      </c>
      <c r="CB40" s="205">
        <f t="shared" si="32"/>
        <v>11.225031250000001</v>
      </c>
      <c r="CC40" s="206" t="str">
        <f t="shared" si="33"/>
        <v>(1.04)</v>
      </c>
      <c r="CD40" s="207">
        <v>2</v>
      </c>
      <c r="CE40" s="207">
        <f t="shared" si="34"/>
        <v>3.5</v>
      </c>
      <c r="CF40" s="207">
        <v>0</v>
      </c>
      <c r="CG40" s="207">
        <f t="shared" si="35"/>
        <v>0</v>
      </c>
      <c r="CH40" s="207">
        <v>0</v>
      </c>
      <c r="CI40" s="207">
        <f t="shared" si="36"/>
        <v>0</v>
      </c>
      <c r="CJ40" s="207">
        <f t="shared" si="37"/>
        <v>3.5</v>
      </c>
      <c r="CK40" s="208">
        <f t="shared" si="38"/>
        <v>20.5</v>
      </c>
      <c r="CL40" s="205">
        <f t="shared" si="39"/>
        <v>14.510406250000001</v>
      </c>
      <c r="CM40" s="206" t="str">
        <f t="shared" si="40"/>
        <v>(1.35)</v>
      </c>
      <c r="CN40" s="207">
        <v>2</v>
      </c>
      <c r="CO40" s="207">
        <f t="shared" si="41"/>
        <v>3.5</v>
      </c>
      <c r="CP40" s="207">
        <v>0</v>
      </c>
      <c r="CQ40" s="207">
        <f t="shared" si="42"/>
        <v>0</v>
      </c>
      <c r="CR40" s="207">
        <v>0</v>
      </c>
      <c r="CS40" s="207">
        <f t="shared" si="43"/>
        <v>0</v>
      </c>
      <c r="CT40" s="207">
        <f t="shared" si="44"/>
        <v>3.5</v>
      </c>
      <c r="CU40" s="208">
        <f t="shared" si="45"/>
        <v>26.5</v>
      </c>
      <c r="CV40" s="205">
        <f t="shared" si="46"/>
        <v>17.795781250000001</v>
      </c>
      <c r="CW40" s="206" t="str">
        <f t="shared" si="47"/>
        <v>(1.65)</v>
      </c>
      <c r="CX40" s="207">
        <v>2</v>
      </c>
      <c r="CY40" s="207">
        <f t="shared" si="48"/>
        <v>3.5</v>
      </c>
      <c r="CZ40" s="207">
        <v>0</v>
      </c>
      <c r="DA40" s="207">
        <f t="shared" si="49"/>
        <v>0</v>
      </c>
      <c r="DB40" s="207">
        <v>0</v>
      </c>
      <c r="DC40" s="207">
        <f t="shared" si="50"/>
        <v>0</v>
      </c>
      <c r="DD40" s="207">
        <f t="shared" si="51"/>
        <v>3.5</v>
      </c>
      <c r="DE40" s="208">
        <f t="shared" si="52"/>
        <v>32.5</v>
      </c>
      <c r="DF40" s="205">
        <f t="shared" si="53"/>
        <v>21.081156250000003</v>
      </c>
      <c r="DG40" s="206" t="str">
        <f t="shared" si="54"/>
        <v>(1.96)</v>
      </c>
      <c r="DH40" s="207">
        <v>2</v>
      </c>
      <c r="DI40" s="207">
        <f t="shared" si="55"/>
        <v>3.5</v>
      </c>
      <c r="DJ40" s="207">
        <v>0</v>
      </c>
      <c r="DK40" s="207">
        <f t="shared" si="56"/>
        <v>0</v>
      </c>
      <c r="DL40" s="207">
        <v>0</v>
      </c>
      <c r="DM40" s="207">
        <f t="shared" si="57"/>
        <v>0</v>
      </c>
      <c r="DN40" s="207">
        <f t="shared" si="58"/>
        <v>3.5</v>
      </c>
      <c r="DO40" s="208">
        <f t="shared" si="59"/>
        <v>38.5</v>
      </c>
      <c r="DP40" s="205">
        <f t="shared" si="60"/>
        <v>24.366531250000001</v>
      </c>
      <c r="DQ40" s="206" t="str">
        <f t="shared" si="61"/>
        <v>(2.26)</v>
      </c>
      <c r="DR40" s="207">
        <v>2</v>
      </c>
      <c r="DS40" s="207">
        <f t="shared" si="62"/>
        <v>3.5</v>
      </c>
      <c r="DT40" s="207">
        <v>0</v>
      </c>
      <c r="DU40" s="207">
        <f t="shared" si="63"/>
        <v>0</v>
      </c>
      <c r="DV40" s="207">
        <v>0</v>
      </c>
      <c r="DW40" s="207">
        <f t="shared" si="64"/>
        <v>0</v>
      </c>
      <c r="DX40" s="207">
        <f t="shared" si="65"/>
        <v>3.5</v>
      </c>
      <c r="DY40" s="208">
        <f t="shared" si="66"/>
        <v>44.5</v>
      </c>
      <c r="DZ40" s="205">
        <f t="shared" si="67"/>
        <v>27.104343750000002</v>
      </c>
      <c r="EA40" s="206" t="str">
        <f t="shared" si="68"/>
        <v>(2.52)</v>
      </c>
      <c r="EB40" s="207">
        <v>2</v>
      </c>
      <c r="EC40" s="207">
        <f t="shared" si="69"/>
        <v>3.5</v>
      </c>
      <c r="ED40" s="207">
        <v>0</v>
      </c>
      <c r="EE40" s="207">
        <f t="shared" si="70"/>
        <v>0</v>
      </c>
      <c r="EF40" s="207">
        <v>1</v>
      </c>
      <c r="EG40" s="207">
        <f t="shared" si="71"/>
        <v>1</v>
      </c>
      <c r="EH40" s="207">
        <f t="shared" si="72"/>
        <v>4.5</v>
      </c>
      <c r="EI40" s="208">
        <f t="shared" si="73"/>
        <v>49.5</v>
      </c>
      <c r="EJ40" s="205">
        <f t="shared" si="74"/>
        <v>30.38971875</v>
      </c>
      <c r="EK40" s="206" t="str">
        <f t="shared" si="75"/>
        <v>(2.82)</v>
      </c>
      <c r="EL40" s="207">
        <v>2</v>
      </c>
      <c r="EM40" s="207">
        <f t="shared" si="76"/>
        <v>3.5</v>
      </c>
      <c r="EN40" s="207">
        <v>0</v>
      </c>
      <c r="EO40" s="207">
        <f t="shared" si="77"/>
        <v>0</v>
      </c>
      <c r="EP40" s="207">
        <v>1</v>
      </c>
      <c r="EQ40" s="207">
        <f t="shared" si="78"/>
        <v>1</v>
      </c>
      <c r="ER40" s="207">
        <f t="shared" si="79"/>
        <v>4.5</v>
      </c>
      <c r="ES40" s="208">
        <f t="shared" si="80"/>
        <v>55.5</v>
      </c>
      <c r="ET40" s="205">
        <f t="shared" si="81"/>
        <v>33.675093750000002</v>
      </c>
      <c r="EU40" s="206" t="str">
        <f t="shared" si="82"/>
        <v>(3.13)</v>
      </c>
      <c r="EV40" s="207">
        <v>2</v>
      </c>
      <c r="EW40" s="207">
        <f t="shared" si="83"/>
        <v>3.5</v>
      </c>
      <c r="EX40" s="207">
        <v>0</v>
      </c>
      <c r="EY40" s="207">
        <f t="shared" si="84"/>
        <v>0</v>
      </c>
      <c r="EZ40" s="207">
        <v>1</v>
      </c>
      <c r="FA40" s="207">
        <f t="shared" si="85"/>
        <v>1</v>
      </c>
      <c r="FB40" s="207">
        <f t="shared" si="86"/>
        <v>4.5</v>
      </c>
      <c r="FC40" s="208">
        <f t="shared" si="87"/>
        <v>61.5</v>
      </c>
      <c r="FD40" s="205">
        <f t="shared" si="88"/>
        <v>37.508031250000002</v>
      </c>
      <c r="FE40" s="206" t="str">
        <f t="shared" si="89"/>
        <v>(3.48)</v>
      </c>
      <c r="FF40" s="207">
        <v>2</v>
      </c>
      <c r="FG40" s="207">
        <f t="shared" si="90"/>
        <v>3.5</v>
      </c>
      <c r="FH40" s="469">
        <v>0</v>
      </c>
      <c r="FI40" s="207">
        <f t="shared" si="91"/>
        <v>0</v>
      </c>
      <c r="FJ40" s="207">
        <v>0</v>
      </c>
      <c r="FK40" s="207">
        <f t="shared" si="92"/>
        <v>0</v>
      </c>
      <c r="FL40" s="207">
        <f t="shared" si="93"/>
        <v>3.5</v>
      </c>
      <c r="FM40" s="208">
        <f t="shared" si="94"/>
        <v>68.5</v>
      </c>
      <c r="FN40" s="30"/>
      <c r="FO40" s="30"/>
      <c r="FP40" s="31"/>
      <c r="FQ40" s="31"/>
      <c r="FR40" s="31"/>
      <c r="FS40" s="31"/>
      <c r="FT40" s="31"/>
      <c r="FU40" s="31"/>
      <c r="FV40" s="30"/>
      <c r="FW40" s="30"/>
      <c r="FX40" s="30"/>
      <c r="FY40" s="30"/>
      <c r="FZ40" s="30"/>
      <c r="GA40" s="30"/>
      <c r="GB40" s="30"/>
      <c r="GC40" s="30"/>
      <c r="GD40" s="30"/>
      <c r="GE40" s="30"/>
      <c r="GF40" s="30"/>
      <c r="GG40" s="30"/>
      <c r="GH40" s="30"/>
      <c r="GI40" s="30"/>
      <c r="GJ40" s="31"/>
      <c r="GK40" s="31"/>
      <c r="GL40" s="31"/>
      <c r="GM40" s="31"/>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1"/>
      <c r="HO40" s="31"/>
      <c r="HP40" s="31"/>
      <c r="HQ40" s="31"/>
      <c r="HR40" s="31"/>
      <c r="HS40" s="31"/>
      <c r="HT40" s="31"/>
      <c r="HU40" s="31"/>
      <c r="HV40" s="31"/>
      <c r="HW40" s="31"/>
      <c r="HX40" s="31"/>
      <c r="HY40" s="31"/>
      <c r="HZ40" s="31"/>
      <c r="IA40" s="31"/>
      <c r="IB40" s="31"/>
      <c r="IC40" s="31"/>
      <c r="ID40" s="31"/>
      <c r="IE40" s="31"/>
      <c r="IF40" s="30"/>
      <c r="IG40" s="30"/>
      <c r="IH40" s="31"/>
      <c r="II40" s="31"/>
      <c r="IJ40" s="33"/>
      <c r="IK40" s="31"/>
      <c r="IL40" s="31"/>
      <c r="IM40" s="31"/>
      <c r="IN40" s="32"/>
      <c r="IO40" s="32"/>
      <c r="IP40" s="32"/>
      <c r="IQ40" s="24">
        <v>25</v>
      </c>
      <c r="IR40" s="25">
        <v>3.1160000000000001</v>
      </c>
      <c r="IS40" s="25">
        <v>3.0659999999999998</v>
      </c>
      <c r="IT40" s="25">
        <v>2.149</v>
      </c>
      <c r="IU40" s="25">
        <v>1.75</v>
      </c>
      <c r="IV40" s="25">
        <v>1</v>
      </c>
      <c r="IW40" s="25">
        <v>1.125</v>
      </c>
      <c r="IX40" s="7"/>
    </row>
    <row r="41" spans="2:258" ht="15.75" thickBot="1" x14ac:dyDescent="0.3">
      <c r="B41" s="2"/>
      <c r="C41" s="2"/>
      <c r="D41" s="2"/>
      <c r="E41" s="2"/>
      <c r="F41" s="2"/>
      <c r="G41" s="2"/>
      <c r="H41" s="2"/>
      <c r="I41" s="2"/>
      <c r="J41" s="2"/>
      <c r="K41" s="2"/>
      <c r="L41" s="2"/>
      <c r="M41" s="2"/>
      <c r="N41" s="2"/>
      <c r="O41" s="2"/>
      <c r="P41" s="2"/>
      <c r="Q41" s="2"/>
      <c r="R41" s="2"/>
      <c r="S41" s="2"/>
      <c r="T41" s="2"/>
      <c r="U41" s="2"/>
      <c r="V41" s="2"/>
      <c r="W41" s="2"/>
      <c r="X41" s="2"/>
      <c r="AT41" s="34"/>
      <c r="AU41" s="35"/>
      <c r="AV41" s="35"/>
      <c r="AW41" s="35"/>
      <c r="AX41" s="35"/>
      <c r="AY41" s="35"/>
      <c r="AZ41" s="35"/>
      <c r="BA41" s="35"/>
      <c r="BB41" s="35"/>
      <c r="BC41" s="35"/>
      <c r="BD41" s="35"/>
      <c r="BE41" s="35"/>
      <c r="BF41" s="35"/>
      <c r="BG41" s="35"/>
      <c r="BH41" s="36"/>
      <c r="BI41" s="37"/>
      <c r="BJ41" s="37"/>
      <c r="BK41" s="37"/>
      <c r="BL41" s="37"/>
      <c r="BM41" s="37"/>
      <c r="BN41" s="37"/>
      <c r="BO41" s="37"/>
      <c r="BP41" s="37"/>
      <c r="BQ41" s="37"/>
      <c r="BR41" s="36"/>
      <c r="BS41" s="37"/>
      <c r="BT41" s="37"/>
      <c r="BU41" s="37"/>
      <c r="BV41" s="37"/>
      <c r="BW41" s="37"/>
      <c r="BX41" s="37"/>
      <c r="BY41" s="37"/>
      <c r="BZ41" s="37"/>
      <c r="CA41" s="37"/>
      <c r="CB41" s="36"/>
      <c r="CC41" s="37"/>
      <c r="CD41" s="37"/>
      <c r="CE41" s="37"/>
      <c r="CF41" s="37"/>
      <c r="CG41" s="37"/>
      <c r="CH41" s="37"/>
      <c r="CI41" s="37"/>
      <c r="CJ41" s="37"/>
      <c r="CK41" s="37"/>
      <c r="CL41" s="36"/>
      <c r="CM41" s="37"/>
      <c r="CN41" s="37"/>
      <c r="CO41" s="37"/>
      <c r="CP41" s="37"/>
      <c r="CQ41" s="37"/>
      <c r="CR41" s="37"/>
      <c r="CS41" s="37"/>
      <c r="CT41" s="37"/>
      <c r="CU41" s="37"/>
      <c r="CV41" s="36"/>
      <c r="CW41" s="37"/>
      <c r="CX41" s="37"/>
      <c r="CY41" s="37"/>
      <c r="CZ41" s="37"/>
      <c r="DA41" s="37"/>
      <c r="DB41" s="37"/>
      <c r="DC41" s="37"/>
      <c r="DD41" s="37"/>
      <c r="DE41" s="37"/>
      <c r="DF41" s="36"/>
      <c r="DG41" s="37"/>
      <c r="DH41" s="37"/>
      <c r="DI41" s="37"/>
      <c r="DJ41" s="37"/>
      <c r="DK41" s="37"/>
      <c r="DL41" s="37"/>
      <c r="DM41" s="37"/>
      <c r="DN41" s="37"/>
      <c r="DO41" s="37"/>
      <c r="DP41" s="36"/>
      <c r="DQ41" s="37"/>
      <c r="DR41" s="37"/>
      <c r="DS41" s="37"/>
      <c r="DT41" s="37"/>
      <c r="DU41" s="37"/>
      <c r="DV41" s="37"/>
      <c r="DW41" s="37"/>
      <c r="DX41" s="37"/>
      <c r="DY41" s="37"/>
      <c r="DZ41" s="36"/>
      <c r="EA41" s="37"/>
      <c r="EB41" s="37"/>
      <c r="EC41" s="37"/>
      <c r="ED41" s="37"/>
      <c r="EE41" s="37"/>
      <c r="EF41" s="37"/>
      <c r="EG41" s="37"/>
      <c r="EH41" s="37"/>
      <c r="EI41" s="37"/>
      <c r="EJ41" s="36"/>
      <c r="EK41" s="37"/>
      <c r="EL41" s="37"/>
      <c r="EM41" s="37"/>
      <c r="EN41" s="37"/>
      <c r="EO41" s="37"/>
      <c r="EP41" s="37"/>
      <c r="EQ41" s="37"/>
      <c r="ER41" s="37"/>
      <c r="ES41" s="37"/>
      <c r="ET41" s="36"/>
      <c r="EU41" s="37"/>
      <c r="EV41" s="37"/>
      <c r="EW41" s="37"/>
      <c r="EX41" s="37"/>
      <c r="EY41" s="37"/>
      <c r="EZ41" s="37"/>
      <c r="FA41" s="37"/>
      <c r="FB41" s="37"/>
      <c r="FC41" s="37"/>
      <c r="FD41" s="36"/>
      <c r="FE41" s="37"/>
      <c r="FF41" s="37"/>
      <c r="FG41" s="37"/>
      <c r="FH41" s="37"/>
      <c r="FI41" s="37"/>
      <c r="FJ41" s="37"/>
      <c r="FK41" s="37"/>
      <c r="FL41" s="37"/>
      <c r="FM41" s="37"/>
      <c r="FN41" s="36"/>
      <c r="FO41" s="37"/>
      <c r="FP41" s="37"/>
      <c r="FQ41" s="37"/>
      <c r="FR41" s="37"/>
      <c r="FS41" s="37"/>
      <c r="FT41" s="37"/>
      <c r="FU41" s="37"/>
      <c r="FV41" s="161"/>
      <c r="FW41" s="161"/>
      <c r="FX41" s="161"/>
      <c r="FY41" s="161"/>
      <c r="FZ41" s="161"/>
      <c r="GA41" s="161"/>
      <c r="GB41" s="161"/>
      <c r="GC41" s="161"/>
      <c r="GD41" s="161"/>
      <c r="GE41" s="161"/>
      <c r="GF41" s="161"/>
      <c r="GG41" s="161"/>
      <c r="GH41" s="36"/>
      <c r="GI41" s="37"/>
      <c r="GJ41" s="37"/>
      <c r="GK41" s="37"/>
      <c r="GL41" s="37"/>
      <c r="GM41" s="37"/>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36"/>
      <c r="HM41" s="37"/>
      <c r="HN41" s="37"/>
      <c r="HO41" s="37"/>
      <c r="HP41" s="37"/>
      <c r="HQ41" s="37"/>
      <c r="HR41" s="37"/>
      <c r="HS41" s="37"/>
      <c r="HT41" s="162"/>
      <c r="HU41" s="162"/>
      <c r="HV41" s="162"/>
      <c r="HW41" s="162"/>
      <c r="HX41" s="162"/>
      <c r="HY41" s="162"/>
      <c r="HZ41" s="162"/>
      <c r="IA41" s="162"/>
      <c r="IB41" s="162"/>
      <c r="IC41" s="162"/>
      <c r="ID41" s="162"/>
      <c r="IE41" s="162"/>
      <c r="IF41" s="36"/>
      <c r="IG41" s="37"/>
      <c r="IH41" s="37"/>
      <c r="II41" s="37"/>
      <c r="IJ41" s="37"/>
      <c r="IK41" s="37"/>
      <c r="IL41" s="37"/>
      <c r="IM41" s="37"/>
      <c r="IN41" s="35"/>
      <c r="IO41" s="35"/>
      <c r="IP41" s="35"/>
      <c r="IQ41" s="35"/>
      <c r="IR41" s="35"/>
      <c r="IS41" s="35"/>
      <c r="IT41" s="35"/>
      <c r="IU41" s="35"/>
      <c r="IV41" s="35"/>
      <c r="IW41" s="35"/>
      <c r="IX41" s="38"/>
    </row>
    <row r="42" spans="2:258" ht="16.5" thickTop="1" thickBot="1" x14ac:dyDescent="0.3">
      <c r="B42" s="2"/>
      <c r="C42" s="2"/>
      <c r="D42" s="2"/>
      <c r="E42" s="2"/>
      <c r="F42" s="2"/>
      <c r="G42" s="2"/>
      <c r="H42" s="2"/>
      <c r="I42" s="2"/>
      <c r="J42" s="2"/>
      <c r="K42" s="2"/>
      <c r="L42" s="2"/>
      <c r="M42" s="2"/>
      <c r="N42" s="2"/>
      <c r="O42" s="2"/>
      <c r="P42" s="2"/>
      <c r="Q42" s="2"/>
      <c r="R42" s="2"/>
      <c r="S42" s="2"/>
      <c r="T42" s="2"/>
      <c r="U42" s="2"/>
      <c r="V42" s="2"/>
      <c r="W42" s="2"/>
      <c r="BE42" s="2"/>
    </row>
    <row r="43" spans="2:258" ht="24" thickBot="1" x14ac:dyDescent="0.4">
      <c r="B43" s="166" t="s">
        <v>70</v>
      </c>
      <c r="C43" s="167"/>
      <c r="D43" s="167"/>
      <c r="E43" s="167"/>
      <c r="F43" s="167"/>
      <c r="G43" s="167"/>
      <c r="H43" s="167"/>
      <c r="I43" s="167"/>
      <c r="J43" s="167"/>
      <c r="K43" s="167"/>
      <c r="L43" s="168"/>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BE43" s="2"/>
      <c r="BF43" s="6"/>
      <c r="BG43" s="6"/>
      <c r="BH43" s="6"/>
      <c r="BI43" s="6"/>
      <c r="BJ43" s="6"/>
      <c r="BK43" s="6"/>
      <c r="BL43" s="6"/>
      <c r="BM43" s="6"/>
      <c r="BN43" s="5"/>
      <c r="BO43" s="6"/>
      <c r="BP43" s="6"/>
      <c r="BQ43" s="6"/>
      <c r="BR43" s="6"/>
      <c r="BS43" s="6"/>
      <c r="BT43" s="6"/>
      <c r="BU43" s="6"/>
      <c r="BV43" s="6"/>
      <c r="BW43" s="6"/>
      <c r="BX43" s="5"/>
      <c r="BY43" s="6"/>
      <c r="BZ43" s="6"/>
      <c r="CA43" s="6"/>
      <c r="CB43" s="6"/>
      <c r="CC43" s="6"/>
      <c r="CD43" s="6"/>
      <c r="CE43" s="6"/>
      <c r="CF43" s="6"/>
      <c r="CG43" s="6"/>
      <c r="CH43" s="5"/>
      <c r="CI43" s="6"/>
      <c r="CJ43" s="6"/>
      <c r="CK43" s="6"/>
      <c r="CL43" s="6"/>
      <c r="CM43" s="6"/>
      <c r="CN43" s="6"/>
      <c r="CO43" s="6"/>
      <c r="CP43" s="6"/>
      <c r="CQ43" s="6"/>
      <c r="CR43" s="5"/>
      <c r="CS43" s="6"/>
      <c r="CT43" s="6"/>
      <c r="CU43" s="6"/>
      <c r="CV43" s="6"/>
      <c r="CW43" s="6"/>
      <c r="CX43" s="6"/>
      <c r="CY43" s="6"/>
      <c r="CZ43" s="6"/>
      <c r="DA43" s="6"/>
      <c r="DB43" s="5"/>
      <c r="DC43" s="6"/>
      <c r="DD43" s="6"/>
      <c r="DE43" s="6"/>
      <c r="DF43" s="6"/>
      <c r="DG43" s="6"/>
      <c r="DH43" s="6"/>
      <c r="DI43" s="6"/>
      <c r="DJ43" s="6"/>
      <c r="DK43" s="6"/>
      <c r="DL43" s="5"/>
      <c r="DM43" s="6"/>
      <c r="DN43" s="6"/>
      <c r="DO43" s="6"/>
      <c r="DP43" s="6"/>
      <c r="DQ43" s="6"/>
      <c r="DR43" s="6"/>
      <c r="DS43" s="6"/>
      <c r="DT43" s="6"/>
      <c r="DU43" s="6"/>
      <c r="DV43" s="5"/>
      <c r="DW43" s="6"/>
      <c r="DX43" s="6"/>
      <c r="DY43" s="6"/>
      <c r="DZ43" s="6"/>
      <c r="EA43" s="6"/>
      <c r="EB43" s="6"/>
      <c r="EC43" s="6"/>
      <c r="ED43" s="6"/>
      <c r="EE43" s="6"/>
      <c r="EF43" s="5"/>
      <c r="EG43" s="6"/>
      <c r="EH43" s="6"/>
      <c r="EI43" s="6"/>
      <c r="EJ43" s="6"/>
      <c r="EK43" s="6"/>
      <c r="EL43" s="6"/>
      <c r="EM43" s="6"/>
      <c r="EN43" s="6"/>
      <c r="EO43" s="6"/>
      <c r="EP43" s="5"/>
      <c r="EQ43" s="6"/>
      <c r="ER43" s="6"/>
      <c r="ES43" s="6"/>
      <c r="ET43" s="6"/>
      <c r="EU43" s="6"/>
      <c r="EV43" s="6"/>
      <c r="EW43" s="6"/>
      <c r="EX43" s="6"/>
      <c r="EY43" s="6"/>
      <c r="EZ43" s="5"/>
      <c r="FA43" s="6"/>
      <c r="FB43" s="6"/>
      <c r="FC43" s="6"/>
      <c r="FD43" s="6"/>
      <c r="FE43" s="6"/>
      <c r="FF43" s="6"/>
      <c r="FG43" s="6"/>
      <c r="FH43" s="6"/>
      <c r="FI43" s="6"/>
      <c r="FJ43" s="5"/>
      <c r="FK43" s="6"/>
      <c r="FL43" s="6"/>
      <c r="FM43" s="6"/>
      <c r="FN43" s="6"/>
      <c r="FO43" s="6"/>
      <c r="FP43" s="6"/>
      <c r="FQ43" s="6"/>
      <c r="FR43" s="6"/>
      <c r="FS43" s="6"/>
      <c r="FT43" s="5"/>
      <c r="FU43" s="6"/>
      <c r="FV43" s="6"/>
      <c r="FW43" s="6"/>
      <c r="FX43" s="6"/>
      <c r="FY43" s="6"/>
      <c r="FZ43" s="6"/>
      <c r="GA43" s="6"/>
      <c r="GB43" s="6"/>
      <c r="GC43" s="6"/>
      <c r="GD43" s="5"/>
      <c r="GE43" s="6"/>
      <c r="GF43" s="6"/>
      <c r="GG43" s="6"/>
      <c r="GH43" s="6"/>
      <c r="GI43" s="6"/>
      <c r="GJ43" s="6"/>
      <c r="GK43" s="6"/>
      <c r="GL43" s="6"/>
      <c r="GM43" s="6"/>
      <c r="GN43" s="5"/>
      <c r="GO43" s="6"/>
      <c r="GP43" s="6"/>
      <c r="GQ43" s="6"/>
      <c r="GR43" s="6"/>
      <c r="GS43" s="6"/>
      <c r="GT43" s="6"/>
      <c r="GU43" s="6"/>
      <c r="GV43" s="4"/>
      <c r="GW43" s="4"/>
      <c r="GX43" s="4"/>
      <c r="GY43" s="4"/>
      <c r="GZ43" s="4"/>
      <c r="HA43" s="4"/>
      <c r="HB43" s="4"/>
      <c r="HC43" s="4"/>
      <c r="HD43" s="4"/>
      <c r="HE43" s="4"/>
      <c r="HF43" s="4"/>
    </row>
    <row r="44" spans="2:258" ht="19.5" thickBot="1" x14ac:dyDescent="0.35">
      <c r="B44" s="164" t="s">
        <v>181</v>
      </c>
      <c r="C44" s="111" t="e">
        <f>C10</f>
        <v>#VALUE!</v>
      </c>
      <c r="D44" s="53"/>
      <c r="E44" s="53"/>
      <c r="F44" s="53"/>
      <c r="G44" s="53"/>
      <c r="H44" s="53"/>
      <c r="I44" s="53"/>
      <c r="J44" s="53"/>
      <c r="K44" s="53"/>
      <c r="L44" s="165"/>
      <c r="N44" s="994"/>
      <c r="O44" s="155"/>
      <c r="P44" s="75"/>
      <c r="Q44" s="156">
        <v>9</v>
      </c>
      <c r="R44" s="157">
        <v>12</v>
      </c>
      <c r="S44" s="157">
        <f t="shared" ref="S44:AJ44" si="152">R44+6</f>
        <v>18</v>
      </c>
      <c r="T44" s="157">
        <f t="shared" si="152"/>
        <v>24</v>
      </c>
      <c r="U44" s="157">
        <f t="shared" si="152"/>
        <v>30</v>
      </c>
      <c r="V44" s="157">
        <f t="shared" si="152"/>
        <v>36</v>
      </c>
      <c r="W44" s="157">
        <f t="shared" si="152"/>
        <v>42</v>
      </c>
      <c r="X44" s="158">
        <f t="shared" si="152"/>
        <v>48</v>
      </c>
      <c r="Y44" s="157">
        <f t="shared" si="152"/>
        <v>54</v>
      </c>
      <c r="Z44" s="157">
        <f t="shared" si="152"/>
        <v>60</v>
      </c>
      <c r="AA44" s="157">
        <f t="shared" si="152"/>
        <v>66</v>
      </c>
      <c r="AB44" s="157">
        <f t="shared" si="152"/>
        <v>72</v>
      </c>
      <c r="AC44" s="157">
        <f t="shared" si="152"/>
        <v>78</v>
      </c>
      <c r="AD44" s="158">
        <f t="shared" si="152"/>
        <v>84</v>
      </c>
      <c r="AE44" s="157">
        <f t="shared" si="152"/>
        <v>90</v>
      </c>
      <c r="AF44" s="157">
        <f t="shared" si="152"/>
        <v>96</v>
      </c>
      <c r="AG44" s="157">
        <f t="shared" si="152"/>
        <v>102</v>
      </c>
      <c r="AH44" s="157">
        <f t="shared" si="152"/>
        <v>108</v>
      </c>
      <c r="AI44" s="157">
        <f t="shared" si="152"/>
        <v>114</v>
      </c>
      <c r="AJ44" s="158">
        <f t="shared" si="152"/>
        <v>120</v>
      </c>
      <c r="AK44" s="74"/>
      <c r="AL44" s="74"/>
      <c r="AM44" s="74"/>
      <c r="AN44" s="74"/>
      <c r="AO44" s="74"/>
      <c r="AP44" s="74"/>
      <c r="AQ44" s="75"/>
    </row>
    <row r="45" spans="2:258" ht="18.75" customHeight="1" thickBot="1" x14ac:dyDescent="0.35">
      <c r="B45" s="150" t="s">
        <v>39</v>
      </c>
      <c r="C45" s="112" t="e">
        <f>I10</f>
        <v>#VALUE!</v>
      </c>
      <c r="D45" s="2"/>
      <c r="E45" s="51"/>
      <c r="F45" s="51"/>
      <c r="G45" s="51"/>
      <c r="H45" s="51"/>
      <c r="I45" s="51"/>
      <c r="J45" s="51"/>
      <c r="K45" s="51"/>
      <c r="L45" s="54"/>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t="s">
        <v>188</v>
      </c>
    </row>
    <row r="46" spans="2:258" ht="15.75" customHeight="1" thickBot="1" x14ac:dyDescent="0.4">
      <c r="B46" s="454" t="s">
        <v>63</v>
      </c>
      <c r="C46" s="51"/>
      <c r="D46" s="51"/>
      <c r="E46" s="51"/>
      <c r="F46" s="51"/>
      <c r="G46" s="51"/>
      <c r="H46" s="51"/>
      <c r="I46" s="51"/>
      <c r="J46" s="51"/>
      <c r="K46" s="51"/>
      <c r="L46" s="54"/>
      <c r="N46" s="455"/>
      <c r="O46" s="154">
        <f>H5</f>
        <v>10.130000000000001</v>
      </c>
      <c r="P46" s="183">
        <v>2</v>
      </c>
      <c r="Q46" s="490"/>
      <c r="R46" s="291">
        <v>4.8099999999999996</v>
      </c>
      <c r="S46" s="291">
        <v>6.91</v>
      </c>
      <c r="T46" s="291">
        <v>9.02</v>
      </c>
      <c r="U46" s="291">
        <v>11.13</v>
      </c>
      <c r="V46" s="291">
        <v>13.23</v>
      </c>
      <c r="W46" s="291">
        <v>15.34</v>
      </c>
      <c r="X46" s="291">
        <v>17.45</v>
      </c>
      <c r="Y46" s="291">
        <v>19.55</v>
      </c>
      <c r="Z46" s="291">
        <v>21.66</v>
      </c>
      <c r="AA46" s="493"/>
      <c r="AB46" s="493"/>
      <c r="AC46" s="493"/>
      <c r="AD46" s="493"/>
      <c r="AE46" s="493"/>
      <c r="AF46" s="493"/>
      <c r="AG46" s="493"/>
      <c r="AH46" s="493"/>
      <c r="AI46" s="493"/>
      <c r="AJ46" s="493"/>
      <c r="AK46" s="114"/>
      <c r="AL46" s="114"/>
      <c r="AM46" s="114"/>
      <c r="AN46" s="114"/>
      <c r="AO46" s="114"/>
      <c r="AP46" s="114"/>
      <c r="AQ46" s="120"/>
      <c r="IS46" s="135"/>
    </row>
    <row r="47" spans="2:258" ht="15" customHeight="1" thickBot="1" x14ac:dyDescent="0.3">
      <c r="B47" s="57"/>
      <c r="C47" s="2"/>
      <c r="D47" s="51"/>
      <c r="E47" s="51"/>
      <c r="F47" s="51"/>
      <c r="G47" s="51"/>
      <c r="H47" s="51"/>
      <c r="I47" s="51"/>
      <c r="J47" s="51"/>
      <c r="K47" s="51"/>
      <c r="L47" s="54"/>
      <c r="N47" s="136"/>
      <c r="O47" s="124">
        <v>12</v>
      </c>
      <c r="P47" s="184">
        <v>3</v>
      </c>
      <c r="Q47" s="491"/>
      <c r="R47" s="298">
        <v>5.14</v>
      </c>
      <c r="S47" s="298">
        <v>7.24</v>
      </c>
      <c r="T47" s="298">
        <v>9.35</v>
      </c>
      <c r="U47" s="298">
        <v>11.46</v>
      </c>
      <c r="V47" s="298">
        <v>13.57</v>
      </c>
      <c r="W47" s="298">
        <v>15.68</v>
      </c>
      <c r="X47" s="298">
        <v>17.79</v>
      </c>
      <c r="Y47" s="298">
        <v>19.899999999999999</v>
      </c>
      <c r="Z47" s="298">
        <v>21.99</v>
      </c>
      <c r="AA47" s="492"/>
      <c r="AB47" s="492"/>
      <c r="AC47" s="492"/>
      <c r="AD47" s="492"/>
      <c r="AE47" s="492"/>
      <c r="AF47" s="492"/>
      <c r="AG47" s="492"/>
      <c r="AH47" s="492"/>
      <c r="AI47" s="492"/>
      <c r="AJ47" s="492"/>
      <c r="AK47" s="45"/>
      <c r="AL47" s="117"/>
      <c r="AM47" s="117" t="e">
        <f>D50</f>
        <v>#VALUE!</v>
      </c>
      <c r="AN47" s="118" t="e">
        <f>C44</f>
        <v>#VALUE!</v>
      </c>
      <c r="AO47" s="117" t="e">
        <f>E50</f>
        <v>#VALUE!</v>
      </c>
      <c r="AP47" s="45"/>
      <c r="AQ47" s="46"/>
      <c r="CL47" s="61"/>
      <c r="CM47" s="61"/>
      <c r="CN47" s="61"/>
      <c r="CO47" s="61"/>
      <c r="CP47" s="61"/>
      <c r="CQ47" s="61"/>
      <c r="CR47" s="61"/>
      <c r="CS47" s="61"/>
      <c r="FX47" s="783"/>
    </row>
    <row r="48" spans="2:258" ht="15" customHeight="1" thickBot="1" x14ac:dyDescent="0.3">
      <c r="B48" s="57"/>
      <c r="C48" s="96"/>
      <c r="D48" s="97" t="s">
        <v>215</v>
      </c>
      <c r="E48" s="98"/>
      <c r="F48" s="98"/>
      <c r="G48" s="100"/>
      <c r="H48" s="97" t="s">
        <v>33</v>
      </c>
      <c r="I48" s="99"/>
      <c r="J48" s="51"/>
      <c r="K48" s="51"/>
      <c r="L48" s="54"/>
      <c r="N48" s="79"/>
      <c r="O48" s="124">
        <f t="shared" ref="O48:O65" si="153">O47+6</f>
        <v>18</v>
      </c>
      <c r="P48" s="184">
        <v>4</v>
      </c>
      <c r="Q48" s="491"/>
      <c r="R48" s="298">
        <v>6.91</v>
      </c>
      <c r="S48" s="298">
        <v>9.49</v>
      </c>
      <c r="T48" s="298">
        <v>12.08</v>
      </c>
      <c r="U48" s="298">
        <v>14.66</v>
      </c>
      <c r="V48" s="298">
        <v>17.240000000000002</v>
      </c>
      <c r="W48" s="298">
        <v>19.82</v>
      </c>
      <c r="X48" s="298">
        <v>22.4</v>
      </c>
      <c r="Y48" s="298">
        <v>24.979999999999997</v>
      </c>
      <c r="Z48" s="298">
        <v>27.58</v>
      </c>
      <c r="AA48" s="492"/>
      <c r="AB48" s="492"/>
      <c r="AC48" s="492"/>
      <c r="AD48" s="492"/>
      <c r="AE48" s="492"/>
      <c r="AF48" s="492"/>
      <c r="AG48" s="492"/>
      <c r="AH48" s="492"/>
      <c r="AI48" s="492"/>
      <c r="AJ48" s="492"/>
      <c r="AK48" s="76"/>
      <c r="AL48" s="117" t="e">
        <f>H50</f>
        <v>#VALUE!</v>
      </c>
      <c r="AM48" s="118" t="e">
        <f>INDEX(P45:AJ65,$H$51,$D$51)</f>
        <v>#VALUE!</v>
      </c>
      <c r="AN48" s="118" t="e">
        <f>(((AN47-AM47)/(AO47-AM47))*(AO48-AM48))+AM48</f>
        <v>#VALUE!</v>
      </c>
      <c r="AO48" s="118" t="e">
        <f>INDEX(P45:AJ65,$H$51,$E$51)</f>
        <v>#VALUE!</v>
      </c>
      <c r="AP48" s="45"/>
      <c r="AQ48" s="46"/>
    </row>
    <row r="49" spans="1:70" ht="16.5" thickBot="1" x14ac:dyDescent="0.3">
      <c r="B49" s="57"/>
      <c r="C49" s="92"/>
      <c r="D49" s="93" t="s">
        <v>64</v>
      </c>
      <c r="E49" s="94" t="s">
        <v>65</v>
      </c>
      <c r="F49" s="94"/>
      <c r="G49" s="101"/>
      <c r="H49" s="93" t="s">
        <v>64</v>
      </c>
      <c r="I49" s="95" t="s">
        <v>65</v>
      </c>
      <c r="J49" s="51"/>
      <c r="K49" s="51"/>
      <c r="L49" s="54"/>
      <c r="N49" s="79"/>
      <c r="O49" s="124">
        <f t="shared" si="153"/>
        <v>24</v>
      </c>
      <c r="P49" s="184">
        <v>5</v>
      </c>
      <c r="Q49" s="491"/>
      <c r="R49" s="298">
        <v>9.4</v>
      </c>
      <c r="S49" s="298">
        <v>12.93</v>
      </c>
      <c r="T49" s="298">
        <v>16.47</v>
      </c>
      <c r="U49" s="298">
        <v>20.010000000000002</v>
      </c>
      <c r="V49" s="298">
        <v>23.55</v>
      </c>
      <c r="W49" s="298">
        <v>27.09</v>
      </c>
      <c r="X49" s="298">
        <v>30.63</v>
      </c>
      <c r="Y49" s="298">
        <v>34.17</v>
      </c>
      <c r="Z49" s="298">
        <v>37.69</v>
      </c>
      <c r="AA49" s="492"/>
      <c r="AB49" s="492"/>
      <c r="AC49" s="492"/>
      <c r="AD49" s="492"/>
      <c r="AE49" s="492"/>
      <c r="AF49" s="492"/>
      <c r="AG49" s="492"/>
      <c r="AH49" s="492"/>
      <c r="AI49" s="492"/>
      <c r="AJ49" s="492"/>
      <c r="AK49" s="45"/>
      <c r="AL49" s="117" t="e">
        <f>C45</f>
        <v>#VALUE!</v>
      </c>
      <c r="AM49" s="118" t="e">
        <f>(((AL49-AL48)/(AL50-AL48))*(AM50-AM48))+AM48</f>
        <v>#VALUE!</v>
      </c>
      <c r="AN49" s="119" t="e">
        <f>IF(AND(AN47&gt;72,AL49&gt;72),5/0,IF(AN47=120,AM49,(((AN48-AM48)/(AO48-AM48))*(AO49-AM49))+AM49))</f>
        <v>#VALUE!</v>
      </c>
      <c r="AO49" s="118" t="e">
        <f>(((AL49-AL48)/(AL50-AL48))*(AO50-AO48))+AO48</f>
        <v>#VALUE!</v>
      </c>
      <c r="AP49" s="45"/>
      <c r="AQ49" s="46"/>
    </row>
    <row r="50" spans="1:70" ht="16.5" thickBot="1" x14ac:dyDescent="0.3">
      <c r="B50" s="57"/>
      <c r="C50" s="90"/>
      <c r="D50" s="88" t="e">
        <f>IF(AND(C44&lt;12,C44&gt;=H3),H3,FLOOR(C44/6,1)*6)</f>
        <v>#VALUE!</v>
      </c>
      <c r="E50" s="84" t="e">
        <f>IF(D50&lt;12,12,D50+6)</f>
        <v>#VALUE!</v>
      </c>
      <c r="F50" s="84"/>
      <c r="G50" s="102"/>
      <c r="H50" s="88" t="e">
        <f>IF(AND(C45&lt;12,C45&gt;=H5),H5,FLOOR(C45/6,1)*6)</f>
        <v>#VALUE!</v>
      </c>
      <c r="I50" s="85" t="e">
        <f>IF(H50&lt;12,12,H50+6)</f>
        <v>#VALUE!</v>
      </c>
      <c r="J50" s="51"/>
      <c r="K50" s="51"/>
      <c r="L50" s="54"/>
      <c r="N50" s="79"/>
      <c r="O50" s="124">
        <f t="shared" si="153"/>
        <v>30</v>
      </c>
      <c r="P50" s="184">
        <v>6</v>
      </c>
      <c r="Q50" s="491"/>
      <c r="R50" s="298">
        <v>11.17</v>
      </c>
      <c r="S50" s="298">
        <v>15.18</v>
      </c>
      <c r="T50" s="298">
        <v>19.2</v>
      </c>
      <c r="U50" s="298">
        <v>23.21</v>
      </c>
      <c r="V50" s="298">
        <v>27.22</v>
      </c>
      <c r="W50" s="298">
        <v>31.24</v>
      </c>
      <c r="X50" s="298">
        <v>35.25</v>
      </c>
      <c r="Y50" s="298">
        <v>39.26</v>
      </c>
      <c r="Z50" s="298">
        <v>43.27</v>
      </c>
      <c r="AA50" s="492"/>
      <c r="AB50" s="492"/>
      <c r="AC50" s="492"/>
      <c r="AD50" s="492"/>
      <c r="AE50" s="492"/>
      <c r="AF50" s="492"/>
      <c r="AG50" s="492"/>
      <c r="AH50" s="492"/>
      <c r="AI50" s="492"/>
      <c r="AJ50" s="492"/>
      <c r="AK50" s="45"/>
      <c r="AL50" s="117" t="e">
        <f>I50</f>
        <v>#VALUE!</v>
      </c>
      <c r="AM50" s="118" t="e">
        <f>INDEX(P45:AJ65,$I$51,$D$51)</f>
        <v>#VALUE!</v>
      </c>
      <c r="AN50" s="118" t="e">
        <f>(((AN47-AM47)/(AO47-AM47))*(AO50-AM50))+AM50</f>
        <v>#VALUE!</v>
      </c>
      <c r="AO50" s="118" t="e">
        <f>INDEX(P45:AJ65,$I$51,$E$51)</f>
        <v>#VALUE!</v>
      </c>
      <c r="AP50" s="45"/>
      <c r="AQ50" s="46"/>
    </row>
    <row r="51" spans="1:70" ht="15.75" thickBot="1" x14ac:dyDescent="0.3">
      <c r="B51" s="57"/>
      <c r="C51" s="90" t="s">
        <v>34</v>
      </c>
      <c r="D51" s="88" t="e">
        <f>HLOOKUP(D50,C16:W17,2)</f>
        <v>#VALUE!</v>
      </c>
      <c r="E51" s="84" t="e">
        <f>HLOOKUP(E50,C16:W17,2)</f>
        <v>#VALUE!</v>
      </c>
      <c r="F51" s="84"/>
      <c r="G51" s="102" t="s">
        <v>35</v>
      </c>
      <c r="H51" s="88" t="e">
        <f>VLOOKUP(H50,B17:C37,2)</f>
        <v>#VALUE!</v>
      </c>
      <c r="I51" s="85" t="e">
        <f>VLOOKUP(I50,B17:C37,2)</f>
        <v>#VALUE!</v>
      </c>
      <c r="J51" s="51"/>
      <c r="K51" s="51"/>
      <c r="L51" s="54"/>
      <c r="N51" s="79"/>
      <c r="O51" s="124">
        <f t="shared" si="153"/>
        <v>36</v>
      </c>
      <c r="P51" s="184">
        <v>7</v>
      </c>
      <c r="Q51" s="491"/>
      <c r="R51" s="298">
        <v>12.94</v>
      </c>
      <c r="S51" s="298">
        <v>17.43</v>
      </c>
      <c r="T51" s="298">
        <v>21.92</v>
      </c>
      <c r="U51" s="298">
        <v>26.41</v>
      </c>
      <c r="V51" s="298">
        <v>30.9</v>
      </c>
      <c r="W51" s="298">
        <v>35.39</v>
      </c>
      <c r="X51" s="298">
        <v>39.880000000000003</v>
      </c>
      <c r="Y51" s="298">
        <v>44.370000000000005</v>
      </c>
      <c r="Z51" s="298">
        <v>48.86</v>
      </c>
      <c r="AA51" s="492"/>
      <c r="AB51" s="492"/>
      <c r="AC51" s="492"/>
      <c r="AD51" s="492"/>
      <c r="AE51" s="492"/>
      <c r="AF51" s="492"/>
      <c r="AG51" s="492"/>
      <c r="AH51" s="492"/>
      <c r="AI51" s="492"/>
      <c r="AJ51" s="492"/>
      <c r="AK51" s="45"/>
      <c r="AL51" s="45"/>
      <c r="AM51" s="45"/>
      <c r="AN51" s="45"/>
      <c r="AO51" s="45"/>
      <c r="AP51" s="45"/>
      <c r="AQ51" s="46"/>
    </row>
    <row r="52" spans="1:70" ht="16.5" thickBot="1" x14ac:dyDescent="0.3">
      <c r="B52" s="57"/>
      <c r="C52" s="91"/>
      <c r="D52" s="89"/>
      <c r="E52" s="86"/>
      <c r="F52" s="86"/>
      <c r="G52" s="103"/>
      <c r="H52" s="89"/>
      <c r="I52" s="87"/>
      <c r="J52" s="51"/>
      <c r="K52" s="51"/>
      <c r="L52" s="54"/>
      <c r="N52" s="79"/>
      <c r="O52" s="124">
        <f t="shared" si="153"/>
        <v>42</v>
      </c>
      <c r="P52" s="184">
        <v>8</v>
      </c>
      <c r="Q52" s="491"/>
      <c r="R52" s="298">
        <v>15.43</v>
      </c>
      <c r="S52" s="298">
        <v>20.87</v>
      </c>
      <c r="T52" s="298">
        <v>26.32</v>
      </c>
      <c r="U52" s="298">
        <v>31.76</v>
      </c>
      <c r="V52" s="298">
        <v>37.200000000000003</v>
      </c>
      <c r="W52" s="298">
        <v>42.64</v>
      </c>
      <c r="X52" s="298">
        <v>48.09</v>
      </c>
      <c r="Y52" s="298">
        <v>53.53</v>
      </c>
      <c r="Z52" s="298">
        <v>58.97</v>
      </c>
      <c r="AA52" s="492"/>
      <c r="AB52" s="492"/>
      <c r="AC52" s="492"/>
      <c r="AD52" s="492"/>
      <c r="AE52" s="492"/>
      <c r="AF52" s="492"/>
      <c r="AG52" s="492"/>
      <c r="AH52" s="492"/>
      <c r="AI52" s="492"/>
      <c r="AJ52" s="492"/>
      <c r="AK52" s="45"/>
      <c r="AL52" s="117"/>
      <c r="AM52" s="117" t="e">
        <f>D69</f>
        <v>#VALUE!</v>
      </c>
      <c r="AN52" s="118" t="e">
        <f>C63</f>
        <v>#VALUE!</v>
      </c>
      <c r="AO52" s="117" t="e">
        <f>E69</f>
        <v>#VALUE!</v>
      </c>
      <c r="AP52" s="45"/>
      <c r="AQ52" s="46"/>
    </row>
    <row r="53" spans="1:70" ht="16.5" thickBot="1" x14ac:dyDescent="0.3">
      <c r="A53" s="71"/>
      <c r="B53" s="57"/>
      <c r="C53" s="51"/>
      <c r="D53" s="51"/>
      <c r="E53" s="51"/>
      <c r="F53" s="51"/>
      <c r="G53" s="51"/>
      <c r="H53" s="51"/>
      <c r="I53" s="51"/>
      <c r="J53" s="51"/>
      <c r="K53" s="51"/>
      <c r="L53" s="54"/>
      <c r="N53" s="79"/>
      <c r="O53" s="124">
        <f t="shared" si="153"/>
        <v>48</v>
      </c>
      <c r="P53" s="184">
        <v>9</v>
      </c>
      <c r="Q53" s="491"/>
      <c r="R53" s="298">
        <v>17.2</v>
      </c>
      <c r="S53" s="298">
        <v>23.12</v>
      </c>
      <c r="T53" s="298">
        <v>29.04</v>
      </c>
      <c r="U53" s="298">
        <v>34.96</v>
      </c>
      <c r="V53" s="298">
        <v>40.880000000000003</v>
      </c>
      <c r="W53" s="298">
        <v>46.8</v>
      </c>
      <c r="X53" s="298">
        <v>52.72</v>
      </c>
      <c r="Y53" s="298">
        <v>58.64</v>
      </c>
      <c r="Z53" s="298">
        <v>64.56</v>
      </c>
      <c r="AA53" s="492"/>
      <c r="AB53" s="492"/>
      <c r="AC53" s="492"/>
      <c r="AD53" s="492"/>
      <c r="AE53" s="492"/>
      <c r="AF53" s="492"/>
      <c r="AG53" s="492"/>
      <c r="AH53" s="492"/>
      <c r="AI53" s="492"/>
      <c r="AJ53" s="492"/>
      <c r="AK53" s="45"/>
      <c r="AL53" s="117" t="e">
        <f>H69</f>
        <v>#VALUE!</v>
      </c>
      <c r="AM53" s="118" t="e">
        <f>INDEX(P45:AJ65,$H$70,$D$70)</f>
        <v>#VALUE!</v>
      </c>
      <c r="AN53" s="118" t="e">
        <f>(((AN52-AM52)/(AO52-AM52))*(AO53-AM53))+AM53</f>
        <v>#VALUE!</v>
      </c>
      <c r="AO53" s="118" t="e">
        <f>INDEX(P45:AJ65,$H$70,$E$70)</f>
        <v>#VALUE!</v>
      </c>
      <c r="AP53" s="45"/>
      <c r="AQ53" s="46"/>
    </row>
    <row r="54" spans="1:70" ht="21.75" thickBot="1" x14ac:dyDescent="0.4">
      <c r="B54" s="151" t="s">
        <v>57</v>
      </c>
      <c r="C54" s="51"/>
      <c r="D54" s="2"/>
      <c r="E54" s="51"/>
      <c r="F54" s="51"/>
      <c r="G54" s="51"/>
      <c r="H54" s="51"/>
      <c r="I54" s="108"/>
      <c r="J54" s="108"/>
      <c r="K54" s="108"/>
      <c r="L54" s="54"/>
      <c r="N54" s="79"/>
      <c r="O54" s="124">
        <f t="shared" si="153"/>
        <v>54</v>
      </c>
      <c r="P54" s="184">
        <v>10</v>
      </c>
      <c r="Q54" s="491"/>
      <c r="R54" s="298">
        <v>18.98</v>
      </c>
      <c r="S54" s="298">
        <v>25.37</v>
      </c>
      <c r="T54" s="298">
        <v>31.77</v>
      </c>
      <c r="U54" s="298">
        <v>38.159999999999997</v>
      </c>
      <c r="V54" s="298">
        <v>44.55</v>
      </c>
      <c r="W54" s="298">
        <v>50.94</v>
      </c>
      <c r="X54" s="298">
        <v>57.33</v>
      </c>
      <c r="Y54" s="298">
        <v>63.72</v>
      </c>
      <c r="Z54" s="298">
        <v>70.14</v>
      </c>
      <c r="AA54" s="492"/>
      <c r="AB54" s="492"/>
      <c r="AC54" s="492"/>
      <c r="AD54" s="492"/>
      <c r="AE54" s="492"/>
      <c r="AF54" s="492"/>
      <c r="AG54" s="492"/>
      <c r="AH54" s="492"/>
      <c r="AI54" s="492"/>
      <c r="AJ54" s="492"/>
      <c r="AK54" s="45"/>
      <c r="AL54" s="413" t="e">
        <f>C64</f>
        <v>#VALUE!</v>
      </c>
      <c r="AM54" s="118" t="e">
        <f>(((AL54-AL53)/(AL55-AL53))*(AM55-AM53))+AM53</f>
        <v>#VALUE!</v>
      </c>
      <c r="AN54" s="119" t="e">
        <f>IF(AND(AN52&gt;72,AL54&gt;72),5/0,IF(AN52=120,AM54,(((AN53-AM53)/(AO53-AM53))*(AO54-AM54))+AM54))</f>
        <v>#VALUE!</v>
      </c>
      <c r="AO54" s="118" t="e">
        <f>(((AL54-AL53)/(AL55-AL53))*(AO55-AO53))+AO53</f>
        <v>#VALUE!</v>
      </c>
      <c r="AP54" s="45"/>
      <c r="AQ54" s="46"/>
      <c r="BR54">
        <f>1.24-0.75</f>
        <v>0.49</v>
      </c>
    </row>
    <row r="55" spans="1:70" ht="19.5" thickBot="1" x14ac:dyDescent="0.35">
      <c r="B55" s="57"/>
      <c r="C55" s="51"/>
      <c r="D55" s="83"/>
      <c r="E55" s="83" t="e">
        <f>D50</f>
        <v>#VALUE!</v>
      </c>
      <c r="F55" s="104" t="e">
        <f>C44</f>
        <v>#VALUE!</v>
      </c>
      <c r="G55" s="83" t="e">
        <f>E50</f>
        <v>#VALUE!</v>
      </c>
      <c r="H55" s="51"/>
      <c r="I55" s="108"/>
      <c r="J55" s="108"/>
      <c r="K55" s="108"/>
      <c r="L55" s="54"/>
      <c r="N55" s="79"/>
      <c r="O55" s="124">
        <f t="shared" si="153"/>
        <v>60</v>
      </c>
      <c r="P55" s="184">
        <v>11</v>
      </c>
      <c r="Q55" s="491"/>
      <c r="R55" s="298">
        <v>21.46</v>
      </c>
      <c r="S55" s="298">
        <v>28.81</v>
      </c>
      <c r="T55" s="298">
        <v>36.159999999999997</v>
      </c>
      <c r="U55" s="298">
        <v>43.51</v>
      </c>
      <c r="V55" s="298">
        <v>50.86</v>
      </c>
      <c r="W55" s="298">
        <v>58.21</v>
      </c>
      <c r="X55" s="298">
        <v>65.56</v>
      </c>
      <c r="Y55" s="298">
        <v>72.91</v>
      </c>
      <c r="Z55" s="298">
        <v>80.259999999999991</v>
      </c>
      <c r="AA55" s="492"/>
      <c r="AB55" s="492"/>
      <c r="AC55" s="492"/>
      <c r="AD55" s="492"/>
      <c r="AE55" s="492"/>
      <c r="AF55" s="492"/>
      <c r="AG55" s="492"/>
      <c r="AH55" s="492"/>
      <c r="AI55" s="492"/>
      <c r="AJ55" s="492"/>
      <c r="AK55" s="45"/>
      <c r="AL55" s="117" t="e">
        <f>I69</f>
        <v>#VALUE!</v>
      </c>
      <c r="AM55" s="118" t="e">
        <f>INDEX(P45:AJ65,$I$70,$D$70)</f>
        <v>#VALUE!</v>
      </c>
      <c r="AN55" s="118" t="e">
        <f>(((AN52-AM52)/(AO52-AM52))*(AO55-AM55))+AM55</f>
        <v>#VALUE!</v>
      </c>
      <c r="AO55" s="118" t="e">
        <f>INDEX(P45:AJ65,$I$70,$E$70)</f>
        <v>#VALUE!</v>
      </c>
      <c r="AP55" s="185"/>
      <c r="AQ55" s="46"/>
      <c r="BR55">
        <f>0.75+(2*0.49/3)</f>
        <v>1.0766666666666667</v>
      </c>
    </row>
    <row r="56" spans="1:70" ht="19.5" thickBot="1" x14ac:dyDescent="0.35">
      <c r="B56" s="57"/>
      <c r="C56" s="51"/>
      <c r="D56" s="83" t="e">
        <f>H50</f>
        <v>#VALUE!</v>
      </c>
      <c r="E56" s="105" t="e">
        <f>INDEX(C17:W37,$H$51,$D$51)</f>
        <v>#VALUE!</v>
      </c>
      <c r="F56" s="105" t="e">
        <f>(((F55-E55)/(G55-E55))*(G56-E56))+E56</f>
        <v>#VALUE!</v>
      </c>
      <c r="G56" s="105" t="e">
        <f>INDEX(C17:W37,$H$51,$E$51)</f>
        <v>#VALUE!</v>
      </c>
      <c r="H56" s="51"/>
      <c r="I56" s="108" t="s">
        <v>43</v>
      </c>
      <c r="J56" s="108" t="e">
        <f>F57*(C3*C5)/144</f>
        <v>#VALUE!</v>
      </c>
      <c r="K56" s="108" t="s">
        <v>42</v>
      </c>
      <c r="L56" s="54"/>
      <c r="N56" s="79"/>
      <c r="O56" s="124">
        <f t="shared" si="153"/>
        <v>66</v>
      </c>
      <c r="P56" s="184">
        <v>12</v>
      </c>
      <c r="Q56" s="491"/>
      <c r="R56" s="298">
        <v>23.24</v>
      </c>
      <c r="S56" s="298">
        <v>31.06</v>
      </c>
      <c r="T56" s="298">
        <v>38.89</v>
      </c>
      <c r="U56" s="298">
        <v>46.71</v>
      </c>
      <c r="V56" s="298">
        <v>54.53</v>
      </c>
      <c r="W56" s="298">
        <v>62.35</v>
      </c>
      <c r="X56" s="298">
        <v>70.17</v>
      </c>
      <c r="Y56" s="298">
        <v>77.990000000000009</v>
      </c>
      <c r="Z56" s="298">
        <v>85.84</v>
      </c>
      <c r="AA56" s="492"/>
      <c r="AB56" s="492"/>
      <c r="AC56" s="492"/>
      <c r="AD56" s="492"/>
      <c r="AE56" s="492"/>
      <c r="AF56" s="492"/>
      <c r="AG56" s="492"/>
      <c r="AH56" s="492"/>
      <c r="AI56" s="492"/>
      <c r="AJ56" s="492"/>
      <c r="AK56" s="45"/>
      <c r="AL56" s="327"/>
      <c r="AM56" s="327"/>
      <c r="AN56" s="327"/>
      <c r="AO56" s="327"/>
      <c r="AP56" s="327"/>
      <c r="AQ56" s="46"/>
    </row>
    <row r="57" spans="1:70" ht="19.5" thickBot="1" x14ac:dyDescent="0.35">
      <c r="B57" s="57"/>
      <c r="C57" s="51"/>
      <c r="D57" s="83" t="e">
        <f>C45</f>
        <v>#VALUE!</v>
      </c>
      <c r="E57" s="105" t="e">
        <f>(((D57-D56)/(D58-D56))*(E58-E56))+E56</f>
        <v>#VALUE!</v>
      </c>
      <c r="F57" s="106" t="e">
        <f>IF(AND(F55&gt;72,D57&gt;72),5/0,IF(F55=120,E57,(((F56-E56)/(G56-E56))*(G57-E57))+E57))</f>
        <v>#VALUE!</v>
      </c>
      <c r="G57" s="105" t="e">
        <f>(((D57-D56)/(D58-D56))*(G58-G56))+G56</f>
        <v>#VALUE!</v>
      </c>
      <c r="H57" s="51"/>
      <c r="I57" s="108"/>
      <c r="J57" s="108"/>
      <c r="K57" s="108"/>
      <c r="L57" s="54"/>
      <c r="N57" s="79"/>
      <c r="O57" s="124">
        <f t="shared" si="153"/>
        <v>72</v>
      </c>
      <c r="P57" s="184">
        <v>13</v>
      </c>
      <c r="Q57" s="491"/>
      <c r="R57" s="298">
        <v>25.02</v>
      </c>
      <c r="S57" s="298">
        <v>33.32</v>
      </c>
      <c r="T57" s="298">
        <v>41.62</v>
      </c>
      <c r="U57" s="298">
        <v>49.92</v>
      </c>
      <c r="V57" s="298">
        <v>58.22</v>
      </c>
      <c r="W57" s="298">
        <v>66.52</v>
      </c>
      <c r="X57" s="298">
        <v>74.819999999999993</v>
      </c>
      <c r="Y57" s="298">
        <v>83.11999999999999</v>
      </c>
      <c r="Z57" s="298">
        <v>91.42</v>
      </c>
      <c r="AA57" s="492"/>
      <c r="AB57" s="492"/>
      <c r="AC57" s="492"/>
      <c r="AD57" s="492"/>
      <c r="AE57" s="492"/>
      <c r="AF57" s="492"/>
      <c r="AG57" s="492"/>
      <c r="AH57" s="492"/>
      <c r="AI57" s="492"/>
      <c r="AJ57" s="492"/>
      <c r="AK57" s="45"/>
      <c r="AL57" s="45"/>
      <c r="AM57" s="327"/>
      <c r="AN57" s="186"/>
      <c r="AO57" s="185"/>
      <c r="AP57" s="325"/>
      <c r="AQ57" s="46"/>
    </row>
    <row r="58" spans="1:70" ht="19.5" thickBot="1" x14ac:dyDescent="0.35">
      <c r="B58" s="57"/>
      <c r="C58" s="51"/>
      <c r="D58" s="83" t="e">
        <f>I50</f>
        <v>#VALUE!</v>
      </c>
      <c r="E58" s="105" t="e">
        <f>INDEX(C17:W37,$I$51,$D$51)</f>
        <v>#VALUE!</v>
      </c>
      <c r="F58" s="105" t="e">
        <f>(((F55-E55)/(G55-E55))*(G58-E58))+E58</f>
        <v>#VALUE!</v>
      </c>
      <c r="G58" s="105" t="e">
        <f>INDEX(C17:W37,$I$51,$E$51)</f>
        <v>#VALUE!</v>
      </c>
      <c r="H58" s="51"/>
      <c r="I58" s="108"/>
      <c r="J58" s="108"/>
      <c r="K58" s="108"/>
      <c r="L58" s="54"/>
      <c r="N58" s="79"/>
      <c r="O58" s="124">
        <f t="shared" si="153"/>
        <v>78</v>
      </c>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AN49</f>
        <v>#VALUE!</v>
      </c>
      <c r="AP58" s="325" t="s">
        <v>141</v>
      </c>
      <c r="AQ58" s="46"/>
    </row>
    <row r="59" spans="1:70" ht="19.5" thickBot="1" x14ac:dyDescent="0.35">
      <c r="B59" s="57"/>
      <c r="C59" s="51"/>
      <c r="D59" s="51"/>
      <c r="E59" s="51"/>
      <c r="F59" s="51"/>
      <c r="G59" s="51"/>
      <c r="H59" s="51"/>
      <c r="I59" s="108"/>
      <c r="J59" s="108"/>
      <c r="K59" s="108"/>
      <c r="L59" s="54"/>
      <c r="N59" s="79"/>
      <c r="O59" s="124">
        <f t="shared" si="153"/>
        <v>84</v>
      </c>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AN54</f>
        <v>#VALUE!</v>
      </c>
      <c r="AP59" s="185" t="s">
        <v>141</v>
      </c>
      <c r="AQ59" s="77"/>
    </row>
    <row r="60" spans="1:70" ht="15.75" thickBot="1" x14ac:dyDescent="0.3">
      <c r="B60" s="57"/>
      <c r="C60" s="51"/>
      <c r="D60" s="51"/>
      <c r="E60" s="51"/>
      <c r="F60" s="51"/>
      <c r="G60" s="51"/>
      <c r="H60" s="51"/>
      <c r="I60" s="51"/>
      <c r="J60" s="51"/>
      <c r="K60" s="51"/>
      <c r="L60" s="54"/>
      <c r="N60" s="79"/>
      <c r="O60" s="124">
        <f t="shared" si="153"/>
        <v>90</v>
      </c>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70" ht="15.75" thickBot="1" x14ac:dyDescent="0.3">
      <c r="B61" s="57"/>
      <c r="C61" s="51"/>
      <c r="D61" s="51"/>
      <c r="E61" s="51"/>
      <c r="F61" s="51"/>
      <c r="G61" s="51"/>
      <c r="H61" s="51"/>
      <c r="I61" s="51"/>
      <c r="J61" s="51"/>
      <c r="K61" s="51"/>
      <c r="L61" s="54"/>
      <c r="N61" s="79"/>
      <c r="O61" s="124">
        <f t="shared" si="153"/>
        <v>96</v>
      </c>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70" ht="15.75" thickBot="1" x14ac:dyDescent="0.3">
      <c r="A62" s="1"/>
      <c r="B62" s="51"/>
      <c r="C62" s="51"/>
      <c r="D62" s="51"/>
      <c r="E62" s="51"/>
      <c r="F62" s="51"/>
      <c r="G62" s="51"/>
      <c r="H62" s="51"/>
      <c r="I62" s="51"/>
      <c r="J62" s="51"/>
      <c r="K62" s="51"/>
      <c r="L62" s="54"/>
      <c r="N62" s="79"/>
      <c r="O62" s="124">
        <f t="shared" si="153"/>
        <v>102</v>
      </c>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70" ht="19.5" thickBot="1" x14ac:dyDescent="0.35">
      <c r="A63" s="1"/>
      <c r="B63" s="150" t="s">
        <v>38</v>
      </c>
      <c r="C63" s="112" t="e">
        <f>F10</f>
        <v>#VALUE!</v>
      </c>
      <c r="D63" s="51"/>
      <c r="E63" s="51"/>
      <c r="F63" s="51"/>
      <c r="G63" s="51"/>
      <c r="H63" s="51"/>
      <c r="I63" s="51"/>
      <c r="J63" s="51"/>
      <c r="K63" s="51"/>
      <c r="L63" s="54"/>
      <c r="N63" s="79"/>
      <c r="O63" s="124">
        <f t="shared" si="153"/>
        <v>108</v>
      </c>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70" ht="19.5" thickBot="1" x14ac:dyDescent="0.35">
      <c r="B64" s="150" t="s">
        <v>39</v>
      </c>
      <c r="C64" s="112" t="e">
        <f>I10</f>
        <v>#VALUE!</v>
      </c>
      <c r="D64" s="2"/>
      <c r="E64" s="51"/>
      <c r="F64" s="51"/>
      <c r="G64" s="51"/>
      <c r="H64" s="51"/>
      <c r="I64" s="51"/>
      <c r="J64" s="51"/>
      <c r="K64" s="51"/>
      <c r="L64" s="54"/>
      <c r="N64" s="79"/>
      <c r="O64" s="124">
        <f t="shared" si="153"/>
        <v>114</v>
      </c>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21.75" thickBot="1" x14ac:dyDescent="0.4">
      <c r="B65" s="454" t="s">
        <v>63</v>
      </c>
      <c r="C65" s="51"/>
      <c r="D65" s="51"/>
      <c r="E65" s="51"/>
      <c r="F65" s="51"/>
      <c r="G65" s="51"/>
      <c r="H65" s="51"/>
      <c r="I65" s="51"/>
      <c r="J65" s="51"/>
      <c r="K65" s="51"/>
      <c r="L65" s="54"/>
      <c r="N65" s="79"/>
      <c r="O65" s="124">
        <f t="shared" si="153"/>
        <v>120</v>
      </c>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57"/>
      <c r="C66" s="2"/>
      <c r="D66" s="51"/>
      <c r="E66" s="51"/>
      <c r="F66" s="51"/>
      <c r="G66" s="51"/>
      <c r="H66" s="51"/>
      <c r="I66" s="51"/>
      <c r="J66" s="51"/>
      <c r="K66" s="51"/>
      <c r="L66" s="54"/>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57"/>
      <c r="C67" s="96"/>
      <c r="D67" s="97" t="s">
        <v>32</v>
      </c>
      <c r="E67" s="98"/>
      <c r="F67" s="98"/>
      <c r="G67" s="100"/>
      <c r="H67" s="97" t="s">
        <v>33</v>
      </c>
      <c r="I67" s="99"/>
      <c r="J67" s="51"/>
      <c r="K67" s="51"/>
      <c r="L67" s="54"/>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57"/>
      <c r="C68" s="92"/>
      <c r="D68" s="93" t="s">
        <v>64</v>
      </c>
      <c r="E68" s="94" t="s">
        <v>65</v>
      </c>
      <c r="F68" s="94"/>
      <c r="G68" s="101"/>
      <c r="H68" s="93" t="s">
        <v>64</v>
      </c>
      <c r="I68" s="95" t="s">
        <v>65</v>
      </c>
      <c r="J68" s="51"/>
      <c r="K68" s="51"/>
      <c r="L68" s="54"/>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57"/>
      <c r="C69" s="90"/>
      <c r="D69" s="88" t="e">
        <f>IF(AND(C63&lt;12,C63&gt;=H3),H3,FLOOR(C63/6,1)*6)</f>
        <v>#VALUE!</v>
      </c>
      <c r="E69" s="84" t="e">
        <f>IF(D69&lt;12,12,D69+6)</f>
        <v>#VALUE!</v>
      </c>
      <c r="F69" s="84"/>
      <c r="G69" s="102"/>
      <c r="H69" s="88" t="e">
        <f>IF(AND(C64&lt;12,C64&gt;=H5),H5,FLOOR(C64/6,1)*6)</f>
        <v>#VALUE!</v>
      </c>
      <c r="I69" s="85" t="e">
        <f>IF(H69&lt;12,12,H69+6)</f>
        <v>#VALUE!</v>
      </c>
      <c r="J69" s="51"/>
      <c r="K69" s="51"/>
      <c r="L69" s="54"/>
      <c r="BG69" s="2"/>
      <c r="BH69" s="2"/>
    </row>
    <row r="70" spans="1:79" ht="24" thickBot="1" x14ac:dyDescent="0.4">
      <c r="A70" s="2"/>
      <c r="B70" s="57"/>
      <c r="C70" s="90" t="s">
        <v>34</v>
      </c>
      <c r="D70" s="88" t="e">
        <f>HLOOKUP(D69,C16:W17,2)</f>
        <v>#VALUE!</v>
      </c>
      <c r="E70" s="84" t="e">
        <f>HLOOKUP(E69,C16:W17,2)</f>
        <v>#VALUE!</v>
      </c>
      <c r="F70" s="84"/>
      <c r="G70" s="102" t="s">
        <v>35</v>
      </c>
      <c r="H70" s="88" t="e">
        <f>VLOOKUP(H69,B17:C37,2)</f>
        <v>#VALUE!</v>
      </c>
      <c r="I70" s="85" t="e">
        <f>VLOOKUP(I69,B17:C37,2)</f>
        <v>#VALUE!</v>
      </c>
      <c r="J70" s="51"/>
      <c r="K70" s="51"/>
      <c r="L70" s="54"/>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57"/>
      <c r="C71" s="91"/>
      <c r="D71" s="89"/>
      <c r="E71" s="86"/>
      <c r="F71" s="86"/>
      <c r="G71" s="103"/>
      <c r="H71" s="89"/>
      <c r="I71" s="87"/>
      <c r="J71" s="51"/>
      <c r="K71" s="51"/>
      <c r="L71" s="54"/>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57"/>
      <c r="C72" s="51"/>
      <c r="D72" s="51"/>
      <c r="E72" s="51"/>
      <c r="F72" s="51"/>
      <c r="G72" s="51"/>
      <c r="H72" s="51"/>
      <c r="I72" s="51"/>
      <c r="J72" s="51"/>
      <c r="K72" s="51"/>
      <c r="L72" s="54"/>
      <c r="N72" s="997"/>
      <c r="O72" s="423" t="s">
        <v>243</v>
      </c>
      <c r="P72" s="422"/>
      <c r="Q72" s="40"/>
      <c r="R72" s="423" t="s">
        <v>248</v>
      </c>
      <c r="S72" s="40"/>
      <c r="T72" s="40"/>
      <c r="U72" s="423" t="s">
        <v>249</v>
      </c>
      <c r="V72" s="40"/>
      <c r="W72" s="169"/>
      <c r="X72" s="193"/>
      <c r="Y72" s="41"/>
      <c r="Z72" s="496" t="s">
        <v>149</v>
      </c>
      <c r="AA72" s="40"/>
      <c r="AB72" s="40" t="e">
        <f>(AO58*D12*2)+(AO59*G12*2)</f>
        <v>#VALUE!</v>
      </c>
      <c r="AC72" s="40" t="s">
        <v>141</v>
      </c>
      <c r="AD72" s="585"/>
      <c r="AE72" s="40"/>
      <c r="AF72" s="40"/>
      <c r="AG72" s="40"/>
      <c r="AH72" s="40"/>
      <c r="AI72" s="40"/>
      <c r="AJ72" s="169"/>
      <c r="BF72" s="2"/>
      <c r="BG72" s="2"/>
    </row>
    <row r="73" spans="1:79" ht="21" x14ac:dyDescent="0.35">
      <c r="A73" s="2"/>
      <c r="B73" s="151" t="s">
        <v>57</v>
      </c>
      <c r="C73" s="51"/>
      <c r="D73" s="2"/>
      <c r="E73" s="51"/>
      <c r="F73" s="51"/>
      <c r="G73" s="51"/>
      <c r="H73" s="51"/>
      <c r="I73" s="51"/>
      <c r="J73" s="51"/>
      <c r="K73" s="51"/>
      <c r="L73" s="54"/>
      <c r="N73" s="504"/>
      <c r="O73" s="223" t="s">
        <v>142</v>
      </c>
      <c r="P73" s="40">
        <v>0.16</v>
      </c>
      <c r="Q73" s="40" t="s">
        <v>139</v>
      </c>
      <c r="R73" s="40" t="s">
        <v>313</v>
      </c>
      <c r="S73" s="40">
        <f>0.5</f>
        <v>0.5</v>
      </c>
      <c r="T73" s="40" t="s">
        <v>141</v>
      </c>
      <c r="U73" s="581" t="str">
        <f>IF(C4&gt;103.815,"GA_12.25",IF(AND(C3&lt;=103.815,C4&lt;=31.815),"OP_12.25","SE_12.25"))</f>
        <v>GA_12.25</v>
      </c>
      <c r="V73" s="583" t="e">
        <f>INDEX(BC_ROOF!J2:K10, MATCH(U73,BC_ROOF!J2:J10,0),2)</f>
        <v>#VALUE!</v>
      </c>
      <c r="W73" s="169" t="s">
        <v>141</v>
      </c>
      <c r="X73" s="193"/>
      <c r="Y73" s="41"/>
      <c r="Z73" s="496" t="s">
        <v>247</v>
      </c>
      <c r="AA73" s="40"/>
      <c r="AB73" s="415" t="e">
        <f>P76</f>
        <v>#VALUE!</v>
      </c>
      <c r="AC73" s="40" t="s">
        <v>141</v>
      </c>
      <c r="AD73" s="40"/>
      <c r="AE73" s="40"/>
      <c r="AF73" s="40"/>
      <c r="AG73" s="40"/>
      <c r="AH73" s="40"/>
      <c r="AI73" s="40"/>
      <c r="AJ73" s="169"/>
      <c r="BF73" s="2"/>
    </row>
    <row r="74" spans="1:79" ht="15.75" x14ac:dyDescent="0.25">
      <c r="A74" s="2"/>
      <c r="B74" s="57"/>
      <c r="C74" s="51"/>
      <c r="D74" s="83"/>
      <c r="E74" s="83" t="e">
        <f>D69</f>
        <v>#VALUE!</v>
      </c>
      <c r="F74" s="104" t="e">
        <f>C63</f>
        <v>#VALUE!</v>
      </c>
      <c r="G74" s="83" t="e">
        <f>E69</f>
        <v>#VALUE!</v>
      </c>
      <c r="H74" s="51"/>
      <c r="I74" s="51"/>
      <c r="J74" s="51"/>
      <c r="K74" s="51"/>
      <c r="L74" s="54"/>
      <c r="N74" s="420"/>
      <c r="O74" s="40" t="s">
        <v>231</v>
      </c>
      <c r="P74" s="40" t="str">
        <f>C5</f>
        <v>ENTER HEIGHT</v>
      </c>
      <c r="Q74" s="40" t="s">
        <v>151</v>
      </c>
      <c r="R74" s="40" t="s">
        <v>244</v>
      </c>
      <c r="S74" s="40" t="e">
        <f>D13</f>
        <v>#VALUE!</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57"/>
      <c r="C75" s="51"/>
      <c r="D75" s="83" t="e">
        <f>H69</f>
        <v>#VALUE!</v>
      </c>
      <c r="E75" s="105" t="e">
        <f>INDEX(C17:W37,$H$70,$D$70)</f>
        <v>#VALUE!</v>
      </c>
      <c r="F75" s="105" t="e">
        <f>(((F74-E74)/(G74-E74))*(G75-E75))+E75</f>
        <v>#VALUE!</v>
      </c>
      <c r="G75" s="105" t="e">
        <f>INDEX(C17:W37,$H$70,$E$70)</f>
        <v>#VALUE!</v>
      </c>
      <c r="H75" s="51"/>
      <c r="I75" s="51"/>
      <c r="J75" s="51"/>
      <c r="K75" s="51"/>
      <c r="L75" s="54"/>
      <c r="N75" s="41"/>
      <c r="O75" s="40"/>
      <c r="P75" s="40"/>
      <c r="Q75" s="40"/>
      <c r="R75" s="40"/>
      <c r="S75" s="40"/>
      <c r="T75" s="40"/>
      <c r="U75" s="40"/>
      <c r="V75" s="40"/>
      <c r="W75" s="169"/>
      <c r="X75" s="193"/>
      <c r="Y75" s="41"/>
      <c r="Z75" s="496" t="s">
        <v>248</v>
      </c>
      <c r="AA75" s="40"/>
      <c r="AB75" s="40" t="e">
        <f>S76</f>
        <v>#VALUE!</v>
      </c>
      <c r="AC75" s="40" t="s">
        <v>141</v>
      </c>
      <c r="AD75" s="40"/>
      <c r="AE75" s="40"/>
      <c r="AF75" s="40"/>
      <c r="AG75" s="40"/>
      <c r="AH75" s="40"/>
      <c r="AI75" s="40"/>
      <c r="AJ75" s="169"/>
    </row>
    <row r="76" spans="1:79" ht="18.75" x14ac:dyDescent="0.3">
      <c r="A76" s="2"/>
      <c r="B76" s="57"/>
      <c r="C76" s="51"/>
      <c r="D76" s="83" t="e">
        <f>C64</f>
        <v>#VALUE!</v>
      </c>
      <c r="E76" s="105" t="e">
        <f>(((D76-D75)/(D77-D75))*(E77-E75))+E75</f>
        <v>#VALUE!</v>
      </c>
      <c r="F76" s="106" t="e">
        <f>IF(AND(F74&gt;72,D76&gt;72),5/0,IF(F74=120,E76,(((F75-E75)/(G75-E75))*(G76-E76))+E76))</f>
        <v>#VALUE!</v>
      </c>
      <c r="G76" s="105" t="e">
        <f>(((D76-D75)/(D77-D75))*(G77-G75))+G75</f>
        <v>#VALUE!</v>
      </c>
      <c r="H76" s="51"/>
      <c r="I76" s="108" t="s">
        <v>43</v>
      </c>
      <c r="J76" s="108" t="e">
        <f>F76*(C4*C5)/144</f>
        <v>#VALUE!</v>
      </c>
      <c r="K76" s="108" t="s">
        <v>42</v>
      </c>
      <c r="L76" s="54"/>
      <c r="N76" s="41"/>
      <c r="O76" s="499" t="s">
        <v>247</v>
      </c>
      <c r="P76" s="40" t="e">
        <f>4*(P73*P74)</f>
        <v>#VALUE!</v>
      </c>
      <c r="Q76" s="40" t="s">
        <v>141</v>
      </c>
      <c r="R76" s="495" t="s">
        <v>248</v>
      </c>
      <c r="S76" s="40" t="e">
        <f>S74*2*S73</f>
        <v>#VALUE!</v>
      </c>
      <c r="T76" s="40" t="s">
        <v>141</v>
      </c>
      <c r="U76" s="582" t="s">
        <v>249</v>
      </c>
      <c r="V76" s="583" t="e">
        <f>V73</f>
        <v>#VALUE!</v>
      </c>
      <c r="W76" s="169" t="s">
        <v>141</v>
      </c>
      <c r="X76" s="193"/>
      <c r="Y76" s="41"/>
      <c r="Z76" s="496" t="s">
        <v>245</v>
      </c>
      <c r="AA76" s="40"/>
      <c r="AB76" s="40" t="e">
        <f>S83</f>
        <v>#VALUE!</v>
      </c>
      <c r="AC76" s="40" t="s">
        <v>141</v>
      </c>
      <c r="AD76" s="40"/>
      <c r="AE76" s="40"/>
      <c r="AF76" s="40"/>
      <c r="AG76" s="40"/>
      <c r="AH76" s="40"/>
      <c r="AI76" s="40"/>
      <c r="AJ76" s="169"/>
      <c r="BS76" s="2"/>
      <c r="BT76" s="2"/>
      <c r="BU76" s="2"/>
      <c r="BV76" s="2"/>
      <c r="BW76" s="2"/>
      <c r="BX76" s="2"/>
      <c r="BY76" s="2"/>
      <c r="BZ76" s="2"/>
      <c r="CA76" s="2"/>
    </row>
    <row r="77" spans="1:79" ht="18.75" x14ac:dyDescent="0.3">
      <c r="B77" s="57"/>
      <c r="C77" s="51"/>
      <c r="D77" s="83" t="e">
        <f>I69</f>
        <v>#VALUE!</v>
      </c>
      <c r="E77" s="105" t="e">
        <f>INDEX(C17:W37,$I$70,$D$70)</f>
        <v>#VALUE!</v>
      </c>
      <c r="F77" s="105" t="e">
        <f>(((F74-E74)/(G74-E74))*(G77-E77))+E77</f>
        <v>#VALUE!</v>
      </c>
      <c r="G77" s="105" t="e">
        <f>INDEX(C17:W37,$I$70,$E$70)</f>
        <v>#VALUE!</v>
      </c>
      <c r="H77" s="51"/>
      <c r="I77" s="108"/>
      <c r="J77" s="108"/>
      <c r="K77" s="108"/>
      <c r="L77" s="54"/>
      <c r="N77" s="41"/>
      <c r="O77" s="423"/>
      <c r="P77" s="40"/>
      <c r="Q77" s="40"/>
      <c r="R77" s="40"/>
      <c r="S77" s="40"/>
      <c r="T77" s="40"/>
      <c r="U77" s="40"/>
      <c r="V77" s="40"/>
      <c r="W77" s="169"/>
      <c r="X77" s="193"/>
      <c r="Y77" s="41"/>
      <c r="Z77" s="496" t="s">
        <v>246</v>
      </c>
      <c r="AA77" s="40"/>
      <c r="AB77" s="40" t="e">
        <f>V83</f>
        <v>#VALUE!</v>
      </c>
      <c r="AC77" s="40" t="s">
        <v>141</v>
      </c>
      <c r="AD77" s="40"/>
      <c r="AE77" s="40"/>
      <c r="AF77" s="40"/>
      <c r="AG77" s="40"/>
      <c r="AH77" s="40"/>
      <c r="AI77" s="40"/>
      <c r="AJ77" s="169"/>
      <c r="BS77" s="2"/>
      <c r="BT77" s="2"/>
      <c r="BU77" s="2"/>
      <c r="BV77" s="2"/>
      <c r="BW77" s="2"/>
      <c r="BX77" s="2"/>
      <c r="BY77" s="2"/>
      <c r="BZ77" s="2"/>
      <c r="CA77" s="2"/>
    </row>
    <row r="78" spans="1:79" x14ac:dyDescent="0.25">
      <c r="B78" s="57"/>
      <c r="C78" s="51"/>
      <c r="D78" s="51"/>
      <c r="E78" s="51"/>
      <c r="F78" s="51"/>
      <c r="G78" s="51"/>
      <c r="H78" s="51"/>
      <c r="I78" s="51"/>
      <c r="J78" s="51"/>
      <c r="K78" s="51"/>
      <c r="L78" s="54"/>
      <c r="N78" s="41"/>
      <c r="O78" s="423"/>
      <c r="P78" s="40"/>
      <c r="Q78" s="40"/>
      <c r="R78" s="40"/>
      <c r="S78" s="40"/>
      <c r="T78" s="40"/>
      <c r="U78" s="40"/>
      <c r="V78" s="40"/>
      <c r="W78" s="169"/>
      <c r="X78" s="193"/>
      <c r="Y78" s="41"/>
      <c r="Z78" s="496" t="s">
        <v>249</v>
      </c>
      <c r="AA78" s="40"/>
      <c r="AB78" s="40" t="e">
        <f>V76</f>
        <v>#VALUE!</v>
      </c>
      <c r="AC78" s="40" t="s">
        <v>141</v>
      </c>
      <c r="AD78" s="40"/>
      <c r="AE78" s="40"/>
      <c r="AF78" s="40"/>
      <c r="AG78" s="40"/>
      <c r="AH78" s="40"/>
      <c r="AI78" s="40"/>
      <c r="AJ78" s="169"/>
      <c r="BS78" s="2"/>
      <c r="BT78" s="2"/>
      <c r="BU78" s="2"/>
      <c r="BV78" s="2"/>
      <c r="BW78" s="2"/>
      <c r="BX78" s="2"/>
      <c r="BY78" s="2"/>
      <c r="BZ78" s="2"/>
      <c r="CA78" s="2"/>
    </row>
    <row r="79" spans="1:79" x14ac:dyDescent="0.25">
      <c r="B79" s="57"/>
      <c r="C79" s="51"/>
      <c r="D79" s="51"/>
      <c r="E79" s="51"/>
      <c r="F79" s="51"/>
      <c r="G79" s="51"/>
      <c r="H79" s="51"/>
      <c r="I79" s="51"/>
      <c r="J79" s="51"/>
      <c r="K79" s="51"/>
      <c r="L79" s="54"/>
      <c r="N79" s="41"/>
      <c r="O79" s="423" t="s">
        <v>148</v>
      </c>
      <c r="P79" s="40"/>
      <c r="Q79" s="40"/>
      <c r="R79" s="423" t="s">
        <v>245</v>
      </c>
      <c r="S79" s="40"/>
      <c r="T79" s="40"/>
      <c r="U79" s="423" t="s">
        <v>246</v>
      </c>
      <c r="V79" s="40"/>
      <c r="W79" s="169"/>
      <c r="X79" s="193"/>
      <c r="Y79" s="41"/>
      <c r="Z79" s="40"/>
      <c r="AA79" s="40"/>
      <c r="AB79" s="40"/>
      <c r="AC79" s="40"/>
      <c r="AD79" s="40"/>
      <c r="AE79" s="40"/>
      <c r="AF79" s="40"/>
      <c r="AG79" s="40"/>
      <c r="AH79" s="40"/>
      <c r="AI79" s="40"/>
      <c r="AJ79" s="169"/>
      <c r="BS79" s="2"/>
      <c r="BT79" s="2"/>
      <c r="BU79" s="2"/>
      <c r="BV79" s="2"/>
      <c r="BW79" s="2"/>
      <c r="BX79" s="2"/>
      <c r="BY79" s="2"/>
      <c r="BZ79" s="2"/>
      <c r="CA79" s="2"/>
    </row>
    <row r="80" spans="1:79" x14ac:dyDescent="0.25">
      <c r="B80" s="57"/>
      <c r="C80" s="51"/>
      <c r="D80" s="51"/>
      <c r="E80" s="51"/>
      <c r="F80" s="51"/>
      <c r="G80" s="51"/>
      <c r="H80" s="51"/>
      <c r="I80" s="51"/>
      <c r="J80" s="51"/>
      <c r="K80" s="51"/>
      <c r="L80" s="54"/>
      <c r="N80" s="41"/>
      <c r="O80" s="223" t="s">
        <v>142</v>
      </c>
      <c r="P80" s="40">
        <v>8.9999999999999998E-4</v>
      </c>
      <c r="Q80" s="40" t="s">
        <v>147</v>
      </c>
      <c r="R80" s="40" t="s">
        <v>142</v>
      </c>
      <c r="S80" s="783">
        <f>0.0958333333333333*2</f>
        <v>0.1916666666666666</v>
      </c>
      <c r="T80" s="40" t="s">
        <v>141</v>
      </c>
      <c r="U80" s="40" t="s">
        <v>142</v>
      </c>
      <c r="V80" s="40">
        <v>4.8500000000000001E-2</v>
      </c>
      <c r="W80" s="169" t="s">
        <v>141</v>
      </c>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41" ht="21.75" thickBot="1" x14ac:dyDescent="0.4">
      <c r="B81" s="151" t="s">
        <v>66</v>
      </c>
      <c r="C81" s="51"/>
      <c r="D81" s="51"/>
      <c r="E81" s="51"/>
      <c r="F81" s="51"/>
      <c r="G81" s="51"/>
      <c r="H81" s="51"/>
      <c r="I81" s="51"/>
      <c r="J81" s="51"/>
      <c r="K81" s="51"/>
      <c r="L81" s="54"/>
      <c r="N81" s="41"/>
      <c r="O81" s="223" t="s">
        <v>152</v>
      </c>
      <c r="P81" s="40" t="e">
        <f>(C3*C5*2)+(C4*C5*2)</f>
        <v>#VALUE!</v>
      </c>
      <c r="Q81" s="40" t="s">
        <v>153</v>
      </c>
      <c r="R81" s="40" t="s">
        <v>231</v>
      </c>
      <c r="S81" s="40" t="str">
        <f>C5</f>
        <v>ENTER HEIGHT</v>
      </c>
      <c r="T81" s="40" t="s">
        <v>151</v>
      </c>
      <c r="U81" s="40" t="s">
        <v>230</v>
      </c>
      <c r="V81" s="40" t="str">
        <f>C4</f>
        <v>ENTER WIDTH</v>
      </c>
      <c r="W81" s="169" t="s">
        <v>151</v>
      </c>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41" ht="18.75" x14ac:dyDescent="0.3">
      <c r="A82" s="2"/>
      <c r="B82" s="152"/>
      <c r="C82" s="51"/>
      <c r="D82" s="107"/>
      <c r="E82" s="159"/>
      <c r="F82" s="51"/>
      <c r="G82" s="523"/>
      <c r="H82" s="524" t="s">
        <v>270</v>
      </c>
      <c r="I82" s="525"/>
      <c r="J82" s="526"/>
      <c r="K82" s="51"/>
      <c r="L82" s="54"/>
      <c r="N82" s="41"/>
      <c r="O82" s="223"/>
      <c r="P82" s="40"/>
      <c r="Q82" s="40"/>
      <c r="R82" s="40" t="s">
        <v>374</v>
      </c>
      <c r="S82" s="40">
        <f>0.93*2</f>
        <v>1.86</v>
      </c>
      <c r="T82" s="40" t="s">
        <v>141</v>
      </c>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41" ht="18.75" x14ac:dyDescent="0.3">
      <c r="A83" s="2"/>
      <c r="B83" s="152" t="s">
        <v>189</v>
      </c>
      <c r="C83" s="51"/>
      <c r="D83" s="107" t="str">
        <f>IF(OR(C3&gt;I3,C4&gt;I4,C5&gt;I5),"",(J56*2)+(J76*2))</f>
        <v/>
      </c>
      <c r="E83" s="159" t="s">
        <v>42</v>
      </c>
      <c r="F83" s="51"/>
      <c r="G83" s="518"/>
      <c r="H83" s="198" t="str">
        <f>C1&amp;"_ENG_FA"</f>
        <v>BCDE635_ENG_FA</v>
      </c>
      <c r="I83" s="107" t="e">
        <f>(J56*2)+(J76*2)</f>
        <v>#VALUE!</v>
      </c>
      <c r="J83" s="519" t="s">
        <v>42</v>
      </c>
      <c r="K83" s="51"/>
      <c r="L83" s="54"/>
      <c r="N83" s="41"/>
      <c r="O83" s="435" t="s">
        <v>148</v>
      </c>
      <c r="P83" s="415" t="e">
        <f>P80*P81</f>
        <v>#VALUE!</v>
      </c>
      <c r="Q83" s="40" t="s">
        <v>141</v>
      </c>
      <c r="R83" s="495" t="s">
        <v>245</v>
      </c>
      <c r="S83" s="40" t="e">
        <f>IF(D12&gt;=3,((S80*S81)+S82)*(D12-1),0)</f>
        <v>#VALUE!</v>
      </c>
      <c r="T83" s="40" t="s">
        <v>141</v>
      </c>
      <c r="U83" s="495" t="s">
        <v>246</v>
      </c>
      <c r="V83" s="40" t="e">
        <f>IF(D12&gt;=3,((V80*V81)*(D12-1)),0)</f>
        <v>#VALUE!</v>
      </c>
      <c r="W83" s="169" t="s">
        <v>141</v>
      </c>
      <c r="X83" s="193"/>
      <c r="Y83" s="41"/>
      <c r="Z83" s="40"/>
      <c r="AA83" s="40"/>
      <c r="AB83" s="40"/>
      <c r="AC83" s="40"/>
      <c r="AD83" s="40"/>
      <c r="AE83" s="40"/>
      <c r="AF83" s="40"/>
      <c r="AG83" s="40"/>
      <c r="AH83" s="40"/>
      <c r="AI83" s="40"/>
      <c r="AJ83" s="169"/>
      <c r="BS83" s="2"/>
      <c r="BT83" s="2"/>
      <c r="BU83" s="2"/>
      <c r="BV83" s="2"/>
      <c r="BW83" s="2"/>
      <c r="BX83" s="2"/>
      <c r="BY83" s="2"/>
      <c r="BZ83" s="2"/>
      <c r="CA83" s="2"/>
    </row>
    <row r="84" spans="1:141" ht="18.75" x14ac:dyDescent="0.3">
      <c r="A84" s="2"/>
      <c r="B84" s="152" t="s">
        <v>190</v>
      </c>
      <c r="C84" s="51"/>
      <c r="D84" s="107" t="e">
        <f>((C3*C5*2)+(C4*C5*2))/144</f>
        <v>#VALUE!</v>
      </c>
      <c r="E84" s="159" t="s">
        <v>42</v>
      </c>
      <c r="F84" s="51"/>
      <c r="G84" s="520"/>
      <c r="H84" s="198" t="str">
        <f>C1&amp;"_ENG_FACE_AREA"</f>
        <v>BCDE635_ENG_FACE_AREA</v>
      </c>
      <c r="I84" s="107" t="e">
        <f>((C3*C5*2)+(C4*C5*2))/144</f>
        <v>#VALUE!</v>
      </c>
      <c r="J84" s="519" t="s">
        <v>42</v>
      </c>
      <c r="K84" s="51"/>
      <c r="L84" s="54"/>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41" ht="18.75" x14ac:dyDescent="0.3">
      <c r="A85" s="2"/>
      <c r="B85" s="152" t="s">
        <v>191</v>
      </c>
      <c r="C85" s="51"/>
      <c r="D85" s="107" t="e">
        <f>(D83/D84)*100</f>
        <v>#VALUE!</v>
      </c>
      <c r="E85" s="159" t="s">
        <v>13</v>
      </c>
      <c r="F85" s="51"/>
      <c r="G85" s="520"/>
      <c r="H85" s="198" t="str">
        <f>C1&amp;"_ENG_FA%"</f>
        <v>BCDE635_ENG_FA%</v>
      </c>
      <c r="I85" s="107" t="e">
        <f>(I83/I84)*100</f>
        <v>#VALUE!</v>
      </c>
      <c r="J85" s="519" t="s">
        <v>13</v>
      </c>
      <c r="K85" s="51"/>
      <c r="L85" s="54"/>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41" ht="19.5" thickBot="1" x14ac:dyDescent="0.35">
      <c r="A86" s="2"/>
      <c r="B86" s="57"/>
      <c r="C86" s="82"/>
      <c r="D86" s="51"/>
      <c r="E86" s="51"/>
      <c r="F86" s="51"/>
      <c r="G86" s="520"/>
      <c r="H86" s="198" t="str">
        <f>C1&amp;"_ENG_VEL"</f>
        <v>BCDE635_ENG_VEL</v>
      </c>
      <c r="I86" s="510" t="e">
        <f>C6/I83</f>
        <v>#VALUE!</v>
      </c>
      <c r="J86" s="527" t="s">
        <v>45</v>
      </c>
      <c r="K86" s="51"/>
      <c r="L86" s="54"/>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41" ht="18.75" x14ac:dyDescent="0.3">
      <c r="B87" s="470" t="s">
        <v>68</v>
      </c>
      <c r="C87" s="40"/>
      <c r="D87" s="494" t="e">
        <f>C6/D83</f>
        <v>#VALUE!</v>
      </c>
      <c r="E87" s="159" t="s">
        <v>45</v>
      </c>
      <c r="F87" s="471"/>
      <c r="G87" s="528" t="s">
        <v>69</v>
      </c>
      <c r="H87" s="516" t="str">
        <f>C1&amp;"_ENG_P_IN"</f>
        <v>BCDE635_ENG_P_IN</v>
      </c>
      <c r="I87" s="107" t="e">
        <f>1.70654844438105E-07*I86^2 + 7.72494047896E-19* - 2.15105711021124E-16</f>
        <v>#VALUE!</v>
      </c>
      <c r="J87" s="527" t="s">
        <v>85</v>
      </c>
      <c r="K87" s="51"/>
      <c r="L87" s="54"/>
      <c r="BS87" s="2"/>
      <c r="BT87" s="2"/>
      <c r="BU87" s="2"/>
      <c r="BV87" s="2"/>
      <c r="BW87" s="2"/>
      <c r="BX87" s="2"/>
      <c r="BY87" s="2"/>
      <c r="BZ87" s="2"/>
      <c r="CA87" s="2"/>
    </row>
    <row r="88" spans="1:141" ht="19.5" thickBot="1" x14ac:dyDescent="0.35">
      <c r="B88" s="472" t="s">
        <v>69</v>
      </c>
      <c r="C88" s="473" t="s">
        <v>6</v>
      </c>
      <c r="D88" s="494" t="e">
        <f>1.4549150436898E-07*D87^2 + 2.818925648462E-18*D87 - 4.48946435582798E-15</f>
        <v>#VALUE!</v>
      </c>
      <c r="E88" s="159" t="s">
        <v>85</v>
      </c>
      <c r="F88" s="471"/>
      <c r="G88" s="521"/>
      <c r="H88" s="529" t="str">
        <f>C1&amp;"_ENG_P_EX"</f>
        <v>BCDE635_ENG_P_EX</v>
      </c>
      <c r="I88" s="530" t="e">
        <f>1.45002333746652E-07*I86^2 + 7.99599102208E-19*+ 5.27355936696949E-16</f>
        <v>#VALUE!</v>
      </c>
      <c r="J88" s="522" t="s">
        <v>85</v>
      </c>
      <c r="K88" s="51"/>
      <c r="L88" s="54"/>
      <c r="BS88" s="2"/>
      <c r="BT88" s="2"/>
      <c r="BU88" s="2"/>
      <c r="BV88" s="2"/>
      <c r="BW88" s="2"/>
      <c r="BX88" s="2"/>
      <c r="BY88" s="2"/>
      <c r="BZ88" s="2"/>
      <c r="CA88" s="2"/>
    </row>
    <row r="89" spans="1:141" ht="19.5" thickBot="1" x14ac:dyDescent="0.35">
      <c r="B89" s="474"/>
      <c r="C89" s="473" t="s">
        <v>7</v>
      </c>
      <c r="D89" s="494" t="e">
        <f>1.13575615438189E-07*D87^2 + 3.252606517457E-18*D87 - 2.71310751642773E-15</f>
        <v>#VALUE!</v>
      </c>
      <c r="E89" s="159" t="s">
        <v>85</v>
      </c>
      <c r="F89" s="471"/>
      <c r="G89" s="471"/>
      <c r="H89" s="51"/>
      <c r="I89" s="51"/>
      <c r="J89" s="51"/>
      <c r="K89" s="51"/>
      <c r="L89" s="54"/>
      <c r="N89" s="918"/>
      <c r="O89" s="919" t="s">
        <v>412</v>
      </c>
      <c r="P89" s="920"/>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19"/>
      <c r="BG89" s="919"/>
      <c r="BH89" s="919"/>
      <c r="BI89" s="919"/>
      <c r="BJ89" s="919"/>
      <c r="BK89" s="919"/>
      <c r="BL89" s="919"/>
      <c r="BM89" s="919"/>
      <c r="BN89" s="919"/>
      <c r="BO89" s="919"/>
      <c r="BP89" s="919"/>
      <c r="BQ89" s="919"/>
      <c r="BR89" s="919"/>
      <c r="BS89" s="919"/>
      <c r="BT89" s="919"/>
      <c r="BU89" s="919"/>
      <c r="BV89" s="919"/>
      <c r="BW89" s="919"/>
      <c r="BX89" s="919"/>
      <c r="BY89" s="919"/>
      <c r="BZ89" s="919"/>
      <c r="CA89" s="919"/>
      <c r="CB89" s="919"/>
      <c r="CC89" s="919"/>
      <c r="CD89" s="919"/>
      <c r="CE89" s="919"/>
      <c r="CF89" s="919"/>
      <c r="CG89" s="919"/>
      <c r="CH89" s="919"/>
      <c r="CI89" s="919"/>
      <c r="CJ89" s="919"/>
      <c r="CK89" s="919"/>
      <c r="CL89" s="919"/>
      <c r="CM89" s="919"/>
      <c r="CN89" s="919"/>
      <c r="CO89" s="919"/>
      <c r="CP89" s="919"/>
      <c r="CQ89" s="919"/>
      <c r="CR89" s="919"/>
      <c r="CS89" s="919"/>
      <c r="CT89" s="919"/>
      <c r="CU89" s="919"/>
      <c r="CV89" s="919"/>
      <c r="CW89" s="919"/>
      <c r="CX89" s="919"/>
      <c r="CY89" s="919"/>
      <c r="CZ89" s="919"/>
      <c r="DA89" s="919"/>
      <c r="DB89" s="919"/>
      <c r="DC89" s="919"/>
      <c r="DD89" s="919"/>
      <c r="DE89" s="919"/>
      <c r="DF89" s="919"/>
      <c r="DG89" s="919"/>
      <c r="DH89" s="919"/>
      <c r="DI89" s="919"/>
      <c r="DJ89" s="919"/>
      <c r="DK89" s="919"/>
      <c r="DL89" s="919"/>
      <c r="DM89" s="919"/>
      <c r="DN89" s="919"/>
      <c r="DO89" s="919"/>
      <c r="DP89" s="919"/>
      <c r="DQ89" s="919"/>
      <c r="DR89" s="919"/>
      <c r="DS89" s="919"/>
      <c r="DT89" s="919"/>
      <c r="DU89" s="919"/>
      <c r="DV89" s="919"/>
      <c r="DW89" s="919"/>
      <c r="DX89" s="919"/>
      <c r="DY89" s="919"/>
      <c r="DZ89" s="919"/>
      <c r="EA89" s="919"/>
      <c r="EB89" s="919"/>
      <c r="EC89" s="919"/>
      <c r="ED89" s="919"/>
      <c r="EE89" s="919"/>
      <c r="EF89" s="919"/>
      <c r="EG89" s="919"/>
      <c r="EH89" s="919"/>
      <c r="EI89" s="919"/>
      <c r="EJ89" s="919"/>
      <c r="EK89" s="921"/>
    </row>
    <row r="90" spans="1:141" ht="15.75" thickBot="1" x14ac:dyDescent="0.3">
      <c r="A90" s="1"/>
      <c r="B90" s="192"/>
      <c r="C90" s="192"/>
      <c r="D90" s="192"/>
      <c r="E90" s="192"/>
      <c r="F90" s="471"/>
      <c r="G90" s="471"/>
      <c r="H90" s="51"/>
      <c r="I90" s="51"/>
      <c r="J90" s="51"/>
      <c r="K90" s="51"/>
      <c r="L90" s="54"/>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13"/>
      <c r="EK90" s="923"/>
    </row>
    <row r="91" spans="1:141" ht="15.75" thickBot="1" x14ac:dyDescent="0.3">
      <c r="A91" s="1"/>
      <c r="B91" s="192"/>
      <c r="C91" s="192"/>
      <c r="D91" s="192"/>
      <c r="E91" s="192"/>
      <c r="F91" s="475"/>
      <c r="G91" s="475"/>
      <c r="H91" s="52"/>
      <c r="I91" s="52"/>
      <c r="J91" s="52"/>
      <c r="K91" s="52"/>
      <c r="L91" s="59"/>
      <c r="N91" s="922"/>
      <c r="O91" s="916">
        <v>9.5</v>
      </c>
      <c r="P91" s="913"/>
      <c r="Q91" s="924" t="s">
        <v>414</v>
      </c>
      <c r="R91" s="924" t="s">
        <v>414</v>
      </c>
      <c r="S91" s="925">
        <f t="shared" ref="S91:Z102" si="154">S46-R46</f>
        <v>2.1000000000000005</v>
      </c>
      <c r="T91" s="925">
        <f t="shared" si="154"/>
        <v>2.1099999999999994</v>
      </c>
      <c r="U91" s="925">
        <f t="shared" si="154"/>
        <v>2.1100000000000012</v>
      </c>
      <c r="V91" s="925">
        <f t="shared" si="154"/>
        <v>2.0999999999999996</v>
      </c>
      <c r="W91" s="925">
        <f t="shared" si="154"/>
        <v>2.1099999999999994</v>
      </c>
      <c r="X91" s="925">
        <f t="shared" si="154"/>
        <v>2.1099999999999994</v>
      </c>
      <c r="Y91" s="925">
        <f t="shared" si="154"/>
        <v>2.1000000000000014</v>
      </c>
      <c r="Z91" s="925">
        <f t="shared" si="154"/>
        <v>2.1099999999999994</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13"/>
      <c r="EK91" s="923"/>
    </row>
    <row r="92" spans="1:141" ht="15.75" thickBot="1" x14ac:dyDescent="0.3">
      <c r="A92" s="1"/>
      <c r="B92" s="192"/>
      <c r="C92" s="192"/>
      <c r="D92" s="192"/>
      <c r="E92" s="192"/>
      <c r="F92" s="475"/>
      <c r="G92" s="475"/>
      <c r="H92" s="52"/>
      <c r="I92" s="52"/>
      <c r="J92" s="52"/>
      <c r="K92" s="52"/>
      <c r="L92" s="59"/>
      <c r="N92" s="922"/>
      <c r="O92" s="917">
        <v>12</v>
      </c>
      <c r="P92" s="913"/>
      <c r="Q92" s="925" t="s">
        <v>414</v>
      </c>
      <c r="R92" s="925" t="s">
        <v>414</v>
      </c>
      <c r="S92" s="925">
        <f t="shared" si="154"/>
        <v>2.1000000000000005</v>
      </c>
      <c r="T92" s="925">
        <f t="shared" si="154"/>
        <v>2.1099999999999994</v>
      </c>
      <c r="U92" s="925">
        <f t="shared" si="154"/>
        <v>2.1100000000000012</v>
      </c>
      <c r="V92" s="925">
        <f t="shared" si="154"/>
        <v>2.1099999999999994</v>
      </c>
      <c r="W92" s="925">
        <f t="shared" si="154"/>
        <v>2.1099999999999994</v>
      </c>
      <c r="X92" s="925">
        <f t="shared" si="154"/>
        <v>2.1099999999999994</v>
      </c>
      <c r="Y92" s="925">
        <f t="shared" si="154"/>
        <v>2.1099999999999994</v>
      </c>
      <c r="Z92" s="925">
        <f t="shared" si="154"/>
        <v>2.09</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13"/>
      <c r="EK92" s="923"/>
    </row>
    <row r="93" spans="1:141" ht="15.75" thickBot="1" x14ac:dyDescent="0.3">
      <c r="A93" s="1"/>
      <c r="B93" s="192"/>
      <c r="C93" s="192"/>
      <c r="D93" s="192"/>
      <c r="E93" s="192"/>
      <c r="F93" s="475"/>
      <c r="G93" s="475"/>
      <c r="H93" s="52"/>
      <c r="I93" s="52"/>
      <c r="J93" s="52"/>
      <c r="K93" s="52"/>
      <c r="L93" s="59"/>
      <c r="N93" s="922"/>
      <c r="O93" s="917">
        <v>18</v>
      </c>
      <c r="P93" s="913"/>
      <c r="Q93" s="925" t="s">
        <v>414</v>
      </c>
      <c r="R93" s="925" t="s">
        <v>414</v>
      </c>
      <c r="S93" s="925">
        <f t="shared" si="154"/>
        <v>2.58</v>
      </c>
      <c r="T93" s="925">
        <f t="shared" si="154"/>
        <v>2.59</v>
      </c>
      <c r="U93" s="925">
        <f t="shared" si="154"/>
        <v>2.58</v>
      </c>
      <c r="V93" s="925">
        <f t="shared" si="154"/>
        <v>2.5800000000000018</v>
      </c>
      <c r="W93" s="925">
        <f t="shared" si="154"/>
        <v>2.5799999999999983</v>
      </c>
      <c r="X93" s="925">
        <f t="shared" si="154"/>
        <v>2.5799999999999983</v>
      </c>
      <c r="Y93" s="925">
        <f t="shared" si="154"/>
        <v>2.5799999999999983</v>
      </c>
      <c r="Z93" s="925">
        <f t="shared" si="154"/>
        <v>2.6000000000000014</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23"/>
    </row>
    <row r="94" spans="1:141" ht="18.75" customHeight="1" thickBot="1" x14ac:dyDescent="0.3">
      <c r="A94" s="2"/>
      <c r="B94" s="476"/>
      <c r="C94" s="160"/>
      <c r="D94" s="160"/>
      <c r="E94" s="160"/>
      <c r="F94" s="160"/>
      <c r="G94" s="160"/>
      <c r="H94" s="55"/>
      <c r="I94" s="55"/>
      <c r="J94" s="55"/>
      <c r="K94" s="55"/>
      <c r="L94" s="56"/>
      <c r="N94" s="922"/>
      <c r="O94" s="917">
        <v>24</v>
      </c>
      <c r="P94" s="913"/>
      <c r="Q94" s="925" t="s">
        <v>414</v>
      </c>
      <c r="R94" s="925" t="s">
        <v>414</v>
      </c>
      <c r="S94" s="925">
        <f t="shared" si="154"/>
        <v>3.5299999999999994</v>
      </c>
      <c r="T94" s="925">
        <f t="shared" si="154"/>
        <v>3.5399999999999991</v>
      </c>
      <c r="U94" s="925">
        <f t="shared" si="154"/>
        <v>3.5400000000000027</v>
      </c>
      <c r="V94" s="925">
        <f t="shared" si="154"/>
        <v>3.5399999999999991</v>
      </c>
      <c r="W94" s="925">
        <f t="shared" si="154"/>
        <v>3.5399999999999991</v>
      </c>
      <c r="X94" s="925">
        <f t="shared" si="154"/>
        <v>3.5399999999999991</v>
      </c>
      <c r="Y94" s="925">
        <f t="shared" si="154"/>
        <v>3.5400000000000027</v>
      </c>
      <c r="Z94" s="925">
        <f t="shared" si="154"/>
        <v>3.519999999999996</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13"/>
      <c r="EK94" s="923"/>
    </row>
    <row r="95" spans="1:141" ht="18.75" customHeight="1" thickBot="1" x14ac:dyDescent="0.3">
      <c r="A95" s="2"/>
      <c r="N95" s="922"/>
      <c r="O95" s="917">
        <v>30</v>
      </c>
      <c r="P95" s="913"/>
      <c r="Q95" s="925" t="s">
        <v>414</v>
      </c>
      <c r="R95" s="925" t="s">
        <v>414</v>
      </c>
      <c r="S95" s="925">
        <f t="shared" si="154"/>
        <v>4.01</v>
      </c>
      <c r="T95" s="925">
        <f t="shared" si="154"/>
        <v>4.0199999999999996</v>
      </c>
      <c r="U95" s="925">
        <f t="shared" si="154"/>
        <v>4.0100000000000016</v>
      </c>
      <c r="V95" s="925">
        <f t="shared" si="154"/>
        <v>4.009999999999998</v>
      </c>
      <c r="W95" s="925">
        <f t="shared" si="154"/>
        <v>4.0199999999999996</v>
      </c>
      <c r="X95" s="925">
        <f t="shared" si="154"/>
        <v>4.0100000000000016</v>
      </c>
      <c r="Y95" s="925">
        <f t="shared" si="154"/>
        <v>4.009999999999998</v>
      </c>
      <c r="Z95" s="925">
        <f t="shared" si="154"/>
        <v>4.0100000000000051</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13"/>
      <c r="EK95" s="923"/>
    </row>
    <row r="96" spans="1:141" ht="15.75" thickBot="1" x14ac:dyDescent="0.3">
      <c r="A96" s="2"/>
      <c r="N96" s="922"/>
      <c r="O96" s="917">
        <v>36</v>
      </c>
      <c r="P96" s="913"/>
      <c r="Q96" s="925" t="s">
        <v>414</v>
      </c>
      <c r="R96" s="925" t="s">
        <v>414</v>
      </c>
      <c r="S96" s="925">
        <f t="shared" si="154"/>
        <v>4.49</v>
      </c>
      <c r="T96" s="925">
        <f t="shared" si="154"/>
        <v>4.490000000000002</v>
      </c>
      <c r="U96" s="925">
        <f t="shared" si="154"/>
        <v>4.4899999999999984</v>
      </c>
      <c r="V96" s="925">
        <f t="shared" si="154"/>
        <v>4.4899999999999984</v>
      </c>
      <c r="W96" s="925">
        <f t="shared" si="154"/>
        <v>4.490000000000002</v>
      </c>
      <c r="X96" s="925">
        <f t="shared" si="154"/>
        <v>4.490000000000002</v>
      </c>
      <c r="Y96" s="925">
        <f t="shared" si="154"/>
        <v>4.490000000000002</v>
      </c>
      <c r="Z96" s="925">
        <f t="shared" si="154"/>
        <v>4.4899999999999949</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13"/>
      <c r="EK96" s="923"/>
    </row>
    <row r="97" spans="1:141" ht="15.75" thickBot="1" x14ac:dyDescent="0.3">
      <c r="A97" s="2"/>
      <c r="N97" s="922"/>
      <c r="O97" s="917">
        <v>42</v>
      </c>
      <c r="P97" s="913"/>
      <c r="Q97" s="925" t="s">
        <v>414</v>
      </c>
      <c r="R97" s="925" t="s">
        <v>414</v>
      </c>
      <c r="S97" s="925">
        <f t="shared" si="154"/>
        <v>5.4400000000000013</v>
      </c>
      <c r="T97" s="925">
        <f t="shared" si="154"/>
        <v>5.4499999999999993</v>
      </c>
      <c r="U97" s="925">
        <f t="shared" si="154"/>
        <v>5.4400000000000013</v>
      </c>
      <c r="V97" s="925">
        <f t="shared" si="154"/>
        <v>5.4400000000000013</v>
      </c>
      <c r="W97" s="925">
        <f t="shared" si="154"/>
        <v>5.4399999999999977</v>
      </c>
      <c r="X97" s="925">
        <f t="shared" si="154"/>
        <v>5.4500000000000028</v>
      </c>
      <c r="Y97" s="925">
        <f t="shared" si="154"/>
        <v>5.4399999999999977</v>
      </c>
      <c r="Z97" s="925">
        <f t="shared" si="154"/>
        <v>5.4399999999999977</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13"/>
      <c r="EK97" s="923"/>
    </row>
    <row r="98" spans="1:141" ht="15.75" thickBot="1" x14ac:dyDescent="0.3">
      <c r="A98" s="2"/>
      <c r="N98" s="922"/>
      <c r="O98" s="917">
        <v>48</v>
      </c>
      <c r="P98" s="913"/>
      <c r="Q98" s="925" t="s">
        <v>414</v>
      </c>
      <c r="R98" s="925" t="s">
        <v>414</v>
      </c>
      <c r="S98" s="925">
        <f t="shared" si="154"/>
        <v>5.9200000000000017</v>
      </c>
      <c r="T98" s="925">
        <f t="shared" si="154"/>
        <v>5.9199999999999982</v>
      </c>
      <c r="U98" s="925">
        <f t="shared" si="154"/>
        <v>5.9200000000000017</v>
      </c>
      <c r="V98" s="925">
        <f t="shared" si="154"/>
        <v>5.9200000000000017</v>
      </c>
      <c r="W98" s="925">
        <f t="shared" si="154"/>
        <v>5.9199999999999946</v>
      </c>
      <c r="X98" s="925">
        <f t="shared" si="154"/>
        <v>5.9200000000000017</v>
      </c>
      <c r="Y98" s="925">
        <f t="shared" si="154"/>
        <v>5.9200000000000017</v>
      </c>
      <c r="Z98" s="925">
        <f t="shared" si="154"/>
        <v>5.9200000000000017</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13"/>
      <c r="EK98" s="923"/>
    </row>
    <row r="99" spans="1:141" ht="15.75" thickBot="1" x14ac:dyDescent="0.3">
      <c r="A99" s="2"/>
      <c r="N99" s="922"/>
      <c r="O99" s="917">
        <v>54</v>
      </c>
      <c r="P99" s="913"/>
      <c r="Q99" s="925" t="s">
        <v>414</v>
      </c>
      <c r="R99" s="925" t="s">
        <v>414</v>
      </c>
      <c r="S99" s="925">
        <f t="shared" si="154"/>
        <v>6.3900000000000006</v>
      </c>
      <c r="T99" s="925">
        <f t="shared" si="154"/>
        <v>6.3999999999999986</v>
      </c>
      <c r="U99" s="925">
        <f t="shared" si="154"/>
        <v>6.389999999999997</v>
      </c>
      <c r="V99" s="925">
        <f t="shared" si="154"/>
        <v>6.3900000000000006</v>
      </c>
      <c r="W99" s="925">
        <f t="shared" si="154"/>
        <v>6.3900000000000006</v>
      </c>
      <c r="X99" s="925">
        <f t="shared" si="154"/>
        <v>6.3900000000000006</v>
      </c>
      <c r="Y99" s="925">
        <f t="shared" si="154"/>
        <v>6.3900000000000006</v>
      </c>
      <c r="Z99" s="925">
        <f t="shared" si="154"/>
        <v>6.4200000000000017</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13"/>
      <c r="EK99" s="923"/>
    </row>
    <row r="100" spans="1:141" ht="15.75" thickBot="1" x14ac:dyDescent="0.3">
      <c r="A100" s="2"/>
      <c r="N100" s="922"/>
      <c r="O100" s="917">
        <v>60</v>
      </c>
      <c r="P100" s="913"/>
      <c r="Q100" s="925" t="s">
        <v>414</v>
      </c>
      <c r="R100" s="925" t="s">
        <v>414</v>
      </c>
      <c r="S100" s="925">
        <f t="shared" si="154"/>
        <v>7.3499999999999979</v>
      </c>
      <c r="T100" s="925">
        <f t="shared" si="154"/>
        <v>7.3499999999999979</v>
      </c>
      <c r="U100" s="925">
        <f t="shared" si="154"/>
        <v>7.3500000000000014</v>
      </c>
      <c r="V100" s="925">
        <f t="shared" si="154"/>
        <v>7.3500000000000014</v>
      </c>
      <c r="W100" s="925">
        <f t="shared" si="154"/>
        <v>7.3500000000000014</v>
      </c>
      <c r="X100" s="925">
        <f t="shared" si="154"/>
        <v>7.3500000000000014</v>
      </c>
      <c r="Y100" s="925">
        <f t="shared" si="154"/>
        <v>7.3499999999999943</v>
      </c>
      <c r="Z100" s="925">
        <f t="shared" si="154"/>
        <v>7.3499999999999943</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13"/>
      <c r="EK100" s="923"/>
    </row>
    <row r="101" spans="1:141" ht="15.75" thickBot="1" x14ac:dyDescent="0.3">
      <c r="A101" s="2"/>
      <c r="N101" s="922"/>
      <c r="O101" s="917">
        <v>66</v>
      </c>
      <c r="P101" s="913"/>
      <c r="Q101" s="925" t="s">
        <v>414</v>
      </c>
      <c r="R101" s="925" t="s">
        <v>414</v>
      </c>
      <c r="S101" s="925">
        <f t="shared" si="154"/>
        <v>7.82</v>
      </c>
      <c r="T101" s="925">
        <f t="shared" si="154"/>
        <v>7.8300000000000018</v>
      </c>
      <c r="U101" s="925">
        <f t="shared" si="154"/>
        <v>7.82</v>
      </c>
      <c r="V101" s="925">
        <f t="shared" si="154"/>
        <v>7.82</v>
      </c>
      <c r="W101" s="925">
        <f t="shared" si="154"/>
        <v>7.82</v>
      </c>
      <c r="X101" s="925">
        <f t="shared" si="154"/>
        <v>7.82</v>
      </c>
      <c r="Y101" s="925">
        <f t="shared" si="154"/>
        <v>7.8200000000000074</v>
      </c>
      <c r="Z101" s="925">
        <f t="shared" si="154"/>
        <v>7.8499999999999943</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13"/>
      <c r="EK101" s="923"/>
    </row>
    <row r="102" spans="1:141" ht="15.75" thickBot="1" x14ac:dyDescent="0.3">
      <c r="A102" s="2"/>
      <c r="N102" s="922"/>
      <c r="O102" s="917">
        <v>72</v>
      </c>
      <c r="P102" s="913"/>
      <c r="Q102" s="925" t="s">
        <v>414</v>
      </c>
      <c r="R102" s="925" t="s">
        <v>414</v>
      </c>
      <c r="S102" s="925">
        <f t="shared" si="154"/>
        <v>8.3000000000000007</v>
      </c>
      <c r="T102" s="925">
        <f t="shared" si="154"/>
        <v>8.2999999999999972</v>
      </c>
      <c r="U102" s="925">
        <f t="shared" si="154"/>
        <v>8.3000000000000043</v>
      </c>
      <c r="V102" s="925">
        <f t="shared" si="154"/>
        <v>8.2999999999999972</v>
      </c>
      <c r="W102" s="925">
        <f t="shared" si="154"/>
        <v>8.2999999999999972</v>
      </c>
      <c r="X102" s="925">
        <f t="shared" si="154"/>
        <v>8.2999999999999972</v>
      </c>
      <c r="Y102" s="925">
        <f t="shared" si="154"/>
        <v>8.2999999999999972</v>
      </c>
      <c r="Z102" s="925">
        <f t="shared" si="154"/>
        <v>8.3000000000000114</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13"/>
      <c r="EK102" s="923"/>
    </row>
    <row r="103" spans="1:141" ht="15.75" thickBot="1" x14ac:dyDescent="0.3">
      <c r="A103" s="2"/>
      <c r="N103" s="931"/>
      <c r="O103" s="913"/>
      <c r="P103" s="913"/>
      <c r="Q103" s="925"/>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13"/>
      <c r="EK103" s="923"/>
    </row>
    <row r="104" spans="1:141" ht="15.75" thickBot="1" x14ac:dyDescent="0.3">
      <c r="N104" s="931"/>
      <c r="O104" s="913"/>
      <c r="P104" s="913"/>
      <c r="Q104" s="925"/>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13"/>
      <c r="EK104" s="923"/>
    </row>
    <row r="105" spans="1:141" ht="15.75" thickBot="1" x14ac:dyDescent="0.3">
      <c r="N105" s="931"/>
      <c r="O105" s="913"/>
      <c r="P105" s="913"/>
      <c r="Q105" s="925"/>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13"/>
      <c r="EK105" s="923"/>
    </row>
    <row r="106" spans="1:141" x14ac:dyDescent="0.25">
      <c r="N106" s="922"/>
      <c r="O106" s="913"/>
      <c r="P106" s="913"/>
      <c r="Q106" s="913"/>
      <c r="R106" s="913"/>
      <c r="S106" s="913"/>
      <c r="T106" s="913"/>
      <c r="U106" s="913"/>
      <c r="V106" s="913"/>
      <c r="W106" s="913"/>
      <c r="X106" s="913"/>
      <c r="Y106" s="913"/>
      <c r="Z106" s="913"/>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13"/>
      <c r="EK106" s="923"/>
    </row>
    <row r="107" spans="1:141" x14ac:dyDescent="0.25">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13"/>
      <c r="EK107" s="923"/>
    </row>
    <row r="108" spans="1:141" ht="15.75" thickBot="1" x14ac:dyDescent="0.3">
      <c r="N108" s="922"/>
      <c r="O108" s="913" t="s">
        <v>416</v>
      </c>
      <c r="P108" s="924"/>
      <c r="Q108" s="924"/>
      <c r="R108" s="924"/>
      <c r="S108" s="924"/>
      <c r="T108" s="924"/>
      <c r="U108" s="924"/>
      <c r="V108" s="924"/>
      <c r="W108" s="924"/>
      <c r="X108" s="924"/>
      <c r="Y108" s="924"/>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13"/>
      <c r="EK108" s="923"/>
    </row>
    <row r="109" spans="1:141" ht="15.75" thickBot="1" x14ac:dyDescent="0.3">
      <c r="N109" s="922"/>
      <c r="O109" s="913"/>
      <c r="P109" s="913"/>
      <c r="Q109" s="914">
        <v>9</v>
      </c>
      <c r="R109" s="915">
        <v>12</v>
      </c>
      <c r="S109" s="915">
        <f t="shared" ref="S109:Z109" si="155">R109+6</f>
        <v>18</v>
      </c>
      <c r="T109" s="915">
        <f t="shared" si="155"/>
        <v>24</v>
      </c>
      <c r="U109" s="915">
        <f t="shared" si="155"/>
        <v>30</v>
      </c>
      <c r="V109" s="915">
        <f t="shared" si="155"/>
        <v>36</v>
      </c>
      <c r="W109" s="915">
        <f t="shared" si="155"/>
        <v>42</v>
      </c>
      <c r="X109" s="915">
        <f t="shared" si="155"/>
        <v>48</v>
      </c>
      <c r="Y109" s="915">
        <f t="shared" si="155"/>
        <v>54</v>
      </c>
      <c r="Z109" s="915">
        <f t="shared" si="155"/>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13"/>
      <c r="EK109" s="923"/>
    </row>
    <row r="110" spans="1:141" ht="15.75" thickBot="1" x14ac:dyDescent="0.3">
      <c r="N110" s="922"/>
      <c r="O110" s="916">
        <v>9.5</v>
      </c>
      <c r="P110" s="913"/>
      <c r="Q110" s="924" t="s">
        <v>414</v>
      </c>
      <c r="R110" s="924" t="s">
        <v>414</v>
      </c>
      <c r="S110" s="924" t="s">
        <v>414</v>
      </c>
      <c r="T110" s="924" t="s">
        <v>414</v>
      </c>
      <c r="U110" s="924" t="s">
        <v>414</v>
      </c>
      <c r="V110" s="924" t="s">
        <v>414</v>
      </c>
      <c r="W110" s="924" t="s">
        <v>414</v>
      </c>
      <c r="X110" s="924" t="s">
        <v>414</v>
      </c>
      <c r="Y110" s="924" t="s">
        <v>414</v>
      </c>
      <c r="Z110" s="924" t="s">
        <v>414</v>
      </c>
      <c r="AA110" s="913" t="s">
        <v>417</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13"/>
      <c r="EK110" s="923"/>
    </row>
    <row r="111" spans="1:141" ht="15.75" thickBot="1" x14ac:dyDescent="0.3">
      <c r="N111" s="922"/>
      <c r="O111" s="917">
        <v>12</v>
      </c>
      <c r="P111" s="913"/>
      <c r="Q111" s="925"/>
      <c r="R111" s="925">
        <f t="shared" ref="R111:Z121" si="156">R47-R46</f>
        <v>0.33000000000000007</v>
      </c>
      <c r="S111" s="925">
        <f t="shared" si="156"/>
        <v>0.33000000000000007</v>
      </c>
      <c r="T111" s="925">
        <f t="shared" si="156"/>
        <v>0.33000000000000007</v>
      </c>
      <c r="U111" s="925">
        <f t="shared" si="156"/>
        <v>0.33000000000000007</v>
      </c>
      <c r="V111" s="925">
        <f t="shared" si="156"/>
        <v>0.33999999999999986</v>
      </c>
      <c r="W111" s="925">
        <f t="shared" si="156"/>
        <v>0.33999999999999986</v>
      </c>
      <c r="X111" s="925">
        <f t="shared" si="156"/>
        <v>0.33999999999999986</v>
      </c>
      <c r="Y111" s="925">
        <f t="shared" si="156"/>
        <v>0.34999999999999787</v>
      </c>
      <c r="Z111" s="925">
        <f t="shared" si="156"/>
        <v>0.32999999999999829</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23"/>
    </row>
    <row r="112" spans="1:141" ht="15.75" thickBot="1" x14ac:dyDescent="0.3">
      <c r="N112" s="922"/>
      <c r="O112" s="917">
        <f t="shared" ref="O112:O121" si="157">O111+6</f>
        <v>18</v>
      </c>
      <c r="P112" s="913"/>
      <c r="Q112" s="925"/>
      <c r="R112" s="925">
        <f t="shared" si="156"/>
        <v>1.7700000000000005</v>
      </c>
      <c r="S112" s="925">
        <f t="shared" si="156"/>
        <v>2.25</v>
      </c>
      <c r="T112" s="925">
        <f t="shared" si="156"/>
        <v>2.7300000000000004</v>
      </c>
      <c r="U112" s="925">
        <f t="shared" si="156"/>
        <v>3.1999999999999993</v>
      </c>
      <c r="V112" s="925">
        <f t="shared" si="156"/>
        <v>3.6700000000000017</v>
      </c>
      <c r="W112" s="925">
        <f t="shared" si="156"/>
        <v>4.1400000000000006</v>
      </c>
      <c r="X112" s="925">
        <f t="shared" si="156"/>
        <v>4.6099999999999994</v>
      </c>
      <c r="Y112" s="925">
        <f t="shared" si="156"/>
        <v>5.0799999999999983</v>
      </c>
      <c r="Z112" s="925">
        <f t="shared" si="156"/>
        <v>5.59</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23"/>
    </row>
    <row r="113" spans="14:141" ht="15.75" thickBot="1" x14ac:dyDescent="0.3">
      <c r="N113" s="922"/>
      <c r="O113" s="917">
        <f t="shared" si="157"/>
        <v>24</v>
      </c>
      <c r="P113" s="913"/>
      <c r="Q113" s="925"/>
      <c r="R113" s="925">
        <f t="shared" si="156"/>
        <v>2.4900000000000002</v>
      </c>
      <c r="S113" s="925">
        <f t="shared" si="156"/>
        <v>3.4399999999999995</v>
      </c>
      <c r="T113" s="925">
        <f t="shared" si="156"/>
        <v>4.3899999999999988</v>
      </c>
      <c r="U113" s="925">
        <f t="shared" si="156"/>
        <v>5.3500000000000014</v>
      </c>
      <c r="V113" s="925">
        <f t="shared" si="156"/>
        <v>6.3099999999999987</v>
      </c>
      <c r="W113" s="925">
        <f t="shared" si="156"/>
        <v>7.27</v>
      </c>
      <c r="X113" s="925">
        <f t="shared" si="156"/>
        <v>8.23</v>
      </c>
      <c r="Y113" s="925">
        <f t="shared" si="156"/>
        <v>9.1900000000000048</v>
      </c>
      <c r="Z113" s="925">
        <f t="shared" si="156"/>
        <v>10.11</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23"/>
    </row>
    <row r="114" spans="14:141" ht="15.75" thickBot="1" x14ac:dyDescent="0.3">
      <c r="N114" s="922"/>
      <c r="O114" s="917">
        <f t="shared" si="157"/>
        <v>30</v>
      </c>
      <c r="P114" s="913"/>
      <c r="Q114" s="925"/>
      <c r="R114" s="925">
        <f t="shared" si="156"/>
        <v>1.7699999999999996</v>
      </c>
      <c r="S114" s="925">
        <f t="shared" si="156"/>
        <v>2.25</v>
      </c>
      <c r="T114" s="925">
        <f t="shared" si="156"/>
        <v>2.7300000000000004</v>
      </c>
      <c r="U114" s="925">
        <f t="shared" si="156"/>
        <v>3.1999999999999993</v>
      </c>
      <c r="V114" s="925">
        <f t="shared" si="156"/>
        <v>3.6699999999999982</v>
      </c>
      <c r="W114" s="925">
        <f t="shared" si="156"/>
        <v>4.1499999999999986</v>
      </c>
      <c r="X114" s="925">
        <f t="shared" si="156"/>
        <v>4.620000000000001</v>
      </c>
      <c r="Y114" s="925">
        <f t="shared" si="156"/>
        <v>5.0899999999999963</v>
      </c>
      <c r="Z114" s="925">
        <f t="shared" si="156"/>
        <v>5.5800000000000054</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23"/>
    </row>
    <row r="115" spans="14:141" ht="15.75" thickBot="1" x14ac:dyDescent="0.3">
      <c r="N115" s="922"/>
      <c r="O115" s="917">
        <f t="shared" si="157"/>
        <v>36</v>
      </c>
      <c r="P115" s="913"/>
      <c r="Q115" s="925"/>
      <c r="R115" s="925">
        <f t="shared" si="156"/>
        <v>1.7699999999999996</v>
      </c>
      <c r="S115" s="925">
        <f t="shared" si="156"/>
        <v>2.25</v>
      </c>
      <c r="T115" s="925">
        <f t="shared" si="156"/>
        <v>2.7200000000000024</v>
      </c>
      <c r="U115" s="925">
        <f t="shared" si="156"/>
        <v>3.1999999999999993</v>
      </c>
      <c r="V115" s="925">
        <f t="shared" si="156"/>
        <v>3.6799999999999997</v>
      </c>
      <c r="W115" s="925">
        <f t="shared" si="156"/>
        <v>4.1500000000000021</v>
      </c>
      <c r="X115" s="925">
        <f t="shared" si="156"/>
        <v>4.6300000000000026</v>
      </c>
      <c r="Y115" s="925">
        <f t="shared" si="156"/>
        <v>5.1100000000000065</v>
      </c>
      <c r="Z115" s="925">
        <f t="shared" si="156"/>
        <v>5.5899999999999963</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13"/>
      <c r="EK115" s="923"/>
    </row>
    <row r="116" spans="14:141" ht="15.75" thickBot="1" x14ac:dyDescent="0.3">
      <c r="N116" s="922"/>
      <c r="O116" s="917">
        <f t="shared" si="157"/>
        <v>42</v>
      </c>
      <c r="P116" s="913"/>
      <c r="Q116" s="925"/>
      <c r="R116" s="925">
        <f t="shared" si="156"/>
        <v>2.4900000000000002</v>
      </c>
      <c r="S116" s="925">
        <f t="shared" si="156"/>
        <v>3.4400000000000013</v>
      </c>
      <c r="T116" s="925">
        <f t="shared" si="156"/>
        <v>4.3999999999999986</v>
      </c>
      <c r="U116" s="925">
        <f t="shared" si="156"/>
        <v>5.3500000000000014</v>
      </c>
      <c r="V116" s="925">
        <f t="shared" si="156"/>
        <v>6.3000000000000043</v>
      </c>
      <c r="W116" s="925">
        <f t="shared" si="156"/>
        <v>7.25</v>
      </c>
      <c r="X116" s="925">
        <f t="shared" si="156"/>
        <v>8.2100000000000009</v>
      </c>
      <c r="Y116" s="925">
        <f t="shared" si="156"/>
        <v>9.1599999999999966</v>
      </c>
      <c r="Z116" s="925">
        <f t="shared" si="156"/>
        <v>10.11</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13"/>
      <c r="EK116" s="923"/>
    </row>
    <row r="117" spans="14:141" ht="15.75" thickBot="1" x14ac:dyDescent="0.3">
      <c r="N117" s="922"/>
      <c r="O117" s="917">
        <f t="shared" si="157"/>
        <v>48</v>
      </c>
      <c r="P117" s="913"/>
      <c r="Q117" s="925"/>
      <c r="R117" s="925">
        <f t="shared" si="156"/>
        <v>1.7699999999999996</v>
      </c>
      <c r="S117" s="925">
        <f t="shared" si="156"/>
        <v>2.25</v>
      </c>
      <c r="T117" s="925">
        <f t="shared" si="156"/>
        <v>2.7199999999999989</v>
      </c>
      <c r="U117" s="925">
        <f t="shared" si="156"/>
        <v>3.1999999999999993</v>
      </c>
      <c r="V117" s="925">
        <f t="shared" si="156"/>
        <v>3.6799999999999997</v>
      </c>
      <c r="W117" s="925">
        <f t="shared" si="156"/>
        <v>4.1599999999999966</v>
      </c>
      <c r="X117" s="925">
        <f t="shared" si="156"/>
        <v>4.6299999999999955</v>
      </c>
      <c r="Y117" s="925">
        <f t="shared" si="156"/>
        <v>5.1099999999999994</v>
      </c>
      <c r="Z117" s="925">
        <f t="shared" si="156"/>
        <v>5.5900000000000034</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13"/>
      <c r="EK117" s="923"/>
    </row>
    <row r="118" spans="14:141" ht="15.75" thickBot="1" x14ac:dyDescent="0.3">
      <c r="N118" s="922"/>
      <c r="O118" s="917">
        <f t="shared" si="157"/>
        <v>54</v>
      </c>
      <c r="P118" s="913"/>
      <c r="Q118" s="925"/>
      <c r="R118" s="925">
        <f t="shared" si="156"/>
        <v>1.7800000000000011</v>
      </c>
      <c r="S118" s="925">
        <f t="shared" si="156"/>
        <v>2.25</v>
      </c>
      <c r="T118" s="925">
        <f t="shared" si="156"/>
        <v>2.7300000000000004</v>
      </c>
      <c r="U118" s="925">
        <f t="shared" si="156"/>
        <v>3.1999999999999957</v>
      </c>
      <c r="V118" s="925">
        <f t="shared" si="156"/>
        <v>3.6699999999999946</v>
      </c>
      <c r="W118" s="925">
        <f t="shared" si="156"/>
        <v>4.1400000000000006</v>
      </c>
      <c r="X118" s="925">
        <f t="shared" si="156"/>
        <v>4.6099999999999994</v>
      </c>
      <c r="Y118" s="925">
        <f t="shared" si="156"/>
        <v>5.0799999999999983</v>
      </c>
      <c r="Z118" s="925">
        <f t="shared" si="156"/>
        <v>5.5799999999999983</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13"/>
      <c r="EK118" s="923"/>
    </row>
    <row r="119" spans="14:141" ht="15.75" thickBot="1" x14ac:dyDescent="0.3">
      <c r="N119" s="922"/>
      <c r="O119" s="917">
        <f t="shared" si="157"/>
        <v>60</v>
      </c>
      <c r="P119" s="913"/>
      <c r="Q119" s="925"/>
      <c r="R119" s="925">
        <f t="shared" si="156"/>
        <v>2.4800000000000004</v>
      </c>
      <c r="S119" s="925">
        <f t="shared" si="156"/>
        <v>3.4399999999999977</v>
      </c>
      <c r="T119" s="925">
        <f t="shared" si="156"/>
        <v>4.389999999999997</v>
      </c>
      <c r="U119" s="925">
        <f t="shared" si="156"/>
        <v>5.3500000000000014</v>
      </c>
      <c r="V119" s="925">
        <f t="shared" si="156"/>
        <v>6.3100000000000023</v>
      </c>
      <c r="W119" s="925">
        <f t="shared" si="156"/>
        <v>7.2700000000000031</v>
      </c>
      <c r="X119" s="925">
        <f t="shared" si="156"/>
        <v>8.230000000000004</v>
      </c>
      <c r="Y119" s="925">
        <f t="shared" si="156"/>
        <v>9.1899999999999977</v>
      </c>
      <c r="Z119" s="925">
        <f t="shared" si="156"/>
        <v>10.11999999999999</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13"/>
      <c r="EK119" s="923"/>
    </row>
    <row r="120" spans="14:141" ht="15.75" thickBot="1" x14ac:dyDescent="0.3">
      <c r="N120" s="922"/>
      <c r="O120" s="917">
        <f t="shared" si="157"/>
        <v>66</v>
      </c>
      <c r="P120" s="913"/>
      <c r="Q120" s="925"/>
      <c r="R120" s="925">
        <f t="shared" si="156"/>
        <v>1.7799999999999976</v>
      </c>
      <c r="S120" s="925">
        <f t="shared" si="156"/>
        <v>2.25</v>
      </c>
      <c r="T120" s="925">
        <f t="shared" si="156"/>
        <v>2.730000000000004</v>
      </c>
      <c r="U120" s="925">
        <f t="shared" si="156"/>
        <v>3.2000000000000028</v>
      </c>
      <c r="V120" s="925">
        <f t="shared" si="156"/>
        <v>3.6700000000000017</v>
      </c>
      <c r="W120" s="925">
        <f t="shared" si="156"/>
        <v>4.1400000000000006</v>
      </c>
      <c r="X120" s="925">
        <f t="shared" si="156"/>
        <v>4.6099999999999994</v>
      </c>
      <c r="Y120" s="925">
        <f t="shared" si="156"/>
        <v>5.0800000000000125</v>
      </c>
      <c r="Z120" s="925">
        <f t="shared" si="156"/>
        <v>5.5800000000000125</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13"/>
      <c r="EK120" s="923"/>
    </row>
    <row r="121" spans="14:141" ht="15.75" thickBot="1" x14ac:dyDescent="0.3">
      <c r="N121" s="922"/>
      <c r="O121" s="917">
        <f t="shared" si="157"/>
        <v>72</v>
      </c>
      <c r="P121" s="913"/>
      <c r="Q121" s="925"/>
      <c r="R121" s="925">
        <f t="shared" si="156"/>
        <v>1.7800000000000011</v>
      </c>
      <c r="S121" s="925">
        <f t="shared" si="156"/>
        <v>2.2600000000000016</v>
      </c>
      <c r="T121" s="925">
        <f t="shared" si="156"/>
        <v>2.7299999999999969</v>
      </c>
      <c r="U121" s="925">
        <f t="shared" si="156"/>
        <v>3.2100000000000009</v>
      </c>
      <c r="V121" s="925">
        <f t="shared" si="156"/>
        <v>3.6899999999999977</v>
      </c>
      <c r="W121" s="925">
        <f t="shared" si="156"/>
        <v>4.1699999999999946</v>
      </c>
      <c r="X121" s="925">
        <f t="shared" si="156"/>
        <v>4.6499999999999915</v>
      </c>
      <c r="Y121" s="925">
        <f t="shared" si="156"/>
        <v>5.1299999999999812</v>
      </c>
      <c r="Z121" s="925">
        <f t="shared" si="156"/>
        <v>5.5799999999999983</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13"/>
      <c r="EK121" s="923"/>
    </row>
    <row r="122" spans="14:141" x14ac:dyDescent="0.25">
      <c r="N122" s="922"/>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13"/>
      <c r="EK122" s="923"/>
    </row>
    <row r="123" spans="14:141" x14ac:dyDescent="0.25">
      <c r="N123" s="922"/>
      <c r="O123" s="913"/>
      <c r="P123" s="913"/>
      <c r="Q123" s="913"/>
      <c r="R123" s="913"/>
      <c r="S123" s="913"/>
      <c r="T123" s="913"/>
      <c r="U123" s="913"/>
      <c r="V123" s="913"/>
      <c r="W123" s="913"/>
      <c r="X123" s="913"/>
      <c r="Y123" s="913"/>
      <c r="Z123" s="913"/>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13"/>
      <c r="EK123" s="923"/>
    </row>
    <row r="124" spans="14:141" x14ac:dyDescent="0.25">
      <c r="N124" s="922"/>
      <c r="O124" s="913"/>
      <c r="P124" s="913"/>
      <c r="Q124" s="913"/>
      <c r="R124" s="913"/>
      <c r="S124" s="913"/>
      <c r="T124" s="913"/>
      <c r="U124" s="913"/>
      <c r="V124" s="913"/>
      <c r="W124" s="913"/>
      <c r="X124" s="913"/>
      <c r="Y124" s="913"/>
      <c r="Z124" s="913"/>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13"/>
      <c r="EK124" s="923"/>
    </row>
    <row r="125" spans="14:141" x14ac:dyDescent="0.25">
      <c r="N125" s="922"/>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13"/>
      <c r="EK125" s="923"/>
    </row>
    <row r="126" spans="14:141" x14ac:dyDescent="0.25">
      <c r="N126" s="922" t="s">
        <v>418</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13"/>
      <c r="EK126" s="923"/>
    </row>
    <row r="127" spans="14:141"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13"/>
      <c r="EK127" s="923"/>
    </row>
    <row r="128" spans="14:141" x14ac:dyDescent="0.25">
      <c r="N128" s="922" t="s">
        <v>419</v>
      </c>
      <c r="O128" s="913">
        <v>12</v>
      </c>
      <c r="P128" s="913">
        <v>24</v>
      </c>
      <c r="Q128" s="913">
        <v>36</v>
      </c>
      <c r="R128" s="913">
        <v>48</v>
      </c>
      <c r="S128" s="913">
        <v>60</v>
      </c>
      <c r="T128" s="913">
        <v>72</v>
      </c>
      <c r="U128" s="913">
        <v>84</v>
      </c>
      <c r="V128" s="913">
        <v>96</v>
      </c>
      <c r="W128" s="913">
        <v>108</v>
      </c>
      <c r="X128" s="913">
        <v>120</v>
      </c>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13"/>
      <c r="EK128" s="923"/>
    </row>
    <row r="129" spans="14:141" x14ac:dyDescent="0.25">
      <c r="N129" s="926" t="s">
        <v>149</v>
      </c>
      <c r="O129" s="913">
        <v>781.39999999999986</v>
      </c>
      <c r="P129" s="913">
        <v>814.59999999999991</v>
      </c>
      <c r="Q129" s="913">
        <v>847.8</v>
      </c>
      <c r="R129" s="913">
        <v>880.99999999999989</v>
      </c>
      <c r="S129" s="913">
        <v>914.19999999999982</v>
      </c>
      <c r="T129" s="913">
        <v>964.2399999999999</v>
      </c>
      <c r="U129" s="913">
        <v>997.43999999999983</v>
      </c>
      <c r="V129" s="913">
        <v>1030.6399999999999</v>
      </c>
      <c r="W129" s="913">
        <v>1063.8399999999999</v>
      </c>
      <c r="X129" s="913">
        <v>1097.04</v>
      </c>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23"/>
    </row>
    <row r="130" spans="14:141" x14ac:dyDescent="0.25">
      <c r="N130" s="922" t="s">
        <v>247</v>
      </c>
      <c r="O130" s="913">
        <v>46.08</v>
      </c>
      <c r="P130" s="913">
        <v>46.08</v>
      </c>
      <c r="Q130" s="913">
        <v>46.08</v>
      </c>
      <c r="R130" s="913">
        <v>46.08</v>
      </c>
      <c r="S130" s="913">
        <v>46.08</v>
      </c>
      <c r="T130" s="913">
        <v>46.08</v>
      </c>
      <c r="U130" s="913">
        <v>46.08</v>
      </c>
      <c r="V130" s="913">
        <v>46.08</v>
      </c>
      <c r="W130" s="913">
        <v>46.08</v>
      </c>
      <c r="X130" s="913">
        <v>46.08</v>
      </c>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13"/>
      <c r="EK130" s="923"/>
    </row>
    <row r="131" spans="14:141" x14ac:dyDescent="0.25">
      <c r="N131" s="926" t="s">
        <v>148</v>
      </c>
      <c r="O131" s="927">
        <v>32.659199999999998</v>
      </c>
      <c r="P131" s="913">
        <v>34.214399999999998</v>
      </c>
      <c r="Q131" s="927">
        <v>35.769599999999997</v>
      </c>
      <c r="R131" s="927">
        <v>37.324799999999996</v>
      </c>
      <c r="S131" s="927">
        <v>38.879999999999995</v>
      </c>
      <c r="T131" s="927">
        <v>40.435200000000002</v>
      </c>
      <c r="U131" s="927">
        <v>41.990400000000001</v>
      </c>
      <c r="V131" s="927">
        <v>43.5456</v>
      </c>
      <c r="W131" s="927">
        <v>45.1008</v>
      </c>
      <c r="X131" s="927">
        <v>46.655999999999999</v>
      </c>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13"/>
      <c r="EK131" s="923"/>
    </row>
    <row r="132" spans="14:141" x14ac:dyDescent="0.25">
      <c r="N132" s="922" t="s">
        <v>248</v>
      </c>
      <c r="O132" s="913">
        <v>10</v>
      </c>
      <c r="P132" s="913">
        <v>10</v>
      </c>
      <c r="Q132" s="913">
        <v>10</v>
      </c>
      <c r="R132" s="913">
        <v>10</v>
      </c>
      <c r="S132" s="913">
        <v>10</v>
      </c>
      <c r="T132" s="913">
        <v>12</v>
      </c>
      <c r="U132" s="913">
        <v>12</v>
      </c>
      <c r="V132" s="913">
        <v>12</v>
      </c>
      <c r="W132" s="913">
        <v>12</v>
      </c>
      <c r="X132" s="913">
        <v>12</v>
      </c>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13"/>
      <c r="EK132" s="923"/>
    </row>
    <row r="133" spans="14:141" x14ac:dyDescent="0.25">
      <c r="N133" s="922" t="s">
        <v>245</v>
      </c>
      <c r="O133" s="913">
        <v>46.979999999999983</v>
      </c>
      <c r="P133" s="913">
        <v>46.979999999999983</v>
      </c>
      <c r="Q133" s="913">
        <v>46.979999999999983</v>
      </c>
      <c r="R133" s="913">
        <v>46.979999999999983</v>
      </c>
      <c r="S133" s="913">
        <v>46.979999999999983</v>
      </c>
      <c r="T133" s="913">
        <v>46.979999999999983</v>
      </c>
      <c r="U133" s="913">
        <v>46.979999999999983</v>
      </c>
      <c r="V133" s="913">
        <v>46.979999999999983</v>
      </c>
      <c r="W133" s="913">
        <v>46.979999999999983</v>
      </c>
      <c r="X133" s="913">
        <v>46.979999999999983</v>
      </c>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13"/>
      <c r="EK133" s="923"/>
    </row>
    <row r="134" spans="14:141" x14ac:dyDescent="0.25">
      <c r="N134" s="922" t="s">
        <v>246</v>
      </c>
      <c r="O134" s="913">
        <v>1.7460000000000002</v>
      </c>
      <c r="P134" s="913">
        <v>3.4920000000000004</v>
      </c>
      <c r="Q134" s="913">
        <v>5.2379999999999995</v>
      </c>
      <c r="R134" s="913">
        <v>6.9840000000000009</v>
      </c>
      <c r="S134" s="913">
        <v>8.73</v>
      </c>
      <c r="T134" s="913">
        <v>10.475999999999999</v>
      </c>
      <c r="U134" s="913">
        <v>12.222</v>
      </c>
      <c r="V134" s="913">
        <v>13.968000000000002</v>
      </c>
      <c r="W134" s="913">
        <v>15.714000000000002</v>
      </c>
      <c r="X134" s="913">
        <v>17.46</v>
      </c>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13"/>
      <c r="EK134" s="923"/>
    </row>
    <row r="135" spans="14:141" x14ac:dyDescent="0.25">
      <c r="N135" s="922" t="s">
        <v>249</v>
      </c>
      <c r="O135" s="913">
        <v>51.322000000000003</v>
      </c>
      <c r="P135" s="913">
        <v>90.778000000000006</v>
      </c>
      <c r="Q135" s="913">
        <v>130.23400000000001</v>
      </c>
      <c r="R135" s="913">
        <v>169.69</v>
      </c>
      <c r="S135" s="913">
        <v>209.14600000000002</v>
      </c>
      <c r="T135" s="913">
        <v>248.60200000000003</v>
      </c>
      <c r="U135" s="913">
        <v>288.05799999999999</v>
      </c>
      <c r="V135" s="913">
        <v>327.51400000000001</v>
      </c>
      <c r="W135" s="913">
        <v>443.24400000000003</v>
      </c>
      <c r="X135" s="913">
        <v>489.036</v>
      </c>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13"/>
      <c r="EK135" s="923"/>
    </row>
    <row r="136" spans="14:141"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13"/>
      <c r="EK136" s="923"/>
    </row>
    <row r="137" spans="14:141" x14ac:dyDescent="0.25">
      <c r="N137" s="922" t="s">
        <v>77</v>
      </c>
      <c r="O137" s="913">
        <v>970.18719999999985</v>
      </c>
      <c r="P137" s="913">
        <v>1046.1443999999999</v>
      </c>
      <c r="Q137" s="913">
        <v>1122.1016</v>
      </c>
      <c r="R137" s="913">
        <v>1198.0588</v>
      </c>
      <c r="S137" s="913">
        <v>1274.0159999999998</v>
      </c>
      <c r="T137" s="913">
        <v>1368.8131999999998</v>
      </c>
      <c r="U137" s="913">
        <v>1444.7703999999997</v>
      </c>
      <c r="V137" s="913">
        <v>1520.7275999999997</v>
      </c>
      <c r="W137" s="913">
        <v>1672.9587999999999</v>
      </c>
      <c r="X137" s="913">
        <v>1755.252</v>
      </c>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13"/>
      <c r="EK137" s="923"/>
    </row>
    <row r="138" spans="14:141" x14ac:dyDescent="0.25">
      <c r="N138" s="922" t="s">
        <v>76</v>
      </c>
      <c r="O138" s="913">
        <v>97.018719999999988</v>
      </c>
      <c r="P138" s="913">
        <v>104.61443999999999</v>
      </c>
      <c r="Q138" s="913">
        <v>112.21016</v>
      </c>
      <c r="R138" s="913">
        <v>119.80588</v>
      </c>
      <c r="S138" s="913">
        <v>127.40159999999999</v>
      </c>
      <c r="T138" s="913">
        <v>114.06776666666666</v>
      </c>
      <c r="U138" s="913">
        <v>120.3975333333333</v>
      </c>
      <c r="V138" s="913">
        <v>126.72729999999997</v>
      </c>
      <c r="W138" s="913">
        <v>139.41323333333332</v>
      </c>
      <c r="X138" s="913">
        <v>146.27099999999999</v>
      </c>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13"/>
      <c r="EK138" s="923"/>
    </row>
    <row r="139" spans="14:141"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13"/>
      <c r="EK139" s="923"/>
    </row>
    <row r="140" spans="14:141"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13"/>
      <c r="EK140" s="923"/>
    </row>
    <row r="141" spans="14:141" ht="150.75" customHeight="1" x14ac:dyDescent="0.25">
      <c r="N141" s="922" t="s">
        <v>420</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13"/>
      <c r="EK141" s="923"/>
    </row>
    <row r="142" spans="14:141"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13"/>
      <c r="EK142" s="923"/>
    </row>
    <row r="143" spans="14:141" x14ac:dyDescent="0.25">
      <c r="N143" s="922" t="s">
        <v>215</v>
      </c>
      <c r="O143" s="913">
        <v>12</v>
      </c>
      <c r="P143" s="913">
        <v>24</v>
      </c>
      <c r="Q143" s="913">
        <v>36</v>
      </c>
      <c r="R143" s="913">
        <v>48</v>
      </c>
      <c r="S143" s="913">
        <v>60</v>
      </c>
      <c r="T143" s="913">
        <v>72</v>
      </c>
      <c r="U143" s="913">
        <v>84</v>
      </c>
      <c r="V143" s="913">
        <v>96</v>
      </c>
      <c r="W143" s="913">
        <v>108</v>
      </c>
      <c r="X143" s="913">
        <v>120</v>
      </c>
      <c r="Y143" s="913">
        <v>132</v>
      </c>
      <c r="Z143" s="913">
        <v>144</v>
      </c>
      <c r="AA143" s="913">
        <v>156</v>
      </c>
      <c r="AB143" s="913">
        <v>168</v>
      </c>
      <c r="AC143" s="913">
        <v>180</v>
      </c>
      <c r="AD143" s="913">
        <v>192</v>
      </c>
      <c r="AE143" s="913">
        <v>204</v>
      </c>
      <c r="AF143" s="913">
        <v>216</v>
      </c>
      <c r="AG143" s="913">
        <v>228</v>
      </c>
      <c r="AH143" s="913">
        <v>240</v>
      </c>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13"/>
      <c r="EK143" s="923"/>
    </row>
    <row r="144" spans="14:141" x14ac:dyDescent="0.25">
      <c r="N144" s="926" t="s">
        <v>149</v>
      </c>
      <c r="O144" s="913">
        <v>100.08000000000003</v>
      </c>
      <c r="P144" s="913">
        <v>133.28000000000003</v>
      </c>
      <c r="Q144" s="913">
        <v>166.48000000000002</v>
      </c>
      <c r="R144" s="913">
        <v>199.68</v>
      </c>
      <c r="S144" s="913">
        <v>232.88</v>
      </c>
      <c r="T144" s="913">
        <v>282.92</v>
      </c>
      <c r="U144" s="913">
        <v>316.12</v>
      </c>
      <c r="V144" s="913">
        <v>349.32</v>
      </c>
      <c r="W144" s="913">
        <v>382.52</v>
      </c>
      <c r="X144" s="913">
        <v>415.71999999999997</v>
      </c>
      <c r="Y144" s="913">
        <v>465.76</v>
      </c>
      <c r="Z144" s="913">
        <v>498.96</v>
      </c>
      <c r="AA144" s="913">
        <v>532.16</v>
      </c>
      <c r="AB144" s="913">
        <v>565.3599999999999</v>
      </c>
      <c r="AC144" s="913">
        <v>598.55999999999995</v>
      </c>
      <c r="AD144" s="913">
        <v>648.59999999999991</v>
      </c>
      <c r="AE144" s="913">
        <v>681.8</v>
      </c>
      <c r="AF144" s="913">
        <v>714.99999999999989</v>
      </c>
      <c r="AG144" s="913">
        <v>748.19999999999982</v>
      </c>
      <c r="AH144" s="913">
        <v>781.39999999999986</v>
      </c>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13"/>
      <c r="EK144" s="923"/>
    </row>
    <row r="145" spans="3:141" x14ac:dyDescent="0.25">
      <c r="N145" s="922" t="s">
        <v>247</v>
      </c>
      <c r="O145" s="913">
        <v>46.08</v>
      </c>
      <c r="P145" s="913">
        <v>46.08</v>
      </c>
      <c r="Q145" s="913">
        <v>46.08</v>
      </c>
      <c r="R145" s="913">
        <v>46.08</v>
      </c>
      <c r="S145" s="913">
        <v>46.08</v>
      </c>
      <c r="T145" s="913">
        <v>46.08</v>
      </c>
      <c r="U145" s="913">
        <v>46.08</v>
      </c>
      <c r="V145" s="913">
        <v>46.08</v>
      </c>
      <c r="W145" s="913">
        <v>46.08</v>
      </c>
      <c r="X145" s="913">
        <v>46.08</v>
      </c>
      <c r="Y145" s="913">
        <v>46.08</v>
      </c>
      <c r="Z145" s="913">
        <v>46.08</v>
      </c>
      <c r="AA145" s="913">
        <v>46.08</v>
      </c>
      <c r="AB145" s="913">
        <v>46.08</v>
      </c>
      <c r="AC145" s="913">
        <v>46.08</v>
      </c>
      <c r="AD145" s="913">
        <v>46.08</v>
      </c>
      <c r="AE145" s="913">
        <v>46.08</v>
      </c>
      <c r="AF145" s="913">
        <v>46.08</v>
      </c>
      <c r="AG145" s="913">
        <v>46.08</v>
      </c>
      <c r="AH145" s="913">
        <v>46.08</v>
      </c>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13"/>
      <c r="EK145" s="923"/>
    </row>
    <row r="146" spans="3:141" x14ac:dyDescent="0.25">
      <c r="N146" s="926" t="s">
        <v>148</v>
      </c>
      <c r="O146" s="927">
        <v>3.1103999999999998</v>
      </c>
      <c r="P146" s="913">
        <v>4.6655999999999995</v>
      </c>
      <c r="Q146" s="927">
        <v>6.2207999999999997</v>
      </c>
      <c r="R146" s="927">
        <v>7.7759999999999998</v>
      </c>
      <c r="S146" s="927">
        <v>9.3311999999999991</v>
      </c>
      <c r="T146" s="927">
        <v>10.8864</v>
      </c>
      <c r="U146" s="927">
        <v>12.441599999999999</v>
      </c>
      <c r="V146" s="927">
        <v>13.9968</v>
      </c>
      <c r="W146" s="927">
        <v>15.552</v>
      </c>
      <c r="X146" s="927">
        <v>17.107199999999999</v>
      </c>
      <c r="Y146" s="913">
        <v>18.662399999999998</v>
      </c>
      <c r="Z146" s="913">
        <v>20.217600000000001</v>
      </c>
      <c r="AA146" s="913">
        <v>21.7728</v>
      </c>
      <c r="AB146" s="913">
        <v>23.327999999999999</v>
      </c>
      <c r="AC146" s="913">
        <v>24.883199999999999</v>
      </c>
      <c r="AD146" s="913">
        <v>26.438399999999998</v>
      </c>
      <c r="AE146" s="913">
        <v>27.993600000000001</v>
      </c>
      <c r="AF146" s="913">
        <v>29.5488</v>
      </c>
      <c r="AG146" s="913">
        <v>31.103999999999999</v>
      </c>
      <c r="AH146" s="913">
        <v>32.659199999999998</v>
      </c>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13"/>
      <c r="EK146" s="923"/>
    </row>
    <row r="147" spans="3:141" x14ac:dyDescent="0.25">
      <c r="N147" s="922" t="s">
        <v>248</v>
      </c>
      <c r="O147" s="913">
        <v>4</v>
      </c>
      <c r="P147" s="913">
        <v>4</v>
      </c>
      <c r="Q147" s="913">
        <v>4</v>
      </c>
      <c r="R147" s="913">
        <v>4</v>
      </c>
      <c r="S147" s="913">
        <v>4</v>
      </c>
      <c r="T147" s="913">
        <v>6</v>
      </c>
      <c r="U147" s="913">
        <v>6</v>
      </c>
      <c r="V147" s="913">
        <v>6</v>
      </c>
      <c r="W147" s="913">
        <v>6</v>
      </c>
      <c r="X147" s="913">
        <v>6</v>
      </c>
      <c r="Y147" s="913">
        <v>8</v>
      </c>
      <c r="Z147" s="913">
        <v>8</v>
      </c>
      <c r="AA147" s="913">
        <v>8</v>
      </c>
      <c r="AB147" s="913">
        <v>8</v>
      </c>
      <c r="AC147" s="913">
        <v>8</v>
      </c>
      <c r="AD147" s="913">
        <v>10</v>
      </c>
      <c r="AE147" s="913">
        <v>10</v>
      </c>
      <c r="AF147" s="913">
        <v>10</v>
      </c>
      <c r="AG147" s="913">
        <v>10</v>
      </c>
      <c r="AH147" s="913">
        <v>10</v>
      </c>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13"/>
      <c r="EK147" s="923"/>
    </row>
    <row r="148" spans="3:141" x14ac:dyDescent="0.25">
      <c r="N148" s="922" t="s">
        <v>245</v>
      </c>
      <c r="O148" s="913">
        <v>0</v>
      </c>
      <c r="P148" s="913">
        <v>0</v>
      </c>
      <c r="Q148" s="913">
        <v>0</v>
      </c>
      <c r="R148" s="913">
        <v>0</v>
      </c>
      <c r="S148" s="913">
        <v>0</v>
      </c>
      <c r="T148" s="913">
        <v>0</v>
      </c>
      <c r="U148" s="913">
        <v>0</v>
      </c>
      <c r="V148" s="913">
        <v>0</v>
      </c>
      <c r="W148" s="913">
        <v>0</v>
      </c>
      <c r="X148" s="913">
        <v>0</v>
      </c>
      <c r="Y148" s="913">
        <v>31.31999999999999</v>
      </c>
      <c r="Z148" s="913">
        <v>31.31999999999999</v>
      </c>
      <c r="AA148" s="913">
        <v>31.31999999999999</v>
      </c>
      <c r="AB148" s="913">
        <v>31.31999999999999</v>
      </c>
      <c r="AC148" s="913">
        <v>31.31999999999999</v>
      </c>
      <c r="AD148" s="913">
        <v>46.979999999999983</v>
      </c>
      <c r="AE148" s="913">
        <v>46.979999999999983</v>
      </c>
      <c r="AF148" s="913">
        <v>46.979999999999983</v>
      </c>
      <c r="AG148" s="913">
        <v>46.979999999999983</v>
      </c>
      <c r="AH148" s="913">
        <v>46.979999999999983</v>
      </c>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13"/>
      <c r="EK148" s="923"/>
    </row>
    <row r="149" spans="3:141" x14ac:dyDescent="0.25">
      <c r="N149" s="922" t="s">
        <v>246</v>
      </c>
      <c r="O149" s="913">
        <v>0</v>
      </c>
      <c r="P149" s="913">
        <v>0</v>
      </c>
      <c r="Q149" s="913">
        <v>0</v>
      </c>
      <c r="R149" s="913">
        <v>0</v>
      </c>
      <c r="S149" s="913">
        <v>0</v>
      </c>
      <c r="T149" s="913">
        <v>0</v>
      </c>
      <c r="U149" s="913">
        <v>0</v>
      </c>
      <c r="V149" s="913">
        <v>0</v>
      </c>
      <c r="W149" s="913">
        <v>0</v>
      </c>
      <c r="X149" s="913">
        <v>0</v>
      </c>
      <c r="Y149" s="913">
        <v>1.1640000000000001</v>
      </c>
      <c r="Z149" s="913">
        <v>1.1640000000000001</v>
      </c>
      <c r="AA149" s="913">
        <v>1.1640000000000001</v>
      </c>
      <c r="AB149" s="913">
        <v>1.1640000000000001</v>
      </c>
      <c r="AC149" s="913">
        <v>1.1640000000000001</v>
      </c>
      <c r="AD149" s="913">
        <v>1.7460000000000002</v>
      </c>
      <c r="AE149" s="913">
        <v>1.7460000000000002</v>
      </c>
      <c r="AF149" s="913">
        <v>1.7460000000000002</v>
      </c>
      <c r="AG149" s="913">
        <v>1.7460000000000002</v>
      </c>
      <c r="AH149" s="913">
        <v>1.7460000000000002</v>
      </c>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13"/>
      <c r="EK149" s="923"/>
    </row>
    <row r="150" spans="3:141" x14ac:dyDescent="0.25">
      <c r="C150" s="138"/>
      <c r="N150" s="922" t="s">
        <v>249</v>
      </c>
      <c r="O150" s="913">
        <v>6.5701000000000001</v>
      </c>
      <c r="P150" s="913">
        <v>8.3125</v>
      </c>
      <c r="Q150" s="913">
        <v>10.0549</v>
      </c>
      <c r="R150" s="913">
        <v>11.7973</v>
      </c>
      <c r="S150" s="913">
        <v>13.5397</v>
      </c>
      <c r="T150" s="913">
        <v>15.2821</v>
      </c>
      <c r="U150" s="913">
        <v>17.0245</v>
      </c>
      <c r="V150" s="913">
        <v>18.7669</v>
      </c>
      <c r="W150" s="913">
        <v>29.621200000000002</v>
      </c>
      <c r="X150" s="913">
        <v>31.594000000000001</v>
      </c>
      <c r="Y150" s="913">
        <v>33.566800000000001</v>
      </c>
      <c r="Z150" s="913">
        <v>35.5396</v>
      </c>
      <c r="AA150" s="913">
        <v>37.5124</v>
      </c>
      <c r="AB150" s="913">
        <v>39.485199999999999</v>
      </c>
      <c r="AC150" s="913">
        <v>41.457999999999998</v>
      </c>
      <c r="AD150" s="913">
        <v>43.430800000000005</v>
      </c>
      <c r="AE150" s="913">
        <v>45.403599999999997</v>
      </c>
      <c r="AF150" s="913">
        <v>47.376400000000004</v>
      </c>
      <c r="AG150" s="913">
        <v>49.349200000000003</v>
      </c>
      <c r="AH150" s="913">
        <v>51.322000000000003</v>
      </c>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13"/>
      <c r="EK150" s="923"/>
    </row>
    <row r="151" spans="3:141"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13"/>
      <c r="EK151" s="923"/>
    </row>
    <row r="152" spans="3:141" x14ac:dyDescent="0.25">
      <c r="N152" s="922" t="s">
        <v>77</v>
      </c>
      <c r="O152" s="913">
        <v>159.84050000000002</v>
      </c>
      <c r="P152" s="913">
        <v>196.33810000000003</v>
      </c>
      <c r="Q152" s="913">
        <v>232.8357</v>
      </c>
      <c r="R152" s="913">
        <v>269.33330000000001</v>
      </c>
      <c r="S152" s="913">
        <v>305.83089999999999</v>
      </c>
      <c r="T152" s="913">
        <v>361.16849999999999</v>
      </c>
      <c r="U152" s="913">
        <v>397.66609999999997</v>
      </c>
      <c r="V152" s="913">
        <v>434.16370000000001</v>
      </c>
      <c r="W152" s="913">
        <v>479.77319999999997</v>
      </c>
      <c r="X152" s="913">
        <v>516.50119999999993</v>
      </c>
      <c r="Y152" s="913">
        <v>604.55319999999983</v>
      </c>
      <c r="Z152" s="913">
        <v>641.28119999999979</v>
      </c>
      <c r="AA152" s="913">
        <v>678.00919999999985</v>
      </c>
      <c r="AB152" s="913">
        <v>714.7371999999998</v>
      </c>
      <c r="AC152" s="913">
        <v>751.46519999999987</v>
      </c>
      <c r="AD152" s="913">
        <v>823.27519999999993</v>
      </c>
      <c r="AE152" s="913">
        <v>860.00319999999999</v>
      </c>
      <c r="AF152" s="913">
        <v>896.73119999999994</v>
      </c>
      <c r="AG152" s="913">
        <v>933.4591999999999</v>
      </c>
      <c r="AH152" s="913">
        <v>970.18719999999985</v>
      </c>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23"/>
    </row>
    <row r="153" spans="3:141" x14ac:dyDescent="0.25">
      <c r="N153" s="922" t="s">
        <v>76</v>
      </c>
      <c r="O153" s="913">
        <v>39.960125000000005</v>
      </c>
      <c r="P153" s="913">
        <v>49.084525000000006</v>
      </c>
      <c r="Q153" s="913">
        <v>58.208925000000001</v>
      </c>
      <c r="R153" s="913">
        <v>67.333325000000002</v>
      </c>
      <c r="S153" s="913">
        <v>76.457724999999996</v>
      </c>
      <c r="T153" s="913">
        <v>60.194749999999999</v>
      </c>
      <c r="U153" s="913">
        <v>66.277683333333329</v>
      </c>
      <c r="V153" s="913">
        <v>72.360616666666672</v>
      </c>
      <c r="W153" s="913">
        <v>79.962199999999996</v>
      </c>
      <c r="X153" s="913">
        <v>86.083533333333321</v>
      </c>
      <c r="Y153" s="913">
        <v>75.569149999999979</v>
      </c>
      <c r="Z153" s="913">
        <v>80.160149999999973</v>
      </c>
      <c r="AA153" s="913">
        <v>84.751149999999981</v>
      </c>
      <c r="AB153" s="913">
        <v>89.342149999999975</v>
      </c>
      <c r="AC153" s="913">
        <v>93.933149999999983</v>
      </c>
      <c r="AD153" s="913">
        <v>82.327519999999993</v>
      </c>
      <c r="AE153" s="913">
        <v>86.000320000000002</v>
      </c>
      <c r="AF153" s="913">
        <v>89.673119999999997</v>
      </c>
      <c r="AG153" s="913">
        <v>93.345919999999992</v>
      </c>
      <c r="AH153" s="913">
        <v>97.018719999999988</v>
      </c>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23"/>
    </row>
    <row r="154" spans="3:141"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23"/>
    </row>
    <row r="155" spans="3:141"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23"/>
    </row>
    <row r="156" spans="3:141" x14ac:dyDescent="0.25">
      <c r="N156" s="922" t="s">
        <v>422</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13"/>
      <c r="EK156" s="923"/>
    </row>
    <row r="157" spans="3:141"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23"/>
    </row>
    <row r="158" spans="3:141" x14ac:dyDescent="0.25">
      <c r="N158" s="922" t="s">
        <v>33</v>
      </c>
      <c r="O158" s="913">
        <v>12</v>
      </c>
      <c r="P158" s="913">
        <v>24</v>
      </c>
      <c r="Q158" s="913">
        <v>36</v>
      </c>
      <c r="R158" s="913">
        <v>48</v>
      </c>
      <c r="S158" s="913">
        <v>60</v>
      </c>
      <c r="T158" s="913">
        <v>72</v>
      </c>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13"/>
      <c r="EK158" s="923"/>
    </row>
    <row r="159" spans="3:141" x14ac:dyDescent="0.25">
      <c r="N159" s="926" t="s">
        <v>149</v>
      </c>
      <c r="O159" s="913">
        <v>263.88</v>
      </c>
      <c r="P159" s="913">
        <v>452.28</v>
      </c>
      <c r="Q159" s="913">
        <v>586.31999999999994</v>
      </c>
      <c r="R159" s="913">
        <v>774.72</v>
      </c>
      <c r="S159" s="913">
        <v>963.11999999999989</v>
      </c>
      <c r="T159" s="913">
        <v>1097.04</v>
      </c>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13"/>
      <c r="EK159" s="923"/>
    </row>
    <row r="160" spans="3:141" x14ac:dyDescent="0.25">
      <c r="N160" s="922" t="s">
        <v>247</v>
      </c>
      <c r="O160" s="913">
        <v>7.68</v>
      </c>
      <c r="P160" s="913">
        <v>15.36</v>
      </c>
      <c r="Q160" s="913">
        <v>23.04</v>
      </c>
      <c r="R160" s="913">
        <v>30.72</v>
      </c>
      <c r="S160" s="913">
        <v>38.4</v>
      </c>
      <c r="T160" s="913">
        <v>46.08</v>
      </c>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13"/>
      <c r="EK160" s="923"/>
    </row>
    <row r="161" spans="14:141" x14ac:dyDescent="0.25">
      <c r="N161" s="926" t="s">
        <v>148</v>
      </c>
      <c r="O161" s="913">
        <v>7.7759999999999998</v>
      </c>
      <c r="P161" s="913">
        <v>15.552</v>
      </c>
      <c r="Q161" s="913">
        <v>23.327999999999999</v>
      </c>
      <c r="R161" s="913">
        <v>31.103999999999999</v>
      </c>
      <c r="S161" s="913">
        <v>38.879999999999995</v>
      </c>
      <c r="T161" s="913">
        <v>46.655999999999999</v>
      </c>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13"/>
      <c r="EK161" s="923"/>
    </row>
    <row r="162" spans="14:141" x14ac:dyDescent="0.25">
      <c r="N162" s="922" t="s">
        <v>248</v>
      </c>
      <c r="O162" s="913">
        <v>12</v>
      </c>
      <c r="P162" s="913">
        <v>12</v>
      </c>
      <c r="Q162" s="913">
        <v>12</v>
      </c>
      <c r="R162" s="913">
        <v>12</v>
      </c>
      <c r="S162" s="913">
        <v>12</v>
      </c>
      <c r="T162" s="913">
        <v>12</v>
      </c>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13"/>
      <c r="EK162" s="923"/>
    </row>
    <row r="163" spans="14:141" x14ac:dyDescent="0.25">
      <c r="N163" s="922" t="s">
        <v>245</v>
      </c>
      <c r="O163" s="913">
        <v>12.479999999999997</v>
      </c>
      <c r="P163" s="913">
        <v>19.379999999999995</v>
      </c>
      <c r="Q163" s="913">
        <v>26.279999999999994</v>
      </c>
      <c r="R163" s="913">
        <v>33.179999999999986</v>
      </c>
      <c r="S163" s="913">
        <v>40.079999999999984</v>
      </c>
      <c r="T163" s="913">
        <v>46.979999999999983</v>
      </c>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13"/>
      <c r="EK163" s="923"/>
    </row>
    <row r="164" spans="14:141" x14ac:dyDescent="0.25">
      <c r="N164" s="922" t="s">
        <v>246</v>
      </c>
      <c r="O164" s="913">
        <v>17.46</v>
      </c>
      <c r="P164" s="913">
        <v>17.46</v>
      </c>
      <c r="Q164" s="913">
        <v>17.46</v>
      </c>
      <c r="R164" s="913">
        <v>17.46</v>
      </c>
      <c r="S164" s="913">
        <v>17.46</v>
      </c>
      <c r="T164" s="913">
        <v>17.46</v>
      </c>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13"/>
      <c r="EK164" s="923"/>
    </row>
    <row r="165" spans="14:141" x14ac:dyDescent="0.25">
      <c r="N165" s="922" t="s">
        <v>249</v>
      </c>
      <c r="O165" s="913">
        <v>489.036</v>
      </c>
      <c r="P165" s="913">
        <v>489.036</v>
      </c>
      <c r="Q165" s="913">
        <v>489.036</v>
      </c>
      <c r="R165" s="913">
        <v>489.036</v>
      </c>
      <c r="S165" s="913">
        <v>489.036</v>
      </c>
      <c r="T165" s="913">
        <v>489.036</v>
      </c>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13"/>
      <c r="EK165" s="923"/>
    </row>
    <row r="166" spans="14:141"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13"/>
      <c r="EK166" s="923"/>
    </row>
    <row r="167" spans="14:141" x14ac:dyDescent="0.25">
      <c r="N167" s="922" t="s">
        <v>77</v>
      </c>
      <c r="O167" s="913">
        <v>810.31200000000001</v>
      </c>
      <c r="P167" s="913">
        <v>1021.068</v>
      </c>
      <c r="Q167" s="913">
        <v>1177.4639999999999</v>
      </c>
      <c r="R167" s="913">
        <v>1388.22</v>
      </c>
      <c r="S167" s="913">
        <v>1598.9759999999999</v>
      </c>
      <c r="T167" s="913">
        <v>1755.252</v>
      </c>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13"/>
      <c r="EK167" s="923"/>
    </row>
    <row r="168" spans="14:141" x14ac:dyDescent="0.25">
      <c r="N168" s="922" t="s">
        <v>76</v>
      </c>
      <c r="O168" s="913">
        <v>67.525999999999996</v>
      </c>
      <c r="P168" s="913">
        <v>85.088999999999999</v>
      </c>
      <c r="Q168" s="913">
        <v>98.122</v>
      </c>
      <c r="R168" s="913">
        <v>115.685</v>
      </c>
      <c r="S168" s="913">
        <v>133.24799999999999</v>
      </c>
      <c r="T168" s="913">
        <v>146.27099999999999</v>
      </c>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13"/>
      <c r="EK168" s="923"/>
    </row>
    <row r="169" spans="14:141"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13"/>
      <c r="EK169" s="923"/>
    </row>
    <row r="170" spans="14:141"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13"/>
      <c r="EK170" s="923"/>
    </row>
    <row r="171" spans="14:141"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13"/>
      <c r="EK171" s="923"/>
    </row>
    <row r="172" spans="14:141"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13"/>
      <c r="EK172" s="923"/>
    </row>
    <row r="173" spans="14:141"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13"/>
      <c r="EK173" s="923"/>
    </row>
    <row r="174" spans="14:141"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13"/>
      <c r="EK174" s="923"/>
    </row>
    <row r="175" spans="14:141"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13"/>
      <c r="EK175" s="923"/>
    </row>
    <row r="176" spans="14:141"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13"/>
      <c r="EK176" s="923"/>
    </row>
    <row r="177" spans="14:141"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13"/>
      <c r="EK177" s="923"/>
    </row>
    <row r="178" spans="14:141"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13"/>
      <c r="AX178" s="913"/>
      <c r="AY178" s="913"/>
      <c r="AZ178" s="913"/>
      <c r="BA178" s="913"/>
      <c r="BB178" s="913"/>
      <c r="BC178" s="913"/>
      <c r="BD178" s="913"/>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c r="BY178" s="913"/>
      <c r="BZ178" s="913"/>
      <c r="CA178" s="913"/>
      <c r="CB178" s="913"/>
      <c r="CC178" s="913"/>
      <c r="CD178" s="913"/>
      <c r="CE178" s="913"/>
      <c r="CF178" s="913"/>
      <c r="CG178" s="913"/>
      <c r="CH178" s="913"/>
      <c r="CI178" s="913"/>
      <c r="CJ178" s="913"/>
      <c r="CK178" s="913"/>
      <c r="CL178" s="913"/>
      <c r="CM178" s="913"/>
      <c r="CN178" s="913"/>
      <c r="CO178" s="913"/>
      <c r="CP178" s="913"/>
      <c r="CQ178" s="913"/>
      <c r="CR178" s="913"/>
      <c r="CS178" s="913"/>
      <c r="CT178" s="913"/>
      <c r="CU178" s="913"/>
      <c r="CV178" s="913"/>
      <c r="CW178" s="913"/>
      <c r="CX178" s="913"/>
      <c r="CY178" s="913"/>
      <c r="CZ178" s="913"/>
      <c r="DA178" s="913"/>
      <c r="DB178" s="913"/>
      <c r="DC178" s="913"/>
      <c r="DD178" s="913"/>
      <c r="DE178" s="913"/>
      <c r="DF178" s="913"/>
      <c r="DG178" s="913"/>
      <c r="DH178" s="913"/>
      <c r="DI178" s="913"/>
      <c r="DJ178" s="913"/>
      <c r="DK178" s="913"/>
      <c r="DL178" s="913"/>
      <c r="DM178" s="913"/>
      <c r="DN178" s="913"/>
      <c r="DO178" s="913"/>
      <c r="DP178" s="913"/>
      <c r="DQ178" s="913"/>
      <c r="DR178" s="913"/>
      <c r="DS178" s="913"/>
      <c r="DT178" s="913"/>
      <c r="DU178" s="913"/>
      <c r="DV178" s="913"/>
      <c r="DW178" s="913"/>
      <c r="DX178" s="913"/>
      <c r="DY178" s="913"/>
      <c r="DZ178" s="913"/>
      <c r="EA178" s="913"/>
      <c r="EB178" s="913"/>
      <c r="EC178" s="913"/>
      <c r="ED178" s="913"/>
      <c r="EE178" s="913"/>
      <c r="EF178" s="913"/>
      <c r="EG178" s="913"/>
      <c r="EH178" s="913"/>
      <c r="EI178" s="913"/>
      <c r="EJ178" s="913"/>
      <c r="EK178" s="923"/>
    </row>
    <row r="179" spans="14:141" x14ac:dyDescent="0.25">
      <c r="N179" s="922"/>
      <c r="O179" s="913"/>
      <c r="P179" s="913"/>
      <c r="Q179" s="913"/>
      <c r="R179" s="913"/>
      <c r="S179" s="913"/>
      <c r="T179" s="913"/>
      <c r="U179" s="913"/>
      <c r="V179" s="913"/>
      <c r="W179" s="913"/>
      <c r="X179" s="913"/>
      <c r="Y179" s="913"/>
      <c r="Z179" s="913"/>
      <c r="AA179" s="913"/>
      <c r="AB179" s="913"/>
      <c r="AC179" s="913"/>
      <c r="AD179" s="913"/>
      <c r="AE179" s="913"/>
      <c r="AF179" s="913"/>
      <c r="AG179" s="913"/>
      <c r="AH179" s="913"/>
      <c r="AI179" s="913"/>
      <c r="AJ179" s="913"/>
      <c r="AK179" s="913"/>
      <c r="AL179" s="913"/>
      <c r="AM179" s="913"/>
      <c r="AN179" s="913"/>
      <c r="AO179" s="913"/>
      <c r="AP179" s="913"/>
      <c r="AQ179" s="913"/>
      <c r="AR179" s="913"/>
      <c r="AS179" s="913"/>
      <c r="AT179" s="913"/>
      <c r="AU179" s="913"/>
      <c r="AV179" s="913"/>
      <c r="AW179" s="913"/>
      <c r="AX179" s="913"/>
      <c r="AY179" s="913"/>
      <c r="AZ179" s="913"/>
      <c r="BA179" s="913"/>
      <c r="BB179" s="913"/>
      <c r="BC179" s="913"/>
      <c r="BD179" s="913"/>
      <c r="BE179" s="913"/>
      <c r="BF179" s="913"/>
      <c r="BG179" s="913"/>
      <c r="BH179" s="913"/>
      <c r="BI179" s="913"/>
      <c r="BJ179" s="913"/>
      <c r="BK179" s="913"/>
      <c r="BL179" s="913"/>
      <c r="BM179" s="913"/>
      <c r="BN179" s="913"/>
      <c r="BO179" s="913"/>
      <c r="BP179" s="913"/>
      <c r="BQ179" s="913"/>
      <c r="BR179" s="913"/>
      <c r="BS179" s="913"/>
      <c r="BT179" s="913"/>
      <c r="BU179" s="913"/>
      <c r="BV179" s="913"/>
      <c r="BW179" s="913"/>
      <c r="BX179" s="913"/>
      <c r="BY179" s="913"/>
      <c r="BZ179" s="913"/>
      <c r="CA179" s="913"/>
      <c r="CB179" s="913"/>
      <c r="CC179" s="913"/>
      <c r="CD179" s="913"/>
      <c r="CE179" s="913"/>
      <c r="CF179" s="913"/>
      <c r="CG179" s="913"/>
      <c r="CH179" s="913"/>
      <c r="CI179" s="913"/>
      <c r="CJ179" s="913"/>
      <c r="CK179" s="913"/>
      <c r="CL179" s="913"/>
      <c r="CM179" s="913"/>
      <c r="CN179" s="913"/>
      <c r="CO179" s="913"/>
      <c r="CP179" s="913"/>
      <c r="CQ179" s="913"/>
      <c r="CR179" s="913"/>
      <c r="CS179" s="913"/>
      <c r="CT179" s="913"/>
      <c r="CU179" s="913"/>
      <c r="CV179" s="913"/>
      <c r="CW179" s="913"/>
      <c r="CX179" s="913"/>
      <c r="CY179" s="913"/>
      <c r="CZ179" s="913"/>
      <c r="DA179" s="913"/>
      <c r="DB179" s="913"/>
      <c r="DC179" s="913"/>
      <c r="DD179" s="913"/>
      <c r="DE179" s="913"/>
      <c r="DF179" s="913"/>
      <c r="DG179" s="913"/>
      <c r="DH179" s="913"/>
      <c r="DI179" s="913"/>
      <c r="DJ179" s="913"/>
      <c r="DK179" s="913"/>
      <c r="DL179" s="913"/>
      <c r="DM179" s="913"/>
      <c r="DN179" s="913"/>
      <c r="DO179" s="913"/>
      <c r="DP179" s="913"/>
      <c r="DQ179" s="913"/>
      <c r="DR179" s="913"/>
      <c r="DS179" s="913"/>
      <c r="DT179" s="913"/>
      <c r="DU179" s="913"/>
      <c r="DV179" s="913"/>
      <c r="DW179" s="913"/>
      <c r="DX179" s="913"/>
      <c r="DY179" s="913"/>
      <c r="DZ179" s="913"/>
      <c r="EA179" s="913"/>
      <c r="EB179" s="913"/>
      <c r="EC179" s="913"/>
      <c r="ED179" s="913"/>
      <c r="EE179" s="913"/>
      <c r="EF179" s="913"/>
      <c r="EG179" s="913"/>
      <c r="EH179" s="913"/>
      <c r="EI179" s="913"/>
      <c r="EJ179" s="913"/>
      <c r="EK179" s="923"/>
    </row>
    <row r="180" spans="14:141" x14ac:dyDescent="0.25">
      <c r="N180" s="922"/>
      <c r="O180" s="913"/>
      <c r="P180" s="913"/>
      <c r="Q180" s="913"/>
      <c r="R180" s="913"/>
      <c r="S180" s="913"/>
      <c r="T180" s="913"/>
      <c r="U180" s="913"/>
      <c r="V180" s="913"/>
      <c r="W180" s="913"/>
      <c r="X180" s="913"/>
      <c r="Y180" s="913"/>
      <c r="Z180" s="913"/>
      <c r="AA180" s="913"/>
      <c r="AB180" s="913"/>
      <c r="AC180" s="913"/>
      <c r="AD180" s="913"/>
      <c r="AE180" s="913"/>
      <c r="AF180" s="913"/>
      <c r="AG180" s="913"/>
      <c r="AH180" s="913"/>
      <c r="AI180" s="913"/>
      <c r="AJ180" s="913"/>
      <c r="AK180" s="913"/>
      <c r="AL180" s="913"/>
      <c r="AM180" s="913"/>
      <c r="AN180" s="913"/>
      <c r="AO180" s="913"/>
      <c r="AP180" s="913"/>
      <c r="AQ180" s="913"/>
      <c r="AR180" s="913"/>
      <c r="AS180" s="913"/>
      <c r="AT180" s="913"/>
      <c r="AU180" s="913"/>
      <c r="AV180" s="913"/>
      <c r="AW180" s="913"/>
      <c r="AX180" s="913"/>
      <c r="AY180" s="913"/>
      <c r="AZ180" s="913"/>
      <c r="BA180" s="913"/>
      <c r="BB180" s="913"/>
      <c r="BC180" s="913"/>
      <c r="BD180" s="913"/>
      <c r="BE180" s="913"/>
      <c r="BF180" s="913"/>
      <c r="BG180" s="913"/>
      <c r="BH180" s="913"/>
      <c r="BI180" s="913"/>
      <c r="BJ180" s="913"/>
      <c r="BK180" s="913"/>
      <c r="BL180" s="913"/>
      <c r="BM180" s="913"/>
      <c r="BN180" s="913"/>
      <c r="BO180" s="913"/>
      <c r="BP180" s="913"/>
      <c r="BQ180" s="913"/>
      <c r="BR180" s="913"/>
      <c r="BS180" s="913"/>
      <c r="BT180" s="913"/>
      <c r="BU180" s="913"/>
      <c r="BV180" s="913"/>
      <c r="BW180" s="913"/>
      <c r="BX180" s="913"/>
      <c r="BY180" s="913"/>
      <c r="BZ180" s="913"/>
      <c r="CA180" s="913"/>
      <c r="CB180" s="913"/>
      <c r="CC180" s="913"/>
      <c r="CD180" s="913"/>
      <c r="CE180" s="913"/>
      <c r="CF180" s="913"/>
      <c r="CG180" s="913"/>
      <c r="CH180" s="913"/>
      <c r="CI180" s="913"/>
      <c r="CJ180" s="913"/>
      <c r="CK180" s="913"/>
      <c r="CL180" s="913"/>
      <c r="CM180" s="913"/>
      <c r="CN180" s="913"/>
      <c r="CO180" s="913"/>
      <c r="CP180" s="913"/>
      <c r="CQ180" s="913"/>
      <c r="CR180" s="913"/>
      <c r="CS180" s="913"/>
      <c r="CT180" s="913"/>
      <c r="CU180" s="913"/>
      <c r="CV180" s="913"/>
      <c r="CW180" s="913"/>
      <c r="CX180" s="913"/>
      <c r="CY180" s="913"/>
      <c r="CZ180" s="913"/>
      <c r="DA180" s="913"/>
      <c r="DB180" s="913"/>
      <c r="DC180" s="913"/>
      <c r="DD180" s="913"/>
      <c r="DE180" s="913"/>
      <c r="DF180" s="913"/>
      <c r="DG180" s="913"/>
      <c r="DH180" s="913"/>
      <c r="DI180" s="913"/>
      <c r="DJ180" s="913"/>
      <c r="DK180" s="913"/>
      <c r="DL180" s="913"/>
      <c r="DM180" s="913"/>
      <c r="DN180" s="913"/>
      <c r="DO180" s="913"/>
      <c r="DP180" s="913"/>
      <c r="DQ180" s="913"/>
      <c r="DR180" s="913"/>
      <c r="DS180" s="913"/>
      <c r="DT180" s="913"/>
      <c r="DU180" s="913"/>
      <c r="DV180" s="913"/>
      <c r="DW180" s="913"/>
      <c r="DX180" s="913"/>
      <c r="DY180" s="913"/>
      <c r="DZ180" s="913"/>
      <c r="EA180" s="913"/>
      <c r="EB180" s="913"/>
      <c r="EC180" s="913"/>
      <c r="ED180" s="913"/>
      <c r="EE180" s="913"/>
      <c r="EF180" s="913"/>
      <c r="EG180" s="913"/>
      <c r="EH180" s="913"/>
      <c r="EI180" s="913"/>
      <c r="EJ180" s="913"/>
      <c r="EK180" s="923"/>
    </row>
    <row r="181" spans="14:141" x14ac:dyDescent="0.25">
      <c r="N181" s="922"/>
      <c r="O181" s="913"/>
      <c r="P181" s="913"/>
      <c r="Q181" s="913"/>
      <c r="R181" s="913"/>
      <c r="S181" s="913"/>
      <c r="T181" s="913"/>
      <c r="U181" s="913"/>
      <c r="V181" s="913"/>
      <c r="W181" s="913"/>
      <c r="X181" s="913"/>
      <c r="Y181" s="913"/>
      <c r="Z181" s="913"/>
      <c r="AA181" s="913"/>
      <c r="AB181" s="913"/>
      <c r="AC181" s="913"/>
      <c r="AD181" s="913"/>
      <c r="AE181" s="913"/>
      <c r="AF181" s="913"/>
      <c r="AG181" s="913"/>
      <c r="AH181" s="913"/>
      <c r="AI181" s="913"/>
      <c r="AJ181" s="913"/>
      <c r="AK181" s="913"/>
      <c r="AL181" s="913"/>
      <c r="AM181" s="913"/>
      <c r="AN181" s="913"/>
      <c r="AO181" s="913"/>
      <c r="AP181" s="913"/>
      <c r="AQ181" s="913"/>
      <c r="AR181" s="913"/>
      <c r="AS181" s="913"/>
      <c r="AT181" s="913"/>
      <c r="AU181" s="913"/>
      <c r="AV181" s="913"/>
      <c r="AW181" s="913"/>
      <c r="AX181" s="913"/>
      <c r="AY181" s="913"/>
      <c r="AZ181" s="913"/>
      <c r="BA181" s="913"/>
      <c r="BB181" s="913"/>
      <c r="BC181" s="913"/>
      <c r="BD181" s="913"/>
      <c r="BE181" s="913"/>
      <c r="BF181" s="913"/>
      <c r="BG181" s="913"/>
      <c r="BH181" s="913"/>
      <c r="BI181" s="913"/>
      <c r="BJ181" s="913"/>
      <c r="BK181" s="913"/>
      <c r="BL181" s="913"/>
      <c r="BM181" s="913"/>
      <c r="BN181" s="913"/>
      <c r="BO181" s="913"/>
      <c r="BP181" s="913"/>
      <c r="BQ181" s="913"/>
      <c r="BR181" s="913"/>
      <c r="BS181" s="913"/>
      <c r="BT181" s="913"/>
      <c r="BU181" s="913"/>
      <c r="BV181" s="913"/>
      <c r="BW181" s="913"/>
      <c r="BX181" s="913"/>
      <c r="BY181" s="913"/>
      <c r="BZ181" s="913"/>
      <c r="CA181" s="913"/>
      <c r="CB181" s="913"/>
      <c r="CC181" s="913"/>
      <c r="CD181" s="913"/>
      <c r="CE181" s="913"/>
      <c r="CF181" s="913"/>
      <c r="CG181" s="913"/>
      <c r="CH181" s="913"/>
      <c r="CI181" s="913"/>
      <c r="CJ181" s="913"/>
      <c r="CK181" s="913"/>
      <c r="CL181" s="913"/>
      <c r="CM181" s="913"/>
      <c r="CN181" s="913"/>
      <c r="CO181" s="913"/>
      <c r="CP181" s="913"/>
      <c r="CQ181" s="913"/>
      <c r="CR181" s="913"/>
      <c r="CS181" s="913"/>
      <c r="CT181" s="913"/>
      <c r="CU181" s="913"/>
      <c r="CV181" s="913"/>
      <c r="CW181" s="913"/>
      <c r="CX181" s="913"/>
      <c r="CY181" s="913"/>
      <c r="CZ181" s="913"/>
      <c r="DA181" s="913"/>
      <c r="DB181" s="913"/>
      <c r="DC181" s="913"/>
      <c r="DD181" s="913"/>
      <c r="DE181" s="913"/>
      <c r="DF181" s="913"/>
      <c r="DG181" s="913"/>
      <c r="DH181" s="913"/>
      <c r="DI181" s="913"/>
      <c r="DJ181" s="913"/>
      <c r="DK181" s="913"/>
      <c r="DL181" s="913"/>
      <c r="DM181" s="913"/>
      <c r="DN181" s="913"/>
      <c r="DO181" s="913"/>
      <c r="DP181" s="913"/>
      <c r="DQ181" s="913"/>
      <c r="DR181" s="913"/>
      <c r="DS181" s="913"/>
      <c r="DT181" s="913"/>
      <c r="DU181" s="913"/>
      <c r="DV181" s="913"/>
      <c r="DW181" s="913"/>
      <c r="DX181" s="913"/>
      <c r="DY181" s="913"/>
      <c r="DZ181" s="913"/>
      <c r="EA181" s="913"/>
      <c r="EB181" s="913"/>
      <c r="EC181" s="913"/>
      <c r="ED181" s="913"/>
      <c r="EE181" s="913"/>
      <c r="EF181" s="913"/>
      <c r="EG181" s="913"/>
      <c r="EH181" s="913"/>
      <c r="EI181" s="913"/>
      <c r="EJ181" s="913"/>
      <c r="EK181" s="923"/>
    </row>
    <row r="182" spans="14:141" x14ac:dyDescent="0.25">
      <c r="N182" s="922"/>
      <c r="O182" s="913"/>
      <c r="P182" s="913"/>
      <c r="Q182" s="913"/>
      <c r="R182" s="913"/>
      <c r="S182" s="913"/>
      <c r="T182" s="913"/>
      <c r="U182" s="913"/>
      <c r="V182" s="913"/>
      <c r="W182" s="913"/>
      <c r="X182" s="913"/>
      <c r="Y182" s="913"/>
      <c r="Z182" s="913"/>
      <c r="AA182" s="913"/>
      <c r="AB182" s="913"/>
      <c r="AC182" s="913"/>
      <c r="AD182" s="913"/>
      <c r="AE182" s="913"/>
      <c r="AF182" s="913"/>
      <c r="AG182" s="913"/>
      <c r="AH182" s="913"/>
      <c r="AI182" s="913"/>
      <c r="AJ182" s="913"/>
      <c r="AK182" s="913"/>
      <c r="AL182" s="913"/>
      <c r="AM182" s="913"/>
      <c r="AN182" s="913"/>
      <c r="AO182" s="913"/>
      <c r="AP182" s="913"/>
      <c r="AQ182" s="913"/>
      <c r="AR182" s="913"/>
      <c r="AS182" s="913"/>
      <c r="AT182" s="913"/>
      <c r="AU182" s="913"/>
      <c r="AV182" s="913"/>
      <c r="AW182" s="913"/>
      <c r="AX182" s="913"/>
      <c r="AY182" s="913"/>
      <c r="AZ182" s="913"/>
      <c r="BA182" s="913"/>
      <c r="BB182" s="913"/>
      <c r="BC182" s="913"/>
      <c r="BD182" s="913"/>
      <c r="BE182" s="913"/>
      <c r="BF182" s="913"/>
      <c r="BG182" s="913"/>
      <c r="BH182" s="913"/>
      <c r="BI182" s="913"/>
      <c r="BJ182" s="913"/>
      <c r="BK182" s="913"/>
      <c r="BL182" s="913"/>
      <c r="BM182" s="913"/>
      <c r="BN182" s="913"/>
      <c r="BO182" s="913"/>
      <c r="BP182" s="913"/>
      <c r="BQ182" s="913"/>
      <c r="BR182" s="913"/>
      <c r="BS182" s="913"/>
      <c r="BT182" s="913"/>
      <c r="BU182" s="913"/>
      <c r="BV182" s="913"/>
      <c r="BW182" s="913"/>
      <c r="BX182" s="913"/>
      <c r="BY182" s="913"/>
      <c r="BZ182" s="913"/>
      <c r="CA182" s="913"/>
      <c r="CB182" s="913"/>
      <c r="CC182" s="913"/>
      <c r="CD182" s="913"/>
      <c r="CE182" s="913"/>
      <c r="CF182" s="913"/>
      <c r="CG182" s="913"/>
      <c r="CH182" s="913"/>
      <c r="CI182" s="913"/>
      <c r="CJ182" s="913"/>
      <c r="CK182" s="913"/>
      <c r="CL182" s="913"/>
      <c r="CM182" s="913"/>
      <c r="CN182" s="913"/>
      <c r="CO182" s="913"/>
      <c r="CP182" s="913"/>
      <c r="CQ182" s="913"/>
      <c r="CR182" s="913"/>
      <c r="CS182" s="913"/>
      <c r="CT182" s="913"/>
      <c r="CU182" s="913"/>
      <c r="CV182" s="913"/>
      <c r="CW182" s="913"/>
      <c r="CX182" s="913"/>
      <c r="CY182" s="913"/>
      <c r="CZ182" s="913"/>
      <c r="DA182" s="913"/>
      <c r="DB182" s="913"/>
      <c r="DC182" s="913"/>
      <c r="DD182" s="913"/>
      <c r="DE182" s="913"/>
      <c r="DF182" s="913"/>
      <c r="DG182" s="913"/>
      <c r="DH182" s="913"/>
      <c r="DI182" s="913"/>
      <c r="DJ182" s="913"/>
      <c r="DK182" s="913"/>
      <c r="DL182" s="913"/>
      <c r="DM182" s="913"/>
      <c r="DN182" s="913"/>
      <c r="DO182" s="913"/>
      <c r="DP182" s="913"/>
      <c r="DQ182" s="913"/>
      <c r="DR182" s="913"/>
      <c r="DS182" s="913"/>
      <c r="DT182" s="913"/>
      <c r="DU182" s="913"/>
      <c r="DV182" s="913"/>
      <c r="DW182" s="913"/>
      <c r="DX182" s="913"/>
      <c r="DY182" s="913"/>
      <c r="DZ182" s="913"/>
      <c r="EA182" s="913"/>
      <c r="EB182" s="913"/>
      <c r="EC182" s="913"/>
      <c r="ED182" s="913"/>
      <c r="EE182" s="913"/>
      <c r="EF182" s="913"/>
      <c r="EG182" s="913"/>
      <c r="EH182" s="913"/>
      <c r="EI182" s="913"/>
      <c r="EJ182" s="913"/>
      <c r="EK182" s="923"/>
    </row>
    <row r="183" spans="14:141" x14ac:dyDescent="0.25">
      <c r="N183" s="922"/>
      <c r="O183" s="913"/>
      <c r="P183" s="913"/>
      <c r="Q183" s="913"/>
      <c r="R183" s="913"/>
      <c r="S183" s="913"/>
      <c r="T183" s="913"/>
      <c r="U183" s="913"/>
      <c r="V183" s="913"/>
      <c r="W183" s="913"/>
      <c r="X183" s="913"/>
      <c r="Y183" s="913"/>
      <c r="Z183" s="913"/>
      <c r="AA183" s="913"/>
      <c r="AB183" s="913"/>
      <c r="AC183" s="913"/>
      <c r="AD183" s="913"/>
      <c r="AE183" s="913"/>
      <c r="AF183" s="913"/>
      <c r="AG183" s="913"/>
      <c r="AH183" s="913"/>
      <c r="AI183" s="913"/>
      <c r="AJ183" s="913"/>
      <c r="AK183" s="913"/>
      <c r="AL183" s="913"/>
      <c r="AM183" s="913"/>
      <c r="AN183" s="913"/>
      <c r="AO183" s="913"/>
      <c r="AP183" s="913"/>
      <c r="AQ183" s="913"/>
      <c r="AR183" s="913"/>
      <c r="AS183" s="913"/>
      <c r="AT183" s="913"/>
      <c r="AU183" s="913"/>
      <c r="AV183" s="913"/>
      <c r="AW183" s="913"/>
      <c r="AX183" s="913"/>
      <c r="AY183" s="913"/>
      <c r="AZ183" s="913"/>
      <c r="BA183" s="913"/>
      <c r="BB183" s="913"/>
      <c r="BC183" s="913"/>
      <c r="BD183" s="913"/>
      <c r="BE183" s="913"/>
      <c r="BF183" s="913"/>
      <c r="BG183" s="913"/>
      <c r="BH183" s="913"/>
      <c r="BI183" s="913"/>
      <c r="BJ183" s="913"/>
      <c r="BK183" s="913"/>
      <c r="BL183" s="913"/>
      <c r="BM183" s="913"/>
      <c r="BN183" s="913"/>
      <c r="BO183" s="913"/>
      <c r="BP183" s="913"/>
      <c r="BQ183" s="913"/>
      <c r="BR183" s="913"/>
      <c r="BS183" s="913"/>
      <c r="BT183" s="913"/>
      <c r="BU183" s="913"/>
      <c r="BV183" s="913"/>
      <c r="BW183" s="913"/>
      <c r="BX183" s="913"/>
      <c r="BY183" s="913"/>
      <c r="BZ183" s="913"/>
      <c r="CA183" s="913"/>
      <c r="CB183" s="913"/>
      <c r="CC183" s="913"/>
      <c r="CD183" s="913"/>
      <c r="CE183" s="913"/>
      <c r="CF183" s="913"/>
      <c r="CG183" s="913"/>
      <c r="CH183" s="913"/>
      <c r="CI183" s="913"/>
      <c r="CJ183" s="913"/>
      <c r="CK183" s="913"/>
      <c r="CL183" s="913"/>
      <c r="CM183" s="913"/>
      <c r="CN183" s="913"/>
      <c r="CO183" s="913"/>
      <c r="CP183" s="913"/>
      <c r="CQ183" s="913"/>
      <c r="CR183" s="913"/>
      <c r="CS183" s="913"/>
      <c r="CT183" s="913"/>
      <c r="CU183" s="913"/>
      <c r="CV183" s="913"/>
      <c r="CW183" s="913"/>
      <c r="CX183" s="913"/>
      <c r="CY183" s="913"/>
      <c r="CZ183" s="913"/>
      <c r="DA183" s="913"/>
      <c r="DB183" s="913"/>
      <c r="DC183" s="913"/>
      <c r="DD183" s="913"/>
      <c r="DE183" s="913"/>
      <c r="DF183" s="913"/>
      <c r="DG183" s="913"/>
      <c r="DH183" s="913"/>
      <c r="DI183" s="913"/>
      <c r="DJ183" s="913"/>
      <c r="DK183" s="913"/>
      <c r="DL183" s="913"/>
      <c r="DM183" s="913"/>
      <c r="DN183" s="913"/>
      <c r="DO183" s="913"/>
      <c r="DP183" s="913"/>
      <c r="DQ183" s="913"/>
      <c r="DR183" s="913"/>
      <c r="DS183" s="913"/>
      <c r="DT183" s="913"/>
      <c r="DU183" s="913"/>
      <c r="DV183" s="913"/>
      <c r="DW183" s="913"/>
      <c r="DX183" s="913"/>
      <c r="DY183" s="913"/>
      <c r="DZ183" s="913"/>
      <c r="EA183" s="913"/>
      <c r="EB183" s="913"/>
      <c r="EC183" s="913"/>
      <c r="ED183" s="913"/>
      <c r="EE183" s="913"/>
      <c r="EF183" s="913"/>
      <c r="EG183" s="913"/>
      <c r="EH183" s="913"/>
      <c r="EI183" s="913"/>
      <c r="EJ183" s="913"/>
      <c r="EK183" s="923"/>
    </row>
    <row r="184" spans="14:141" x14ac:dyDescent="0.25">
      <c r="N184" s="928"/>
      <c r="O184" s="929"/>
      <c r="P184" s="929"/>
      <c r="Q184" s="929"/>
      <c r="R184" s="929"/>
      <c r="S184" s="929"/>
      <c r="T184" s="929"/>
      <c r="U184" s="929"/>
      <c r="V184" s="929"/>
      <c r="W184" s="929"/>
      <c r="X184" s="929"/>
      <c r="Y184" s="929"/>
      <c r="Z184" s="929"/>
      <c r="AA184" s="929"/>
      <c r="AB184" s="929"/>
      <c r="AC184" s="929"/>
      <c r="AD184" s="929"/>
      <c r="AE184" s="929"/>
      <c r="AF184" s="929"/>
      <c r="AG184" s="929"/>
      <c r="AH184" s="929"/>
      <c r="AI184" s="929"/>
      <c r="AJ184" s="929"/>
      <c r="AK184" s="929"/>
      <c r="AL184" s="929"/>
      <c r="AM184" s="929"/>
      <c r="AN184" s="929"/>
      <c r="AO184" s="929"/>
      <c r="AP184" s="929"/>
      <c r="AQ184" s="929"/>
      <c r="AR184" s="929"/>
      <c r="AS184" s="929"/>
      <c r="AT184" s="929"/>
      <c r="AU184" s="929"/>
      <c r="AV184" s="929"/>
      <c r="AW184" s="929"/>
      <c r="AX184" s="929"/>
      <c r="AY184" s="929"/>
      <c r="AZ184" s="929"/>
      <c r="BA184" s="929"/>
      <c r="BB184" s="929"/>
      <c r="BC184" s="929"/>
      <c r="BD184" s="929"/>
      <c r="BE184" s="929"/>
      <c r="BF184" s="929"/>
      <c r="BG184" s="929"/>
      <c r="BH184" s="929"/>
      <c r="BI184" s="929"/>
      <c r="BJ184" s="929"/>
      <c r="BK184" s="929"/>
      <c r="BL184" s="929"/>
      <c r="BM184" s="929"/>
      <c r="BN184" s="929"/>
      <c r="BO184" s="929"/>
      <c r="BP184" s="929"/>
      <c r="BQ184" s="929"/>
      <c r="BR184" s="929"/>
      <c r="BS184" s="929"/>
      <c r="BT184" s="929"/>
      <c r="BU184" s="929"/>
      <c r="BV184" s="929"/>
      <c r="BW184" s="929"/>
      <c r="BX184" s="929"/>
      <c r="BY184" s="929"/>
      <c r="BZ184" s="929"/>
      <c r="CA184" s="929"/>
      <c r="CB184" s="929"/>
      <c r="CC184" s="929"/>
      <c r="CD184" s="929"/>
      <c r="CE184" s="929"/>
      <c r="CF184" s="929"/>
      <c r="CG184" s="929"/>
      <c r="CH184" s="929"/>
      <c r="CI184" s="929"/>
      <c r="CJ184" s="929"/>
      <c r="CK184" s="929"/>
      <c r="CL184" s="929"/>
      <c r="CM184" s="929"/>
      <c r="CN184" s="929"/>
      <c r="CO184" s="929"/>
      <c r="CP184" s="929"/>
      <c r="CQ184" s="929"/>
      <c r="CR184" s="929"/>
      <c r="CS184" s="929"/>
      <c r="CT184" s="929"/>
      <c r="CU184" s="929"/>
      <c r="CV184" s="929"/>
      <c r="CW184" s="929"/>
      <c r="CX184" s="929"/>
      <c r="CY184" s="929"/>
      <c r="CZ184" s="929"/>
      <c r="DA184" s="929"/>
      <c r="DB184" s="929"/>
      <c r="DC184" s="929"/>
      <c r="DD184" s="929"/>
      <c r="DE184" s="929"/>
      <c r="DF184" s="929"/>
      <c r="DG184" s="929"/>
      <c r="DH184" s="929"/>
      <c r="DI184" s="929"/>
      <c r="DJ184" s="929"/>
      <c r="DK184" s="929"/>
      <c r="DL184" s="929"/>
      <c r="DM184" s="929"/>
      <c r="DN184" s="929"/>
      <c r="DO184" s="929"/>
      <c r="DP184" s="929"/>
      <c r="DQ184" s="929"/>
      <c r="DR184" s="929"/>
      <c r="DS184" s="929"/>
      <c r="DT184" s="929"/>
      <c r="DU184" s="929"/>
      <c r="DV184" s="929"/>
      <c r="DW184" s="929"/>
      <c r="DX184" s="929"/>
      <c r="DY184" s="929"/>
      <c r="DZ184" s="929"/>
      <c r="EA184" s="929"/>
      <c r="EB184" s="929"/>
      <c r="EC184" s="929"/>
      <c r="ED184" s="929"/>
      <c r="EE184" s="929"/>
      <c r="EF184" s="929"/>
      <c r="EG184" s="929"/>
      <c r="EH184" s="929"/>
      <c r="EI184" s="929"/>
      <c r="EJ184" s="929"/>
      <c r="EK184" s="930"/>
    </row>
    <row r="282" spans="24:25" x14ac:dyDescent="0.25">
      <c r="X282" s="110"/>
      <c r="Y282" s="109"/>
    </row>
  </sheetData>
  <sheetProtection algorithmName="SHA-512" hashValue="3Umx2A9T1Z4En0ody6l8XNofQgpcQvY3io2IkhS9CFlUAwQxziaj4PWzDC64wuvaJnIHuosYEm5qjmVOf1tftw==" saltValue="d07+LBVzIWW2UPwmZz/LAQ==" spinCount="100000" sheet="1" objects="1" scenarios="1"/>
  <mergeCells count="7">
    <mergeCell ref="N71:N72"/>
    <mergeCell ref="D15:W15"/>
    <mergeCell ref="AT15:IX15"/>
    <mergeCell ref="AU17:AV19"/>
    <mergeCell ref="AW17:IG18"/>
    <mergeCell ref="IQ18:IW18"/>
    <mergeCell ref="N44:N45"/>
  </mergeCells>
  <conditionalFormatting sqref="R46:Z57">
    <cfRule type="colorScale" priority="8">
      <colorScale>
        <cfvo type="min"/>
        <cfvo type="percentile" val="50"/>
        <cfvo type="max"/>
        <color rgb="FF63BE7B"/>
        <color rgb="FFFFEB84"/>
        <color rgb="FFF8696B"/>
      </colorScale>
    </cfRule>
  </conditionalFormatting>
  <conditionalFormatting sqref="E18:M29">
    <cfRule type="colorScale" priority="6">
      <colorScale>
        <cfvo type="min"/>
        <cfvo type="percentile" val="50"/>
        <cfvo type="max"/>
        <color rgb="FF63BE7B"/>
        <color rgb="FFFFEB84"/>
        <color rgb="FFF8696B"/>
      </colorScale>
    </cfRule>
  </conditionalFormatting>
  <conditionalFormatting sqref="Q103:Z105">
    <cfRule type="colorScale" priority="5">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2">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6.85546875"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 customWidth="1"/>
    <col min="19" max="19" width="13.42578125" customWidth="1"/>
    <col min="20" max="20" width="10.28515625" customWidth="1"/>
    <col min="21" max="21" width="20" customWidth="1"/>
    <col min="22" max="22" width="14.5703125"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3.1406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188" t="s">
        <v>36</v>
      </c>
      <c r="C1" s="213" t="s">
        <v>193</v>
      </c>
      <c r="D1" s="189"/>
      <c r="E1" s="189"/>
      <c r="F1" s="189"/>
      <c r="G1" s="189"/>
      <c r="H1" s="189"/>
      <c r="I1" s="190"/>
    </row>
    <row r="2" spans="2:25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8" ht="18.75" x14ac:dyDescent="0.3">
      <c r="B3" s="214" t="s">
        <v>181</v>
      </c>
      <c r="C3" s="187" t="str">
        <f>IF('DATA ENTRY'!B9="mm",'DATA ENTRY'!B10/25.4,'DATA ENTRY'!B10)</f>
        <v>ENTER LENGTH</v>
      </c>
      <c r="D3" s="179"/>
      <c r="E3" s="40"/>
      <c r="F3" s="40"/>
      <c r="G3" s="215" t="s">
        <v>229</v>
      </c>
      <c r="H3" s="187">
        <v>12</v>
      </c>
      <c r="I3" s="191">
        <v>240</v>
      </c>
      <c r="N3" s="41"/>
      <c r="O3" s="40"/>
      <c r="P3" s="40"/>
      <c r="Q3" s="40"/>
      <c r="R3" s="40"/>
      <c r="S3" s="40"/>
      <c r="T3" s="40"/>
      <c r="U3" s="40"/>
      <c r="V3" s="40"/>
      <c r="W3" s="169"/>
    </row>
    <row r="4" spans="2:258" ht="18.75" x14ac:dyDescent="0.3">
      <c r="B4" s="214" t="s">
        <v>38</v>
      </c>
      <c r="C4" s="187" t="str">
        <f>IF('DATA ENTRY'!B9="mm",'DATA ENTRY'!B11/25.4,'DATA ENTRY'!B11)</f>
        <v>ENTER WIDTH</v>
      </c>
      <c r="D4" s="179"/>
      <c r="E4" s="40"/>
      <c r="F4" s="40"/>
      <c r="G4" s="215" t="s">
        <v>230</v>
      </c>
      <c r="H4" s="187">
        <v>12</v>
      </c>
      <c r="I4" s="191">
        <v>120</v>
      </c>
      <c r="N4" s="41"/>
      <c r="O4" s="173" t="str">
        <f>C1&amp;"_MODEL"</f>
        <v>BCZE439_MODEL</v>
      </c>
      <c r="P4" s="173" t="s">
        <v>194</v>
      </c>
      <c r="Q4" s="173"/>
      <c r="R4" s="173"/>
      <c r="S4" s="173"/>
      <c r="T4" s="40"/>
      <c r="U4" s="40"/>
      <c r="V4" s="179" t="s">
        <v>93</v>
      </c>
      <c r="W4" s="169"/>
    </row>
    <row r="5" spans="2:258" ht="18.75" x14ac:dyDescent="0.3">
      <c r="B5" s="214" t="s">
        <v>39</v>
      </c>
      <c r="C5" s="187" t="str">
        <f>IF(AND('DATA ENTRY'!B9="mm",'DATA ENTRY'!B12&gt;=241,'DATA ENTRY'!B12&lt;=241.3),10.13,IF('DATA ENTRY'!B9="mm",'DATA ENTRY'!B12/25.4,'DATA ENTRY'!B12))</f>
        <v>ENTER HEIGHT</v>
      </c>
      <c r="D5" s="179"/>
      <c r="E5" s="40"/>
      <c r="F5" s="40"/>
      <c r="G5" s="215" t="s">
        <v>231</v>
      </c>
      <c r="H5" s="187">
        <v>9.5</v>
      </c>
      <c r="I5" s="191">
        <v>72</v>
      </c>
      <c r="N5" s="171" t="s">
        <v>79</v>
      </c>
      <c r="O5" s="173" t="str">
        <f>C1&amp;"_FA"</f>
        <v>BCZE439_FA</v>
      </c>
      <c r="P5" s="175" t="str">
        <f>D83</f>
        <v/>
      </c>
      <c r="Q5" s="173" t="s">
        <v>42</v>
      </c>
      <c r="R5" s="40"/>
      <c r="S5" s="40"/>
      <c r="T5" s="40"/>
      <c r="U5" s="40"/>
      <c r="V5" s="173" t="str">
        <f>C1&amp;"_W"</f>
        <v>BCZE439_W</v>
      </c>
      <c r="W5" s="178" t="str">
        <f>C3</f>
        <v>ENTER LENGTH</v>
      </c>
    </row>
    <row r="6" spans="2:258" ht="18.75" x14ac:dyDescent="0.3">
      <c r="B6" s="214" t="s">
        <v>40</v>
      </c>
      <c r="C6" s="483" t="str">
        <f>IF('DATA ENTRY'!B9="mm",'DATA ENTRY'!B13*2.1188799727597,'DATA ENTRY'!B13)</f>
        <v>ENTER AIR VOLUME</v>
      </c>
      <c r="D6" s="215"/>
      <c r="E6" s="215"/>
      <c r="F6" s="40"/>
      <c r="G6" s="40"/>
      <c r="H6" s="40"/>
      <c r="I6" s="169"/>
      <c r="N6" s="171" t="s">
        <v>56</v>
      </c>
      <c r="O6" s="173" t="str">
        <f>C1&amp;"_FA%"</f>
        <v>BCZE439_FA%</v>
      </c>
      <c r="P6" s="176" t="e">
        <f>D85</f>
        <v>#VALUE!</v>
      </c>
      <c r="Q6" s="173" t="s">
        <v>13</v>
      </c>
      <c r="R6" s="40"/>
      <c r="S6" s="40"/>
      <c r="T6" s="40"/>
      <c r="U6" s="40"/>
      <c r="V6" s="173" t="str">
        <f>C1&amp;"_H"</f>
        <v>BCZE439_H</v>
      </c>
      <c r="W6" s="178" t="str">
        <f>C4</f>
        <v>ENTER WIDTH</v>
      </c>
    </row>
    <row r="7" spans="2:258" ht="18.75" x14ac:dyDescent="0.3">
      <c r="B7" s="214" t="s">
        <v>41</v>
      </c>
      <c r="C7" s="215" t="str">
        <f>'DATA ENTRY'!B14</f>
        <v>SELECT AIR DIRECTION</v>
      </c>
      <c r="D7" s="215"/>
      <c r="E7" s="215"/>
      <c r="F7" s="40"/>
      <c r="G7" s="40"/>
      <c r="H7" s="40"/>
      <c r="I7" s="169"/>
      <c r="N7" s="171" t="s">
        <v>82</v>
      </c>
      <c r="O7" s="173" t="str">
        <f>C1&amp;"_VEL"</f>
        <v>BCZE439_VEL</v>
      </c>
      <c r="P7" s="176" t="e">
        <f>D87</f>
        <v>#VALUE!</v>
      </c>
      <c r="Q7" s="173" t="s">
        <v>0</v>
      </c>
      <c r="R7" s="40"/>
      <c r="S7" s="40"/>
      <c r="T7" s="40"/>
      <c r="U7" s="40"/>
      <c r="V7" s="173" t="str">
        <f>C1&amp;"_SL"</f>
        <v>BCZE439_SL</v>
      </c>
      <c r="W7" s="178" t="e">
        <f>C9</f>
        <v>#VALUE!</v>
      </c>
    </row>
    <row r="8" spans="2:258" ht="18.75" x14ac:dyDescent="0.3">
      <c r="B8" s="214"/>
      <c r="C8" s="215"/>
      <c r="D8" s="215"/>
      <c r="E8" s="215"/>
      <c r="F8" s="40"/>
      <c r="G8" s="40"/>
      <c r="H8" s="40"/>
      <c r="I8" s="169"/>
      <c r="N8" s="171" t="s">
        <v>80</v>
      </c>
      <c r="O8" s="173" t="str">
        <f>C1&amp;"_Intake"</f>
        <v>BCZE439_Intake</v>
      </c>
      <c r="P8" s="177" t="e">
        <f>D88</f>
        <v>#VALUE!</v>
      </c>
      <c r="Q8" s="173" t="s">
        <v>85</v>
      </c>
      <c r="R8" s="40"/>
      <c r="S8" s="40"/>
      <c r="T8" s="40"/>
      <c r="U8" s="40"/>
      <c r="V8" s="173" t="str">
        <f>C1&amp;"_SW"</f>
        <v>BCZE439_SW</v>
      </c>
      <c r="W8" s="178" t="e">
        <f>F9</f>
        <v>#VALUE!</v>
      </c>
    </row>
    <row r="9" spans="2:258" ht="18.75" x14ac:dyDescent="0.3">
      <c r="B9" s="214" t="s">
        <v>183</v>
      </c>
      <c r="C9" s="462" t="e">
        <f>CEILING(C3/60,1)</f>
        <v>#VALUE!</v>
      </c>
      <c r="D9" s="215"/>
      <c r="E9" s="215" t="s">
        <v>60</v>
      </c>
      <c r="F9" s="462" t="e">
        <f>CEILING(C4/60,1)</f>
        <v>#VALUE!</v>
      </c>
      <c r="G9" s="40"/>
      <c r="H9" s="215" t="s">
        <v>61</v>
      </c>
      <c r="I9" s="463" t="e">
        <f>CEILING(C5/72,1)</f>
        <v>#VALUE!</v>
      </c>
      <c r="N9" s="171" t="s">
        <v>81</v>
      </c>
      <c r="O9" s="173" t="str">
        <f>C1&amp;"_Exhaust"</f>
        <v>BCZE439_Exhaust</v>
      </c>
      <c r="P9" s="177" t="e">
        <f>D89</f>
        <v>#VALUE!</v>
      </c>
      <c r="Q9" s="173" t="s">
        <v>85</v>
      </c>
      <c r="R9" s="40"/>
      <c r="S9" s="40"/>
      <c r="T9" s="40"/>
      <c r="U9" s="40"/>
      <c r="V9" s="173" t="str">
        <f>C1&amp;"_TA"</f>
        <v>BCZE439_TA</v>
      </c>
      <c r="W9" s="178">
        <f>IF(OR(C3&lt;H3,C4&lt;H4,C5&lt;H5,C3&gt;I3,C4&gt;I4,C5&gt;I5),0,(C3*C4)/144)</f>
        <v>0</v>
      </c>
    </row>
    <row r="10" spans="2:258" ht="18.75" x14ac:dyDescent="0.3">
      <c r="B10" s="214" t="s">
        <v>184</v>
      </c>
      <c r="C10" s="462" t="e">
        <f>(C3/C9)</f>
        <v>#VALUE!</v>
      </c>
      <c r="D10" s="215"/>
      <c r="E10" s="215" t="s">
        <v>58</v>
      </c>
      <c r="F10" s="462" t="e">
        <f>(C4/F9)</f>
        <v>#VALUE!</v>
      </c>
      <c r="G10" s="40"/>
      <c r="H10" s="215" t="s">
        <v>51</v>
      </c>
      <c r="I10" s="463" t="e">
        <f>(C5/I9)</f>
        <v>#VALUE!</v>
      </c>
      <c r="N10" s="171" t="s">
        <v>86</v>
      </c>
      <c r="O10" s="173" t="str">
        <f>C1&amp;"_SEC"</f>
        <v>BCZE439_SEC</v>
      </c>
      <c r="P10" s="173">
        <f>IF(OR(C3&lt;H3,C4&lt;H4,C5&lt;H5,C3&gt;I3,C4&gt;I4,C5&gt;I5),0,D13)</f>
        <v>0</v>
      </c>
      <c r="Q10" s="173"/>
      <c r="R10" s="40"/>
      <c r="S10" s="40"/>
      <c r="T10" s="40"/>
      <c r="U10" s="40"/>
      <c r="V10" s="40"/>
      <c r="W10" s="169"/>
    </row>
    <row r="11" spans="2:258" ht="18.75" x14ac:dyDescent="0.3">
      <c r="B11" s="214"/>
      <c r="C11" s="215"/>
      <c r="D11" s="215"/>
      <c r="E11" s="215"/>
      <c r="F11" s="215"/>
      <c r="G11" s="40"/>
      <c r="H11" s="40"/>
      <c r="I11" s="169"/>
      <c r="N11" s="171" t="s">
        <v>83</v>
      </c>
      <c r="O11" s="173" t="str">
        <f>C1&amp;"_SECW"</f>
        <v>BCZE439_SECW</v>
      </c>
      <c r="P11" s="194" t="e">
        <f>IF(OR(D3&gt;I3,D4&gt;I4,D5&gt;I5),0,AB81)</f>
        <v>#VALUE!</v>
      </c>
      <c r="Q11" s="173" t="s">
        <v>72</v>
      </c>
      <c r="R11" s="40"/>
      <c r="S11" s="40"/>
      <c r="T11" s="40"/>
      <c r="U11" s="40"/>
      <c r="V11" s="40"/>
      <c r="W11" s="169"/>
    </row>
    <row r="12" spans="2:258" ht="19.5" thickBot="1" x14ac:dyDescent="0.35">
      <c r="B12" s="41"/>
      <c r="C12" s="214" t="s">
        <v>185</v>
      </c>
      <c r="D12" s="462" t="e">
        <f>C9*I9</f>
        <v>#VALUE!</v>
      </c>
      <c r="E12" s="215"/>
      <c r="F12" s="215" t="s">
        <v>186</v>
      </c>
      <c r="G12" s="462" t="e">
        <f>F9*I9</f>
        <v>#VALUE!</v>
      </c>
      <c r="H12" s="40"/>
      <c r="I12" s="169"/>
      <c r="N12" s="172" t="s">
        <v>84</v>
      </c>
      <c r="O12" s="174" t="str">
        <f>C1&amp;"_TW"</f>
        <v>BCZE439_TW</v>
      </c>
      <c r="P12" s="416">
        <f>IF(OR(C3&lt;H3,C4&lt;H4,C5&lt;H5,C3&gt;I3,C4&gt;I4,C5&gt;I5),0,AB80)</f>
        <v>0</v>
      </c>
      <c r="Q12" s="174" t="s">
        <v>72</v>
      </c>
      <c r="R12" s="43"/>
      <c r="S12" s="43"/>
      <c r="T12" s="43"/>
      <c r="U12" s="43"/>
      <c r="V12" s="43"/>
      <c r="W12" s="170"/>
    </row>
    <row r="13" spans="2:258" ht="18.75" x14ac:dyDescent="0.3">
      <c r="B13" s="41"/>
      <c r="C13" s="215" t="s">
        <v>187</v>
      </c>
      <c r="D13" s="462" t="e">
        <f>IF(OR(C10=0,F10=0,I10=0),0,((2*D12)+(2*G12)))</f>
        <v>#VALUE!</v>
      </c>
      <c r="E13" s="187"/>
      <c r="F13" s="187"/>
      <c r="G13" s="187"/>
      <c r="H13" s="40"/>
      <c r="I13" s="169"/>
      <c r="L13" s="71"/>
      <c r="M13" s="71"/>
      <c r="N13" s="425"/>
      <c r="O13" s="425"/>
      <c r="P13" s="425"/>
      <c r="Q13" s="425"/>
      <c r="R13" s="193"/>
      <c r="S13" s="193"/>
      <c r="T13" s="193"/>
      <c r="U13" s="193"/>
      <c r="V13" s="193"/>
      <c r="W13" s="193"/>
      <c r="X13" s="71"/>
    </row>
    <row r="14" spans="2:258" ht="15.75" thickBot="1" x14ac:dyDescent="0.3">
      <c r="B14" s="42"/>
      <c r="C14" s="43"/>
      <c r="D14" s="43"/>
      <c r="E14" s="43"/>
      <c r="F14" s="43"/>
      <c r="G14" s="43"/>
      <c r="H14" s="43"/>
      <c r="I14" s="170"/>
      <c r="L14" s="71"/>
      <c r="M14" s="71"/>
      <c r="N14" s="71"/>
      <c r="O14" s="71"/>
      <c r="P14" s="71"/>
      <c r="Q14" s="71"/>
      <c r="R14" s="71"/>
      <c r="S14" s="71"/>
      <c r="T14" s="71"/>
      <c r="U14" s="71"/>
      <c r="V14" s="71"/>
      <c r="W14" s="71"/>
      <c r="X14" s="71"/>
    </row>
    <row r="15" spans="2:258" ht="27.75" thickTop="1" thickBot="1" x14ac:dyDescent="0.45">
      <c r="B15" s="73" t="s">
        <v>50</v>
      </c>
      <c r="C15" s="74"/>
      <c r="D15" s="998" t="s">
        <v>227</v>
      </c>
      <c r="E15" s="999"/>
      <c r="F15" s="999"/>
      <c r="G15" s="999"/>
      <c r="H15" s="999"/>
      <c r="I15" s="999"/>
      <c r="J15" s="999"/>
      <c r="K15" s="999"/>
      <c r="L15" s="999"/>
      <c r="M15" s="999"/>
      <c r="N15" s="999"/>
      <c r="O15" s="999"/>
      <c r="P15" s="999"/>
      <c r="Q15" s="999"/>
      <c r="R15" s="999"/>
      <c r="S15" s="999"/>
      <c r="T15" s="999"/>
      <c r="U15" s="999"/>
      <c r="V15" s="999"/>
      <c r="W15" s="1000"/>
      <c r="X15" s="74"/>
      <c r="Y15" s="75"/>
      <c r="AT15" s="978" t="s">
        <v>356</v>
      </c>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79"/>
      <c r="DW15" s="979"/>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79"/>
      <c r="ET15" s="979"/>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79"/>
      <c r="FT15" s="979"/>
      <c r="FU15" s="979"/>
      <c r="FV15" s="979"/>
      <c r="FW15" s="979"/>
      <c r="FX15" s="979"/>
      <c r="FY15" s="979"/>
      <c r="FZ15" s="979"/>
      <c r="GA15" s="979"/>
      <c r="GB15" s="979"/>
      <c r="GC15" s="979"/>
      <c r="GD15" s="979"/>
      <c r="GE15" s="979"/>
      <c r="GF15" s="979"/>
      <c r="GG15" s="979"/>
      <c r="GH15" s="979"/>
      <c r="GI15" s="979"/>
      <c r="GJ15" s="979"/>
      <c r="GK15" s="979"/>
      <c r="GL15" s="979"/>
      <c r="GM15" s="979"/>
      <c r="GN15" s="979"/>
      <c r="GO15" s="979"/>
      <c r="GP15" s="979"/>
      <c r="GQ15" s="979"/>
      <c r="GR15" s="979"/>
      <c r="GS15" s="979"/>
      <c r="GT15" s="979"/>
      <c r="GU15" s="979"/>
      <c r="GV15" s="979"/>
      <c r="GW15" s="979"/>
      <c r="GX15" s="979"/>
      <c r="GY15" s="979"/>
      <c r="GZ15" s="979"/>
      <c r="HA15" s="979"/>
      <c r="HB15" s="979"/>
      <c r="HC15" s="979"/>
      <c r="HD15" s="979"/>
      <c r="HE15" s="979"/>
      <c r="HF15" s="979"/>
      <c r="HG15" s="979"/>
      <c r="HH15" s="979"/>
      <c r="HI15" s="979"/>
      <c r="HJ15" s="979"/>
      <c r="HK15" s="979"/>
      <c r="HL15" s="979"/>
      <c r="HM15" s="979"/>
      <c r="HN15" s="979"/>
      <c r="HO15" s="979"/>
      <c r="HP15" s="979"/>
      <c r="HQ15" s="979"/>
      <c r="HR15" s="979"/>
      <c r="HS15" s="979"/>
      <c r="HT15" s="979"/>
      <c r="HU15" s="979"/>
      <c r="HV15" s="979"/>
      <c r="HW15" s="979"/>
      <c r="HX15" s="979"/>
      <c r="HY15" s="979"/>
      <c r="HZ15" s="979"/>
      <c r="IA15" s="979"/>
      <c r="IB15" s="979"/>
      <c r="IC15" s="979"/>
      <c r="ID15" s="979"/>
      <c r="IE15" s="979"/>
      <c r="IF15" s="979"/>
      <c r="IG15" s="979"/>
      <c r="IH15" s="979"/>
      <c r="II15" s="979"/>
      <c r="IJ15" s="979"/>
      <c r="IK15" s="979"/>
      <c r="IL15" s="979"/>
      <c r="IM15" s="979"/>
      <c r="IN15" s="979"/>
      <c r="IO15" s="979"/>
      <c r="IP15" s="979"/>
      <c r="IQ15" s="979"/>
      <c r="IR15" s="979"/>
      <c r="IS15" s="979"/>
      <c r="IT15" s="979"/>
      <c r="IU15" s="979"/>
      <c r="IV15" s="979"/>
      <c r="IW15" s="979"/>
      <c r="IX15" s="980"/>
    </row>
    <row r="16" spans="2:258" ht="15.75" customHeight="1" thickBot="1" x14ac:dyDescent="0.3">
      <c r="B16" s="47"/>
      <c r="C16" s="49"/>
      <c r="D16" s="49">
        <v>9</v>
      </c>
      <c r="E16" s="49">
        <v>12</v>
      </c>
      <c r="F16" s="49">
        <f>E16+6</f>
        <v>18</v>
      </c>
      <c r="G16" s="49">
        <f>F16+6</f>
        <v>24</v>
      </c>
      <c r="H16" s="49">
        <f>G16+6</f>
        <v>30</v>
      </c>
      <c r="I16" s="49">
        <f>H16+6</f>
        <v>36</v>
      </c>
      <c r="J16" s="49">
        <v>42</v>
      </c>
      <c r="K16" s="49">
        <v>48</v>
      </c>
      <c r="L16" s="49">
        <v>54</v>
      </c>
      <c r="M16" s="49">
        <v>60</v>
      </c>
      <c r="N16" s="49">
        <v>66</v>
      </c>
      <c r="O16" s="49">
        <v>72</v>
      </c>
      <c r="P16" s="49">
        <v>78</v>
      </c>
      <c r="Q16" s="49">
        <v>84</v>
      </c>
      <c r="R16" s="49">
        <v>90</v>
      </c>
      <c r="S16" s="49">
        <v>96</v>
      </c>
      <c r="T16" s="49">
        <v>102</v>
      </c>
      <c r="U16" s="49">
        <v>108</v>
      </c>
      <c r="V16" s="49">
        <v>114</v>
      </c>
      <c r="W16" s="49">
        <v>120</v>
      </c>
      <c r="X16" s="45"/>
      <c r="Y16" s="46"/>
      <c r="AT16" s="3"/>
      <c r="AU16" s="4"/>
      <c r="AV16" s="4"/>
      <c r="AW16" s="4"/>
      <c r="AX16" s="4"/>
      <c r="AY16" s="4"/>
      <c r="AZ16" s="4"/>
      <c r="BA16" s="4"/>
      <c r="BB16" s="4"/>
      <c r="BC16" s="4"/>
      <c r="BD16" s="4"/>
      <c r="BE16" s="4"/>
      <c r="BF16" s="4"/>
      <c r="BG16" s="4"/>
      <c r="BH16" s="5"/>
      <c r="BI16" s="6"/>
      <c r="BJ16" s="6"/>
      <c r="BK16" s="6"/>
      <c r="BL16" s="6"/>
      <c r="BM16" s="6"/>
      <c r="BN16" s="6"/>
      <c r="BO16" s="6"/>
      <c r="BP16" s="6"/>
      <c r="BQ16" s="6"/>
      <c r="BR16" s="5"/>
      <c r="BS16" s="6"/>
      <c r="BT16" s="6"/>
      <c r="BU16" s="6"/>
      <c r="BV16" s="6"/>
      <c r="BW16" s="6"/>
      <c r="BX16" s="6"/>
      <c r="BY16" s="6"/>
      <c r="BZ16" s="6"/>
      <c r="CA16" s="6"/>
      <c r="CB16" s="5"/>
      <c r="CC16" s="6"/>
      <c r="CD16" s="6"/>
      <c r="CE16" s="6"/>
      <c r="CF16" s="6"/>
      <c r="CG16" s="6"/>
      <c r="CH16" s="6"/>
      <c r="CI16" s="6"/>
      <c r="CJ16" s="6"/>
      <c r="CK16" s="6"/>
      <c r="CL16" s="5"/>
      <c r="CM16" s="6"/>
      <c r="CN16" s="6"/>
      <c r="CO16" s="6"/>
      <c r="CP16" s="6"/>
      <c r="CQ16" s="6"/>
      <c r="CR16" s="6"/>
      <c r="CS16" s="6"/>
      <c r="CT16" s="6"/>
      <c r="CU16" s="6"/>
      <c r="CV16" s="5"/>
      <c r="CW16" s="6"/>
      <c r="CX16" s="6"/>
      <c r="CY16" s="6"/>
      <c r="CZ16" s="6"/>
      <c r="DA16" s="6"/>
      <c r="DB16" s="6"/>
      <c r="DC16" s="6"/>
      <c r="DD16" s="6"/>
      <c r="DE16" s="6"/>
      <c r="DF16" s="5"/>
      <c r="DG16" s="6"/>
      <c r="DH16" s="6"/>
      <c r="DI16" s="6"/>
      <c r="DJ16" s="6"/>
      <c r="DK16" s="6"/>
      <c r="DL16" s="6"/>
      <c r="DM16" s="6"/>
      <c r="DN16" s="6"/>
      <c r="DO16" s="6"/>
      <c r="DP16" s="5"/>
      <c r="DQ16" s="6"/>
      <c r="DR16" s="6"/>
      <c r="DS16" s="6"/>
      <c r="DT16" s="6"/>
      <c r="DU16" s="6"/>
      <c r="DV16" s="6"/>
      <c r="DW16" s="6"/>
      <c r="DX16" s="6"/>
      <c r="DY16" s="6"/>
      <c r="DZ16" s="5"/>
      <c r="EA16" s="6"/>
      <c r="EB16" s="6"/>
      <c r="EC16" s="6"/>
      <c r="ED16" s="6"/>
      <c r="EE16" s="6"/>
      <c r="EF16" s="6"/>
      <c r="EG16" s="6"/>
      <c r="EH16" s="6"/>
      <c r="EI16" s="6"/>
      <c r="EJ16" s="5"/>
      <c r="EK16" s="6"/>
      <c r="EL16" s="6"/>
      <c r="EM16" s="6"/>
      <c r="EN16" s="6"/>
      <c r="EO16" s="6"/>
      <c r="EP16" s="6"/>
      <c r="EQ16" s="6"/>
      <c r="ER16" s="6"/>
      <c r="ES16" s="6"/>
      <c r="ET16" s="5"/>
      <c r="EU16" s="6"/>
      <c r="EV16" s="6"/>
      <c r="EW16" s="6"/>
      <c r="EX16" s="6"/>
      <c r="EY16" s="6"/>
      <c r="EZ16" s="6"/>
      <c r="FA16" s="6"/>
      <c r="FB16" s="6"/>
      <c r="FC16" s="6"/>
      <c r="FD16" s="5"/>
      <c r="FE16" s="6"/>
      <c r="FF16" s="6"/>
      <c r="FG16" s="6"/>
      <c r="FH16" s="6"/>
      <c r="FI16" s="6"/>
      <c r="FJ16" s="6"/>
      <c r="FK16" s="6"/>
      <c r="FL16" s="6"/>
      <c r="FM16" s="6"/>
      <c r="FN16" s="5"/>
      <c r="FO16" s="6"/>
      <c r="FP16" s="6"/>
      <c r="FQ16" s="6"/>
      <c r="FR16" s="6"/>
      <c r="FS16" s="6"/>
      <c r="FT16" s="6"/>
      <c r="FU16" s="6"/>
      <c r="FV16" s="6"/>
      <c r="FW16" s="6"/>
      <c r="FX16" s="5"/>
      <c r="FY16" s="6"/>
      <c r="FZ16" s="6"/>
      <c r="GA16" s="6"/>
      <c r="GB16" s="6"/>
      <c r="GC16" s="6"/>
      <c r="GD16" s="6"/>
      <c r="GE16" s="6"/>
      <c r="GF16" s="6"/>
      <c r="GG16" s="6"/>
      <c r="GH16" s="5"/>
      <c r="GI16" s="6"/>
      <c r="GJ16" s="6"/>
      <c r="GK16" s="6"/>
      <c r="GL16" s="6"/>
      <c r="GM16" s="6"/>
      <c r="GN16" s="6"/>
      <c r="GO16" s="6"/>
      <c r="GP16" s="6"/>
      <c r="GQ16" s="6"/>
      <c r="GR16" s="5"/>
      <c r="GS16" s="6"/>
      <c r="GT16" s="6"/>
      <c r="GU16" s="6"/>
      <c r="GV16" s="6"/>
      <c r="GW16" s="6"/>
      <c r="GX16" s="6"/>
      <c r="GY16" s="6"/>
      <c r="GZ16" s="6"/>
      <c r="HA16" s="6"/>
      <c r="HB16" s="5"/>
      <c r="HC16" s="6"/>
      <c r="HD16" s="6"/>
      <c r="HE16" s="6"/>
      <c r="HF16" s="6"/>
      <c r="HG16" s="6"/>
      <c r="HH16" s="6"/>
      <c r="HI16" s="6"/>
      <c r="HJ16" s="6"/>
      <c r="HK16" s="6"/>
      <c r="HL16" s="5"/>
      <c r="HM16" s="6"/>
      <c r="HN16" s="6"/>
      <c r="HO16" s="6"/>
      <c r="HP16" s="6"/>
      <c r="HQ16" s="6"/>
      <c r="HR16" s="6"/>
      <c r="HS16" s="6"/>
      <c r="HT16" s="6"/>
      <c r="HU16" s="6"/>
      <c r="HV16" s="5"/>
      <c r="HW16" s="6"/>
      <c r="HX16" s="6"/>
      <c r="HY16" s="6"/>
      <c r="HZ16" s="6"/>
      <c r="IA16" s="6"/>
      <c r="IB16" s="6"/>
      <c r="IC16" s="6"/>
      <c r="ID16" s="6"/>
      <c r="IE16" s="6"/>
      <c r="IF16" s="5"/>
      <c r="IG16" s="6"/>
      <c r="IH16" s="6"/>
      <c r="II16" s="6"/>
      <c r="IJ16" s="6"/>
      <c r="IK16" s="6"/>
      <c r="IL16" s="6"/>
      <c r="IM16" s="6"/>
      <c r="IN16" s="4"/>
      <c r="IO16" s="4"/>
      <c r="IP16" s="4"/>
      <c r="IQ16" s="4"/>
      <c r="IR16" s="4"/>
      <c r="IS16" s="4"/>
      <c r="IT16" s="4"/>
      <c r="IU16" s="4"/>
      <c r="IV16" s="4"/>
      <c r="IW16" s="4"/>
      <c r="IX16" s="7"/>
    </row>
    <row r="17" spans="2:258" ht="16.5" thickBot="1" x14ac:dyDescent="0.3">
      <c r="B17" s="81" t="s">
        <v>95</v>
      </c>
      <c r="C17" s="148">
        <v>1</v>
      </c>
      <c r="D17" s="464">
        <v>2</v>
      </c>
      <c r="E17" s="465">
        <v>3</v>
      </c>
      <c r="F17" s="465">
        <v>4</v>
      </c>
      <c r="G17" s="465">
        <v>5</v>
      </c>
      <c r="H17" s="465">
        <v>6</v>
      </c>
      <c r="I17" s="465">
        <v>7</v>
      </c>
      <c r="J17" s="465">
        <v>8</v>
      </c>
      <c r="K17" s="465">
        <v>9</v>
      </c>
      <c r="L17" s="465">
        <v>10</v>
      </c>
      <c r="M17" s="465">
        <v>11</v>
      </c>
      <c r="N17" s="465">
        <v>12</v>
      </c>
      <c r="O17" s="465">
        <v>13</v>
      </c>
      <c r="P17" s="465">
        <v>14</v>
      </c>
      <c r="Q17" s="465">
        <v>15</v>
      </c>
      <c r="R17" s="465">
        <v>16</v>
      </c>
      <c r="S17" s="465">
        <v>17</v>
      </c>
      <c r="T17" s="465">
        <v>18</v>
      </c>
      <c r="U17" s="465">
        <v>19</v>
      </c>
      <c r="V17" s="465">
        <v>20</v>
      </c>
      <c r="W17" s="466">
        <v>21</v>
      </c>
      <c r="X17" s="113"/>
      <c r="Y17" s="46"/>
      <c r="AT17" s="3"/>
      <c r="AU17" s="981" t="s">
        <v>14</v>
      </c>
      <c r="AV17" s="982"/>
      <c r="AW17" s="987" t="s">
        <v>15</v>
      </c>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8"/>
      <c r="GE17" s="988"/>
      <c r="GF17" s="988"/>
      <c r="GG17" s="988"/>
      <c r="GH17" s="988"/>
      <c r="GI17" s="988"/>
      <c r="GJ17" s="988"/>
      <c r="GK17" s="988"/>
      <c r="GL17" s="988"/>
      <c r="GM17" s="988"/>
      <c r="GN17" s="988"/>
      <c r="GO17" s="988"/>
      <c r="GP17" s="988"/>
      <c r="GQ17" s="988"/>
      <c r="GR17" s="988"/>
      <c r="GS17" s="988"/>
      <c r="GT17" s="988"/>
      <c r="GU17" s="988"/>
      <c r="GV17" s="988"/>
      <c r="GW17" s="988"/>
      <c r="GX17" s="988"/>
      <c r="GY17" s="988"/>
      <c r="GZ17" s="988"/>
      <c r="HA17" s="988"/>
      <c r="HB17" s="988"/>
      <c r="HC17" s="988"/>
      <c r="HD17" s="988"/>
      <c r="HE17" s="988"/>
      <c r="HF17" s="988"/>
      <c r="HG17" s="988"/>
      <c r="HH17" s="988"/>
      <c r="HI17" s="988"/>
      <c r="HJ17" s="988"/>
      <c r="HK17" s="988"/>
      <c r="HL17" s="988"/>
      <c r="HM17" s="988"/>
      <c r="HN17" s="988"/>
      <c r="HO17" s="988"/>
      <c r="HP17" s="988"/>
      <c r="HQ17" s="988"/>
      <c r="HR17" s="988"/>
      <c r="HS17" s="988"/>
      <c r="HT17" s="988"/>
      <c r="HU17" s="988"/>
      <c r="HV17" s="988"/>
      <c r="HW17" s="988"/>
      <c r="HX17" s="988"/>
      <c r="HY17" s="988"/>
      <c r="HZ17" s="988"/>
      <c r="IA17" s="988"/>
      <c r="IB17" s="988"/>
      <c r="IC17" s="988"/>
      <c r="ID17" s="988"/>
      <c r="IE17" s="988"/>
      <c r="IF17" s="988"/>
      <c r="IG17" s="988"/>
      <c r="IH17" s="456"/>
      <c r="II17" s="456"/>
      <c r="IJ17" s="456"/>
      <c r="IK17" s="456"/>
      <c r="IL17" s="456"/>
      <c r="IM17" s="456"/>
      <c r="IN17" s="141"/>
      <c r="IO17" s="143"/>
      <c r="IP17" s="4"/>
      <c r="IQ17" s="8"/>
      <c r="IR17" s="8"/>
      <c r="IS17" s="8"/>
      <c r="IT17" s="8"/>
      <c r="IU17" s="8"/>
      <c r="IV17" s="8"/>
      <c r="IW17" s="8"/>
      <c r="IX17" s="7"/>
    </row>
    <row r="18" spans="2:258" ht="15" customHeight="1" thickBot="1" x14ac:dyDescent="0.3">
      <c r="B18" s="79">
        <f>H5</f>
        <v>9.5</v>
      </c>
      <c r="C18" s="149">
        <v>2</v>
      </c>
      <c r="D18" s="486"/>
      <c r="E18" s="467">
        <f t="shared" ref="E18:E29" si="0">BH21/((E$16*B18)/144)</f>
        <v>0.22935087719298244</v>
      </c>
      <c r="F18" s="467">
        <f t="shared" ref="F18:F29" si="1">BR21/((F$16*$B18)/144)</f>
        <v>0.26083040935672513</v>
      </c>
      <c r="G18" s="467">
        <f t="shared" ref="G18:G29" si="2">CB21/((G$16*$B18)/144)</f>
        <v>0.27657017543859647</v>
      </c>
      <c r="H18" s="467">
        <f t="shared" ref="H18:H29" si="3">CL21/((H$16*$B18)/144)</f>
        <v>0.28601403508771928</v>
      </c>
      <c r="I18" s="467">
        <f t="shared" ref="I18:I29" si="4">CV21/((I$16*$B18)/144)</f>
        <v>0.2923099415204678</v>
      </c>
      <c r="J18" s="467">
        <f t="shared" ref="J18:J29" si="5">DF21/((J$16*$B18)/144)</f>
        <v>0.29680701754385963</v>
      </c>
      <c r="K18" s="467">
        <f t="shared" ref="K18:K29" si="6">DP21/((K$16*$B18)/144)</f>
        <v>0.30017982456140346</v>
      </c>
      <c r="L18" s="467">
        <f t="shared" ref="L18:L29" si="7">DZ21/((L$16*$B18)/144)</f>
        <v>0.29680701754385957</v>
      </c>
      <c r="M18" s="467">
        <f t="shared" ref="M18:M29" si="8">EJ21/((M$16*$B18)/144)</f>
        <v>0.29950526315789466</v>
      </c>
      <c r="N18" s="489"/>
      <c r="O18" s="489"/>
      <c r="P18" s="489"/>
      <c r="Q18" s="489"/>
      <c r="R18" s="489"/>
      <c r="S18" s="489"/>
      <c r="T18" s="489"/>
      <c r="U18" s="489"/>
      <c r="V18" s="489"/>
      <c r="W18" s="489"/>
      <c r="X18" s="76"/>
      <c r="Y18" s="77"/>
      <c r="Z18" s="61"/>
      <c r="AA18" s="61"/>
      <c r="AT18" s="3"/>
      <c r="AU18" s="983"/>
      <c r="AV18" s="984"/>
      <c r="AW18" s="989"/>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c r="EE18" s="990"/>
      <c r="EF18" s="990"/>
      <c r="EG18" s="990"/>
      <c r="EH18" s="990"/>
      <c r="EI18" s="990"/>
      <c r="EJ18" s="990"/>
      <c r="EK18" s="990"/>
      <c r="EL18" s="990"/>
      <c r="EM18" s="990"/>
      <c r="EN18" s="990"/>
      <c r="EO18" s="990"/>
      <c r="EP18" s="990"/>
      <c r="EQ18" s="990"/>
      <c r="ER18" s="990"/>
      <c r="ES18" s="990"/>
      <c r="ET18" s="990"/>
      <c r="EU18" s="990"/>
      <c r="EV18" s="990"/>
      <c r="EW18" s="990"/>
      <c r="EX18" s="990"/>
      <c r="EY18" s="990"/>
      <c r="EZ18" s="990"/>
      <c r="FA18" s="990"/>
      <c r="FB18" s="990"/>
      <c r="FC18" s="990"/>
      <c r="FD18" s="990"/>
      <c r="FE18" s="990"/>
      <c r="FF18" s="990"/>
      <c r="FG18" s="990"/>
      <c r="FH18" s="990"/>
      <c r="FI18" s="990"/>
      <c r="FJ18" s="990"/>
      <c r="FK18" s="990"/>
      <c r="FL18" s="990"/>
      <c r="FM18" s="990"/>
      <c r="FN18" s="990"/>
      <c r="FO18" s="990"/>
      <c r="FP18" s="990"/>
      <c r="FQ18" s="990"/>
      <c r="FR18" s="990"/>
      <c r="FS18" s="990"/>
      <c r="FT18" s="990"/>
      <c r="FU18" s="990"/>
      <c r="FV18" s="990"/>
      <c r="FW18" s="990"/>
      <c r="FX18" s="990"/>
      <c r="FY18" s="990"/>
      <c r="FZ18" s="990"/>
      <c r="GA18" s="990"/>
      <c r="GB18" s="990"/>
      <c r="GC18" s="990"/>
      <c r="GD18" s="990"/>
      <c r="GE18" s="990"/>
      <c r="GF18" s="990"/>
      <c r="GG18" s="990"/>
      <c r="GH18" s="990"/>
      <c r="GI18" s="990"/>
      <c r="GJ18" s="990"/>
      <c r="GK18" s="990"/>
      <c r="GL18" s="990"/>
      <c r="GM18" s="990"/>
      <c r="GN18" s="990"/>
      <c r="GO18" s="990"/>
      <c r="GP18" s="990"/>
      <c r="GQ18" s="990"/>
      <c r="GR18" s="990"/>
      <c r="GS18" s="990"/>
      <c r="GT18" s="990"/>
      <c r="GU18" s="990"/>
      <c r="GV18" s="990"/>
      <c r="GW18" s="990"/>
      <c r="GX18" s="990"/>
      <c r="GY18" s="990"/>
      <c r="GZ18" s="990"/>
      <c r="HA18" s="990"/>
      <c r="HB18" s="990"/>
      <c r="HC18" s="990"/>
      <c r="HD18" s="990"/>
      <c r="HE18" s="990"/>
      <c r="HF18" s="990"/>
      <c r="HG18" s="990"/>
      <c r="HH18" s="990"/>
      <c r="HI18" s="990"/>
      <c r="HJ18" s="990"/>
      <c r="HK18" s="990"/>
      <c r="HL18" s="990"/>
      <c r="HM18" s="990"/>
      <c r="HN18" s="990"/>
      <c r="HO18" s="990"/>
      <c r="HP18" s="990"/>
      <c r="HQ18" s="990"/>
      <c r="HR18" s="990"/>
      <c r="HS18" s="990"/>
      <c r="HT18" s="990"/>
      <c r="HU18" s="990"/>
      <c r="HV18" s="990"/>
      <c r="HW18" s="990"/>
      <c r="HX18" s="990"/>
      <c r="HY18" s="990"/>
      <c r="HZ18" s="990"/>
      <c r="IA18" s="990"/>
      <c r="IB18" s="990"/>
      <c r="IC18" s="990"/>
      <c r="ID18" s="990"/>
      <c r="IE18" s="990"/>
      <c r="IF18" s="990"/>
      <c r="IG18" s="990"/>
      <c r="IH18" s="457"/>
      <c r="II18" s="457"/>
      <c r="IJ18" s="457"/>
      <c r="IK18" s="457"/>
      <c r="IL18" s="457"/>
      <c r="IM18" s="457"/>
      <c r="IN18" s="142"/>
      <c r="IO18" s="144"/>
      <c r="IP18" s="4"/>
      <c r="IQ18" s="991" t="s">
        <v>16</v>
      </c>
      <c r="IR18" s="992"/>
      <c r="IS18" s="992"/>
      <c r="IT18" s="992"/>
      <c r="IU18" s="992"/>
      <c r="IV18" s="992"/>
      <c r="IW18" s="993"/>
      <c r="IX18" s="7"/>
    </row>
    <row r="19" spans="2:258" ht="15.75" thickBot="1" x14ac:dyDescent="0.3">
      <c r="B19" s="79">
        <v>12</v>
      </c>
      <c r="C19" s="148">
        <v>3</v>
      </c>
      <c r="D19" s="487"/>
      <c r="E19" s="468">
        <f t="shared" si="0"/>
        <v>0.28020486111111109</v>
      </c>
      <c r="F19" s="468">
        <f t="shared" si="1"/>
        <v>0.31866435185185188</v>
      </c>
      <c r="G19" s="468">
        <f t="shared" si="2"/>
        <v>0.33789409722222224</v>
      </c>
      <c r="H19" s="468">
        <f t="shared" si="3"/>
        <v>0.34943194444444448</v>
      </c>
      <c r="I19" s="468">
        <f t="shared" si="4"/>
        <v>0.35712384259259261</v>
      </c>
      <c r="J19" s="468">
        <f t="shared" si="5"/>
        <v>0.36261805555555554</v>
      </c>
      <c r="K19" s="468">
        <f t="shared" si="6"/>
        <v>0.36673871527777779</v>
      </c>
      <c r="L19" s="468">
        <f t="shared" si="7"/>
        <v>0.36261805555555554</v>
      </c>
      <c r="M19" s="468">
        <f t="shared" si="8"/>
        <v>0.36591458333333338</v>
      </c>
      <c r="N19" s="488"/>
      <c r="O19" s="488"/>
      <c r="P19" s="488"/>
      <c r="Q19" s="488"/>
      <c r="R19" s="488"/>
      <c r="S19" s="488"/>
      <c r="T19" s="488"/>
      <c r="U19" s="488"/>
      <c r="V19" s="488"/>
      <c r="W19" s="488"/>
      <c r="X19" s="76"/>
      <c r="Y19" s="46"/>
      <c r="AA19" s="61"/>
      <c r="AT19" s="3"/>
      <c r="AU19" s="985"/>
      <c r="AV19" s="986"/>
      <c r="AW19" s="9"/>
      <c r="AX19" s="145">
        <v>9</v>
      </c>
      <c r="AY19" s="11" t="str">
        <f>"("&amp;ROUND(AX19*25.4/50,0)*50&amp;")"</f>
        <v>(250)</v>
      </c>
      <c r="AZ19" s="12" t="s">
        <v>17</v>
      </c>
      <c r="BA19" s="12" t="s">
        <v>18</v>
      </c>
      <c r="BB19" s="12" t="s">
        <v>19</v>
      </c>
      <c r="BC19" s="12" t="s">
        <v>20</v>
      </c>
      <c r="BD19" s="12" t="s">
        <v>21</v>
      </c>
      <c r="BE19" s="12" t="s">
        <v>22</v>
      </c>
      <c r="BF19" s="12" t="s">
        <v>23</v>
      </c>
      <c r="BG19" s="12" t="s">
        <v>24</v>
      </c>
      <c r="BH19" s="10">
        <v>12</v>
      </c>
      <c r="BI19" s="11" t="str">
        <f>"("&amp;ROUND(BH19*25.4/50,0)*50&amp;")"</f>
        <v>(300)</v>
      </c>
      <c r="BJ19" s="12" t="s">
        <v>17</v>
      </c>
      <c r="BK19" s="12" t="s">
        <v>18</v>
      </c>
      <c r="BL19" s="12" t="s">
        <v>19</v>
      </c>
      <c r="BM19" s="12" t="s">
        <v>20</v>
      </c>
      <c r="BN19" s="12" t="s">
        <v>21</v>
      </c>
      <c r="BO19" s="12" t="s">
        <v>22</v>
      </c>
      <c r="BP19" s="12" t="s">
        <v>23</v>
      </c>
      <c r="BQ19" s="12" t="s">
        <v>24</v>
      </c>
      <c r="BR19" s="10">
        <f>BH19+6</f>
        <v>18</v>
      </c>
      <c r="BS19" s="11" t="str">
        <f>"("&amp;ROUND(BR19*25.4/50,0)*50&amp;")"</f>
        <v>(450)</v>
      </c>
      <c r="BT19" s="12" t="s">
        <v>17</v>
      </c>
      <c r="BU19" s="12" t="s">
        <v>18</v>
      </c>
      <c r="BV19" s="12" t="s">
        <v>19</v>
      </c>
      <c r="BW19" s="12" t="s">
        <v>20</v>
      </c>
      <c r="BX19" s="12" t="s">
        <v>21</v>
      </c>
      <c r="BY19" s="12" t="s">
        <v>22</v>
      </c>
      <c r="BZ19" s="12" t="s">
        <v>23</v>
      </c>
      <c r="CA19" s="12" t="s">
        <v>24</v>
      </c>
      <c r="CB19" s="10">
        <f>BR19+6</f>
        <v>24</v>
      </c>
      <c r="CC19" s="11" t="str">
        <f>"("&amp;ROUND(CB19*25.4/50,0)*50&amp;")"</f>
        <v>(600)</v>
      </c>
      <c r="CD19" s="12" t="s">
        <v>17</v>
      </c>
      <c r="CE19" s="12" t="s">
        <v>18</v>
      </c>
      <c r="CF19" s="12" t="s">
        <v>19</v>
      </c>
      <c r="CG19" s="12" t="s">
        <v>20</v>
      </c>
      <c r="CH19" s="12" t="s">
        <v>21</v>
      </c>
      <c r="CI19" s="12" t="s">
        <v>22</v>
      </c>
      <c r="CJ19" s="12" t="s">
        <v>23</v>
      </c>
      <c r="CK19" s="12" t="s">
        <v>24</v>
      </c>
      <c r="CL19" s="10">
        <f>CB19+6</f>
        <v>30</v>
      </c>
      <c r="CM19" s="11" t="str">
        <f>"("&amp;ROUND(CL19*25.4/50,0)*50&amp;")"</f>
        <v>(750)</v>
      </c>
      <c r="CN19" s="12" t="s">
        <v>17</v>
      </c>
      <c r="CO19" s="12" t="s">
        <v>18</v>
      </c>
      <c r="CP19" s="12" t="s">
        <v>19</v>
      </c>
      <c r="CQ19" s="12" t="s">
        <v>20</v>
      </c>
      <c r="CR19" s="12" t="s">
        <v>21</v>
      </c>
      <c r="CS19" s="12" t="s">
        <v>22</v>
      </c>
      <c r="CT19" s="12" t="s">
        <v>23</v>
      </c>
      <c r="CU19" s="12" t="s">
        <v>24</v>
      </c>
      <c r="CV19" s="10">
        <f>CL19+6</f>
        <v>36</v>
      </c>
      <c r="CW19" s="11" t="str">
        <f>"("&amp;ROUND(CV19*25.4/50,0)*50&amp;")"</f>
        <v>(900)</v>
      </c>
      <c r="CX19" s="12" t="s">
        <v>17</v>
      </c>
      <c r="CY19" s="12" t="s">
        <v>18</v>
      </c>
      <c r="CZ19" s="12" t="s">
        <v>19</v>
      </c>
      <c r="DA19" s="12" t="s">
        <v>20</v>
      </c>
      <c r="DB19" s="12" t="s">
        <v>21</v>
      </c>
      <c r="DC19" s="12" t="s">
        <v>22</v>
      </c>
      <c r="DD19" s="12" t="s">
        <v>23</v>
      </c>
      <c r="DE19" s="12" t="s">
        <v>24</v>
      </c>
      <c r="DF19" s="10">
        <f>CV19+6</f>
        <v>42</v>
      </c>
      <c r="DG19" s="11" t="str">
        <f>"("&amp;ROUND(DF19*25.4/50,0)*50&amp;")"</f>
        <v>(1050)</v>
      </c>
      <c r="DH19" s="12" t="s">
        <v>17</v>
      </c>
      <c r="DI19" s="12" t="s">
        <v>18</v>
      </c>
      <c r="DJ19" s="12" t="s">
        <v>19</v>
      </c>
      <c r="DK19" s="12" t="s">
        <v>20</v>
      </c>
      <c r="DL19" s="12" t="s">
        <v>21</v>
      </c>
      <c r="DM19" s="12" t="s">
        <v>22</v>
      </c>
      <c r="DN19" s="12" t="s">
        <v>23</v>
      </c>
      <c r="DO19" s="12" t="s">
        <v>24</v>
      </c>
      <c r="DP19" s="10">
        <f>DF19+6</f>
        <v>48</v>
      </c>
      <c r="DQ19" s="11" t="str">
        <f>"("&amp;ROUND(DP19*25.4/50,0)*50&amp;")"</f>
        <v>(1200)</v>
      </c>
      <c r="DR19" s="12" t="s">
        <v>17</v>
      </c>
      <c r="DS19" s="12" t="s">
        <v>18</v>
      </c>
      <c r="DT19" s="12" t="s">
        <v>19</v>
      </c>
      <c r="DU19" s="12" t="s">
        <v>20</v>
      </c>
      <c r="DV19" s="12" t="s">
        <v>21</v>
      </c>
      <c r="DW19" s="12" t="s">
        <v>22</v>
      </c>
      <c r="DX19" s="12" t="s">
        <v>23</v>
      </c>
      <c r="DY19" s="12" t="s">
        <v>24</v>
      </c>
      <c r="DZ19" s="10">
        <f>DP19+6</f>
        <v>54</v>
      </c>
      <c r="EA19" s="11" t="str">
        <f>"("&amp;ROUND(DZ19*25.4/50,0)*50&amp;")"</f>
        <v>(1350)</v>
      </c>
      <c r="EB19" s="12" t="s">
        <v>17</v>
      </c>
      <c r="EC19" s="12" t="s">
        <v>18</v>
      </c>
      <c r="ED19" s="12" t="s">
        <v>19</v>
      </c>
      <c r="EE19" s="12" t="s">
        <v>20</v>
      </c>
      <c r="EF19" s="12" t="s">
        <v>21</v>
      </c>
      <c r="EG19" s="12" t="s">
        <v>22</v>
      </c>
      <c r="EH19" s="12" t="s">
        <v>23</v>
      </c>
      <c r="EI19" s="12" t="s">
        <v>24</v>
      </c>
      <c r="EJ19" s="10">
        <f>DZ19+6</f>
        <v>60</v>
      </c>
      <c r="EK19" s="11" t="str">
        <f>"("&amp;ROUND(EJ19*25.4/50,0)*50&amp;")"</f>
        <v>(1500)</v>
      </c>
      <c r="EL19" s="12" t="s">
        <v>17</v>
      </c>
      <c r="EM19" s="12" t="s">
        <v>18</v>
      </c>
      <c r="EN19" s="12" t="s">
        <v>19</v>
      </c>
      <c r="EO19" s="12" t="s">
        <v>20</v>
      </c>
      <c r="EP19" s="12" t="s">
        <v>21</v>
      </c>
      <c r="EQ19" s="12" t="s">
        <v>22</v>
      </c>
      <c r="ER19" s="12" t="s">
        <v>23</v>
      </c>
      <c r="ES19" s="12" t="s">
        <v>24</v>
      </c>
      <c r="ET19" s="10">
        <f>EJ19+6</f>
        <v>66</v>
      </c>
      <c r="EU19" s="11" t="str">
        <f>"("&amp;ROUND(ET19*25.4/50,0)*50&amp;")"</f>
        <v>(1700)</v>
      </c>
      <c r="EV19" s="12" t="s">
        <v>17</v>
      </c>
      <c r="EW19" s="12" t="s">
        <v>18</v>
      </c>
      <c r="EX19" s="12" t="s">
        <v>19</v>
      </c>
      <c r="EY19" s="12" t="s">
        <v>20</v>
      </c>
      <c r="EZ19" s="12" t="s">
        <v>21</v>
      </c>
      <c r="FA19" s="12" t="s">
        <v>22</v>
      </c>
      <c r="FB19" s="12" t="s">
        <v>23</v>
      </c>
      <c r="FC19" s="12" t="s">
        <v>24</v>
      </c>
      <c r="FD19" s="10">
        <f>ET19+6</f>
        <v>72</v>
      </c>
      <c r="FE19" s="11" t="str">
        <f>"("&amp;ROUND(FD19*25.4/50,0)*50&amp;")"</f>
        <v>(1850)</v>
      </c>
      <c r="FF19" s="12" t="s">
        <v>17</v>
      </c>
      <c r="FG19" s="12" t="s">
        <v>18</v>
      </c>
      <c r="FH19" s="12" t="s">
        <v>19</v>
      </c>
      <c r="FI19" s="12" t="s">
        <v>20</v>
      </c>
      <c r="FJ19" s="12" t="s">
        <v>21</v>
      </c>
      <c r="FK19" s="12" t="s">
        <v>22</v>
      </c>
      <c r="FL19" s="12" t="s">
        <v>23</v>
      </c>
      <c r="FM19" s="12" t="s">
        <v>24</v>
      </c>
      <c r="FN19" s="10">
        <f>FD19+6</f>
        <v>78</v>
      </c>
      <c r="FO19" s="11" t="str">
        <f>"("&amp;ROUND(FN19*25.4/50,0)*50&amp;")"</f>
        <v>(2000)</v>
      </c>
      <c r="FP19" s="12" t="s">
        <v>17</v>
      </c>
      <c r="FQ19" s="12" t="s">
        <v>18</v>
      </c>
      <c r="FR19" s="12" t="s">
        <v>19</v>
      </c>
      <c r="FS19" s="12" t="s">
        <v>20</v>
      </c>
      <c r="FT19" s="12" t="s">
        <v>21</v>
      </c>
      <c r="FU19" s="12" t="s">
        <v>22</v>
      </c>
      <c r="FV19" s="12" t="s">
        <v>23</v>
      </c>
      <c r="FW19" s="12" t="s">
        <v>24</v>
      </c>
      <c r="FX19" s="10">
        <f>FN19+6</f>
        <v>84</v>
      </c>
      <c r="FY19" s="11" t="str">
        <f>"("&amp;ROUND(FX19*25.4/50,0)*50&amp;")"</f>
        <v>(2150)</v>
      </c>
      <c r="FZ19" s="12" t="s">
        <v>17</v>
      </c>
      <c r="GA19" s="12" t="s">
        <v>18</v>
      </c>
      <c r="GB19" s="12" t="s">
        <v>19</v>
      </c>
      <c r="GC19" s="12" t="s">
        <v>20</v>
      </c>
      <c r="GD19" s="12" t="s">
        <v>21</v>
      </c>
      <c r="GE19" s="12" t="s">
        <v>22</v>
      </c>
      <c r="GF19" s="12" t="s">
        <v>23</v>
      </c>
      <c r="GG19" s="12" t="s">
        <v>24</v>
      </c>
      <c r="GH19" s="10">
        <f>FX19+6</f>
        <v>90</v>
      </c>
      <c r="GI19" s="11" t="str">
        <f>"("&amp;ROUND(GH19*25.4/50,0)*50&amp;")"</f>
        <v>(2300)</v>
      </c>
      <c r="GJ19" s="12" t="s">
        <v>17</v>
      </c>
      <c r="GK19" s="12" t="s">
        <v>18</v>
      </c>
      <c r="GL19" s="12" t="s">
        <v>19</v>
      </c>
      <c r="GM19" s="12" t="s">
        <v>20</v>
      </c>
      <c r="GN19" s="12" t="s">
        <v>21</v>
      </c>
      <c r="GO19" s="12" t="s">
        <v>22</v>
      </c>
      <c r="GP19" s="12" t="s">
        <v>23</v>
      </c>
      <c r="GQ19" s="12" t="s">
        <v>24</v>
      </c>
      <c r="GR19" s="10">
        <f>GH19+6</f>
        <v>96</v>
      </c>
      <c r="GS19" s="11" t="str">
        <f>"("&amp;ROUND(GR19*25.4/50,0)*50&amp;")"</f>
        <v>(2450)</v>
      </c>
      <c r="GT19" s="12" t="s">
        <v>17</v>
      </c>
      <c r="GU19" s="12" t="s">
        <v>18</v>
      </c>
      <c r="GV19" s="12" t="s">
        <v>19</v>
      </c>
      <c r="GW19" s="12" t="s">
        <v>20</v>
      </c>
      <c r="GX19" s="12" t="s">
        <v>21</v>
      </c>
      <c r="GY19" s="12" t="s">
        <v>22</v>
      </c>
      <c r="GZ19" s="12" t="s">
        <v>23</v>
      </c>
      <c r="HA19" s="12" t="s">
        <v>24</v>
      </c>
      <c r="HB19" s="10">
        <f>GR19+6</f>
        <v>102</v>
      </c>
      <c r="HC19" s="11" t="str">
        <f>"("&amp;ROUND(HB19*25.4/50,0)*50&amp;")"</f>
        <v>(2600)</v>
      </c>
      <c r="HD19" s="12" t="s">
        <v>17</v>
      </c>
      <c r="HE19" s="12" t="s">
        <v>18</v>
      </c>
      <c r="HF19" s="12" t="s">
        <v>19</v>
      </c>
      <c r="HG19" s="12" t="s">
        <v>20</v>
      </c>
      <c r="HH19" s="12" t="s">
        <v>21</v>
      </c>
      <c r="HI19" s="12" t="s">
        <v>22</v>
      </c>
      <c r="HJ19" s="12" t="s">
        <v>23</v>
      </c>
      <c r="HK19" s="12" t="s">
        <v>24</v>
      </c>
      <c r="HL19" s="10">
        <f>HB19+6</f>
        <v>108</v>
      </c>
      <c r="HM19" s="11" t="str">
        <f>"("&amp;ROUND(HL19*25.4/50,0)*50&amp;")"</f>
        <v>(2750)</v>
      </c>
      <c r="HN19" s="12" t="s">
        <v>17</v>
      </c>
      <c r="HO19" s="12" t="s">
        <v>18</v>
      </c>
      <c r="HP19" s="12" t="s">
        <v>19</v>
      </c>
      <c r="HQ19" s="12" t="s">
        <v>20</v>
      </c>
      <c r="HR19" s="12" t="s">
        <v>21</v>
      </c>
      <c r="HS19" s="12" t="s">
        <v>22</v>
      </c>
      <c r="HT19" s="12" t="s">
        <v>23</v>
      </c>
      <c r="HU19" s="12" t="s">
        <v>24</v>
      </c>
      <c r="HV19" s="10">
        <f>HL19+6</f>
        <v>114</v>
      </c>
      <c r="HW19" s="11" t="str">
        <f>"("&amp;ROUND(HV19*25.4/50,0)*50&amp;")"</f>
        <v>(2900)</v>
      </c>
      <c r="HX19" s="12" t="s">
        <v>17</v>
      </c>
      <c r="HY19" s="12" t="s">
        <v>18</v>
      </c>
      <c r="HZ19" s="12" t="s">
        <v>19</v>
      </c>
      <c r="IA19" s="12" t="s">
        <v>20</v>
      </c>
      <c r="IB19" s="12" t="s">
        <v>21</v>
      </c>
      <c r="IC19" s="12" t="s">
        <v>22</v>
      </c>
      <c r="ID19" s="12" t="s">
        <v>23</v>
      </c>
      <c r="IE19" s="12" t="s">
        <v>24</v>
      </c>
      <c r="IF19" s="10">
        <f>HV19+6</f>
        <v>120</v>
      </c>
      <c r="IG19" s="11" t="str">
        <f>"("&amp;ROUND(IF19*25.4/50,0)*50&amp;")"</f>
        <v>(3050)</v>
      </c>
      <c r="IH19" s="12" t="s">
        <v>17</v>
      </c>
      <c r="II19" s="12" t="s">
        <v>18</v>
      </c>
      <c r="IJ19" s="12" t="s">
        <v>19</v>
      </c>
      <c r="IK19" s="12" t="s">
        <v>20</v>
      </c>
      <c r="IL19" s="12" t="s">
        <v>21</v>
      </c>
      <c r="IM19" s="12" t="s">
        <v>22</v>
      </c>
      <c r="IN19" s="12" t="s">
        <v>23</v>
      </c>
      <c r="IO19" s="12" t="s">
        <v>24</v>
      </c>
      <c r="IP19" s="14"/>
      <c r="IQ19" s="15" t="s">
        <v>25</v>
      </c>
      <c r="IR19" s="15" t="s">
        <v>26</v>
      </c>
      <c r="IS19" s="15" t="s">
        <v>27</v>
      </c>
      <c r="IT19" s="15" t="s">
        <v>28</v>
      </c>
      <c r="IU19" s="15" t="s">
        <v>29</v>
      </c>
      <c r="IV19" s="15" t="s">
        <v>30</v>
      </c>
      <c r="IW19" s="15" t="s">
        <v>31</v>
      </c>
      <c r="IX19" s="7"/>
    </row>
    <row r="20" spans="2:258" ht="15.75" thickBot="1" x14ac:dyDescent="0.3">
      <c r="B20" s="79">
        <f>B19+6</f>
        <v>18</v>
      </c>
      <c r="C20" s="147">
        <v>4</v>
      </c>
      <c r="D20" s="487"/>
      <c r="E20" s="468">
        <f t="shared" si="0"/>
        <v>0.34759490740740739</v>
      </c>
      <c r="F20" s="468">
        <f t="shared" si="1"/>
        <v>0.39530401234567897</v>
      </c>
      <c r="G20" s="468">
        <f t="shared" si="2"/>
        <v>0.41915856481481484</v>
      </c>
      <c r="H20" s="468">
        <f t="shared" si="3"/>
        <v>0.43347129629629627</v>
      </c>
      <c r="I20" s="468">
        <f t="shared" si="4"/>
        <v>0.4430131172839506</v>
      </c>
      <c r="J20" s="468">
        <f t="shared" si="5"/>
        <v>0.4498287037037037</v>
      </c>
      <c r="K20" s="468">
        <f t="shared" si="6"/>
        <v>0.45494039351851856</v>
      </c>
      <c r="L20" s="468">
        <f t="shared" si="7"/>
        <v>0.4498287037037037</v>
      </c>
      <c r="M20" s="468">
        <f t="shared" si="8"/>
        <v>0.45391805555555553</v>
      </c>
      <c r="N20" s="488"/>
      <c r="O20" s="488"/>
      <c r="P20" s="488"/>
      <c r="Q20" s="488"/>
      <c r="R20" s="488"/>
      <c r="S20" s="488"/>
      <c r="T20" s="488"/>
      <c r="U20" s="488"/>
      <c r="V20" s="488"/>
      <c r="W20" s="488"/>
      <c r="X20" s="76"/>
      <c r="Y20" s="46"/>
      <c r="AA20" s="61"/>
      <c r="AT20" s="3"/>
      <c r="AU20" s="9"/>
      <c r="AV20" s="16"/>
      <c r="AW20" s="17"/>
      <c r="AX20" s="17"/>
      <c r="AY20" s="17"/>
      <c r="AZ20" s="11"/>
      <c r="BA20" s="11"/>
      <c r="BB20" s="11"/>
      <c r="BC20" s="11"/>
      <c r="BD20" s="11"/>
      <c r="BE20" s="11"/>
      <c r="BF20" s="11"/>
      <c r="BG20" s="11"/>
      <c r="BH20" s="10"/>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4"/>
      <c r="IQ20" s="15"/>
      <c r="IR20" s="15"/>
      <c r="IS20" s="15"/>
      <c r="IT20" s="15"/>
      <c r="IU20" s="15"/>
      <c r="IV20" s="15"/>
      <c r="IW20" s="15"/>
      <c r="IX20" s="7"/>
    </row>
    <row r="21" spans="2:258" ht="18" customHeight="1" thickBot="1" x14ac:dyDescent="0.3">
      <c r="B21" s="79">
        <f t="shared" ref="B21:B37" si="9">B20+6</f>
        <v>24</v>
      </c>
      <c r="C21" s="148">
        <v>5</v>
      </c>
      <c r="D21" s="487"/>
      <c r="E21" s="468">
        <f t="shared" si="0"/>
        <v>0.37447222222222215</v>
      </c>
      <c r="F21" s="468">
        <f t="shared" si="1"/>
        <v>0.42587037037037029</v>
      </c>
      <c r="G21" s="468">
        <f t="shared" si="2"/>
        <v>0.45156944444444441</v>
      </c>
      <c r="H21" s="468">
        <f t="shared" si="3"/>
        <v>0.46698888888888879</v>
      </c>
      <c r="I21" s="468">
        <f t="shared" si="4"/>
        <v>0.47726851851851843</v>
      </c>
      <c r="J21" s="468">
        <f t="shared" si="5"/>
        <v>0.48461111111111105</v>
      </c>
      <c r="K21" s="468">
        <f t="shared" si="6"/>
        <v>0.49011805555555554</v>
      </c>
      <c r="L21" s="468">
        <f t="shared" si="7"/>
        <v>0.48461111111111105</v>
      </c>
      <c r="M21" s="468">
        <f t="shared" si="8"/>
        <v>0.48901666666666666</v>
      </c>
      <c r="N21" s="488"/>
      <c r="O21" s="488"/>
      <c r="P21" s="488"/>
      <c r="Q21" s="488"/>
      <c r="R21" s="488"/>
      <c r="S21" s="488"/>
      <c r="T21" s="488"/>
      <c r="U21" s="488"/>
      <c r="V21" s="488"/>
      <c r="W21" s="488"/>
      <c r="X21" s="76"/>
      <c r="Y21" s="46"/>
      <c r="AA21" s="61"/>
      <c r="AT21" s="3"/>
      <c r="AU21" s="145">
        <f>H5</f>
        <v>9.5</v>
      </c>
      <c r="AV21" s="11" t="str">
        <f t="shared" ref="AV21:AV40" si="10">"("&amp;ROUND(AU21*25.4/50,0)*50&amp;")"</f>
        <v>(250)</v>
      </c>
      <c r="AW21" s="146"/>
      <c r="AX21" s="19">
        <f t="shared" ref="AX21:AX40" si="11">($IR21+(($IQ21-1)*$IS21)+$IT21)*BG21/144</f>
        <v>0.11748611111111111</v>
      </c>
      <c r="AY21" s="20" t="str">
        <f t="shared" ref="AY21:AY40" si="12">"("&amp;FIXED(AX21*0.092903,2)&amp;")"</f>
        <v>(0.01)</v>
      </c>
      <c r="AZ21" s="21">
        <v>2</v>
      </c>
      <c r="BA21" s="21">
        <f t="shared" ref="BA21:BA40" si="13">$IU$22*AZ21</f>
        <v>3.5</v>
      </c>
      <c r="BB21" s="21">
        <v>0</v>
      </c>
      <c r="BC21" s="21">
        <f t="shared" ref="BC21:BC40" si="14">$IW$22*BB21</f>
        <v>0</v>
      </c>
      <c r="BD21" s="21">
        <v>0</v>
      </c>
      <c r="BE21" s="21">
        <f t="shared" ref="BE21:BE40" si="15">$IV$22*BD21</f>
        <v>0</v>
      </c>
      <c r="BF21" s="21">
        <f t="shared" ref="BF21:BF40" si="16">BA21+BC21+BE21</f>
        <v>3.5</v>
      </c>
      <c r="BG21" s="22">
        <f t="shared" ref="BG21:BG40" si="17">AX$19-BA21-BC21-BE21</f>
        <v>5.5</v>
      </c>
      <c r="BH21" s="19">
        <f t="shared" ref="BH21:BH40" si="18">($IR21+(($IQ21-1)*$IS21)+$IT21)*BQ21/144</f>
        <v>0.18156944444444442</v>
      </c>
      <c r="BI21" s="20" t="str">
        <f t="shared" ref="BI21:BI40" si="19">"("&amp;FIXED(BH21*0.092903,2)&amp;")"</f>
        <v>(0.02)</v>
      </c>
      <c r="BJ21" s="21">
        <v>2</v>
      </c>
      <c r="BK21" s="21">
        <f t="shared" ref="BK21:BK40" si="20">$IU$22*BJ21</f>
        <v>3.5</v>
      </c>
      <c r="BL21" s="21">
        <v>0</v>
      </c>
      <c r="BM21" s="21">
        <f t="shared" ref="BM21:BM40" si="21">$IW$22*BL21</f>
        <v>0</v>
      </c>
      <c r="BN21" s="21">
        <v>0</v>
      </c>
      <c r="BO21" s="21">
        <f t="shared" ref="BO21:BO40" si="22">$IV$22*BN21</f>
        <v>0</v>
      </c>
      <c r="BP21" s="21">
        <f t="shared" ref="BP21:BP40" si="23">BK21+BM21+BO21</f>
        <v>3.5</v>
      </c>
      <c r="BQ21" s="22">
        <f t="shared" ref="BQ21:BQ40" si="24">BH$19-BK21-BM21-BO21</f>
        <v>8.5</v>
      </c>
      <c r="BR21" s="19">
        <f t="shared" ref="BR21:BR40" si="25">($IR21+(($IQ21-1)*$IS21)+$IT21)*CA21/144</f>
        <v>0.3097361111111111</v>
      </c>
      <c r="BS21" s="20" t="str">
        <f t="shared" ref="BS21:BS40" si="26">"("&amp;ROUND(BR21*0.092903,2)&amp;")"</f>
        <v>(0.03)</v>
      </c>
      <c r="BT21" s="21">
        <v>2</v>
      </c>
      <c r="BU21" s="21">
        <f t="shared" ref="BU21:BU40" si="27">$IU$22*BT21</f>
        <v>3.5</v>
      </c>
      <c r="BV21" s="21">
        <v>0</v>
      </c>
      <c r="BW21" s="21">
        <f t="shared" ref="BW21:BW40" si="28">$IW$22*BV21</f>
        <v>0</v>
      </c>
      <c r="BX21" s="21">
        <v>0</v>
      </c>
      <c r="BY21" s="21">
        <f t="shared" ref="BY21:BY40" si="29">$IV$22*BX21</f>
        <v>0</v>
      </c>
      <c r="BZ21" s="21">
        <f t="shared" ref="BZ21:BZ40" si="30">BU21+BW21+BY21</f>
        <v>3.5</v>
      </c>
      <c r="CA21" s="22">
        <f t="shared" ref="CA21:CA40" si="31">BR$19-BU21-BW21-BY21</f>
        <v>14.5</v>
      </c>
      <c r="CB21" s="19">
        <f t="shared" ref="CB21:CB40" si="32">($IR21+(($IQ21-1)*$IS21)+$IT21)*CK21/144</f>
        <v>0.43790277777777775</v>
      </c>
      <c r="CC21" s="20" t="str">
        <f t="shared" ref="CC21:CC40" si="33">"("&amp;ROUND(CB21*0.092903,2)&amp;")"</f>
        <v>(0.04)</v>
      </c>
      <c r="CD21" s="21">
        <v>2</v>
      </c>
      <c r="CE21" s="21">
        <f t="shared" ref="CE21:CE40" si="34">$IU$22*CD21</f>
        <v>3.5</v>
      </c>
      <c r="CF21" s="21">
        <v>0</v>
      </c>
      <c r="CG21" s="21">
        <f t="shared" ref="CG21:CG40" si="35">$IW$22*CF21</f>
        <v>0</v>
      </c>
      <c r="CH21" s="21">
        <v>0</v>
      </c>
      <c r="CI21" s="21">
        <f t="shared" ref="CI21:CI40" si="36">$IV$22*CH21</f>
        <v>0</v>
      </c>
      <c r="CJ21" s="21">
        <f t="shared" ref="CJ21:CJ40" si="37">CE21+CG21+CI21</f>
        <v>3.5</v>
      </c>
      <c r="CK21" s="22">
        <f t="shared" ref="CK21:CK40" si="38">CB$19-CE21-CG21-CI21</f>
        <v>20.5</v>
      </c>
      <c r="CL21" s="19">
        <f t="shared" ref="CL21:CL40" si="39">($IR21+(($IQ21-1)*$IS21)+$IT21)*CU21/144</f>
        <v>0.5660694444444444</v>
      </c>
      <c r="CM21" s="20" t="str">
        <f t="shared" ref="CM21:CM40" si="40">"("&amp;ROUND(CL21*0.092903,2)&amp;")"</f>
        <v>(0.05)</v>
      </c>
      <c r="CN21" s="21">
        <v>2</v>
      </c>
      <c r="CO21" s="21">
        <f t="shared" ref="CO21:CO40" si="41">$IU$22*CN21</f>
        <v>3.5</v>
      </c>
      <c r="CP21" s="21">
        <v>0</v>
      </c>
      <c r="CQ21" s="21">
        <f t="shared" ref="CQ21:CQ40" si="42">$IW$22*CP21</f>
        <v>0</v>
      </c>
      <c r="CR21" s="21">
        <v>0</v>
      </c>
      <c r="CS21" s="21">
        <f t="shared" ref="CS21:CS40" si="43">$IV$22*CR21</f>
        <v>0</v>
      </c>
      <c r="CT21" s="21">
        <f t="shared" ref="CT21:CT40" si="44">CO21+CQ21+CS21</f>
        <v>3.5</v>
      </c>
      <c r="CU21" s="22">
        <f t="shared" ref="CU21:CU40" si="45">CL$19-CO21-CQ21-CS21</f>
        <v>26.5</v>
      </c>
      <c r="CV21" s="19">
        <f t="shared" ref="CV21:CV40" si="46">($IR21+(($IQ21-1)*$IS21)+$IT21)*DE21/144</f>
        <v>0.69423611111111105</v>
      </c>
      <c r="CW21" s="20" t="str">
        <f t="shared" ref="CW21:CW40" si="47">"("&amp;ROUND(CV21*0.092903,2)&amp;")"</f>
        <v>(0.06)</v>
      </c>
      <c r="CX21" s="21">
        <v>2</v>
      </c>
      <c r="CY21" s="21">
        <f t="shared" ref="CY21:CY40" si="48">$IU$22*CX21</f>
        <v>3.5</v>
      </c>
      <c r="CZ21" s="21">
        <v>0</v>
      </c>
      <c r="DA21" s="21">
        <f t="shared" ref="DA21:DA40" si="49">$IW$22*CZ21</f>
        <v>0</v>
      </c>
      <c r="DB21" s="21">
        <v>0</v>
      </c>
      <c r="DC21" s="21">
        <f t="shared" ref="DC21:DC40" si="50">$IV$22*DB21</f>
        <v>0</v>
      </c>
      <c r="DD21" s="21">
        <f t="shared" ref="DD21:DD40" si="51">CY21+DA21+DC21</f>
        <v>3.5</v>
      </c>
      <c r="DE21" s="22">
        <f t="shared" ref="DE21:DE40" si="52">CV$19-CY21-DA21-DC21</f>
        <v>32.5</v>
      </c>
      <c r="DF21" s="19">
        <f t="shared" ref="DF21:DF40" si="53">($IR21+(($IQ21-1)*$IS21)+$IT21)*DO21/144</f>
        <v>0.8224027777777777</v>
      </c>
      <c r="DG21" s="20" t="str">
        <f t="shared" ref="DG21:DG40" si="54">"("&amp;ROUND(DF21*0.092903,2)&amp;")"</f>
        <v>(0.08)</v>
      </c>
      <c r="DH21" s="21">
        <v>2</v>
      </c>
      <c r="DI21" s="21">
        <f t="shared" ref="DI21:DI40" si="55">$IU$22*DH21</f>
        <v>3.5</v>
      </c>
      <c r="DJ21" s="21">
        <v>0</v>
      </c>
      <c r="DK21" s="21">
        <f t="shared" ref="DK21:DK40" si="56">$IW$22*DJ21</f>
        <v>0</v>
      </c>
      <c r="DL21" s="21">
        <v>0</v>
      </c>
      <c r="DM21" s="21">
        <f t="shared" ref="DM21:DM40" si="57">$IV$22*DL21</f>
        <v>0</v>
      </c>
      <c r="DN21" s="21">
        <f t="shared" ref="DN21:DN40" si="58">DI21+DK21+DM21</f>
        <v>3.5</v>
      </c>
      <c r="DO21" s="22">
        <f t="shared" ref="DO21:DO40" si="59">DF$19-DI21-DK21-DM21</f>
        <v>38.5</v>
      </c>
      <c r="DP21" s="19">
        <f t="shared" ref="DP21:DP40" si="60">($IR21+(($IQ21-1)*$IS21)+$IT21)*DY21/144</f>
        <v>0.95056944444444424</v>
      </c>
      <c r="DQ21" s="20" t="str">
        <f t="shared" ref="DQ21:DQ40" si="61">"("&amp;ROUND(DP21*0.092903,2)&amp;")"</f>
        <v>(0.09)</v>
      </c>
      <c r="DR21" s="21">
        <v>2</v>
      </c>
      <c r="DS21" s="21">
        <f t="shared" ref="DS21:DS40" si="62">$IU$22*DR21</f>
        <v>3.5</v>
      </c>
      <c r="DT21" s="21">
        <v>0</v>
      </c>
      <c r="DU21" s="21">
        <f t="shared" ref="DU21:DU40" si="63">$IW$22*DT21</f>
        <v>0</v>
      </c>
      <c r="DV21" s="21">
        <v>0</v>
      </c>
      <c r="DW21" s="21">
        <f t="shared" ref="DW21:DW40" si="64">$IV$22*DV21</f>
        <v>0</v>
      </c>
      <c r="DX21" s="21">
        <f t="shared" ref="DX21:DX40" si="65">DS21+DU21+DW21</f>
        <v>3.5</v>
      </c>
      <c r="DY21" s="22">
        <f t="shared" ref="DY21:DY40" si="66">DP$19-DS21-DU21-DW21</f>
        <v>44.5</v>
      </c>
      <c r="DZ21" s="19">
        <f t="shared" ref="DZ21:DZ40" si="67">($IR21+(($IQ21-1)*$IS21)+$IT21)*EI21/144</f>
        <v>1.0573749999999997</v>
      </c>
      <c r="EA21" s="20" t="str">
        <f t="shared" ref="EA21:EA40" si="68">"("&amp;FIXED(DZ21*0.092903,2)&amp;")"</f>
        <v>(0.10)</v>
      </c>
      <c r="EB21" s="21">
        <v>2</v>
      </c>
      <c r="EC21" s="21">
        <f t="shared" ref="EC21:EC40" si="69">$IU$22*EB21</f>
        <v>3.5</v>
      </c>
      <c r="ED21" s="21">
        <v>0</v>
      </c>
      <c r="EE21" s="21">
        <f t="shared" ref="EE21:EE40" si="70">$IW$22*ED21</f>
        <v>0</v>
      </c>
      <c r="EF21" s="21">
        <v>1</v>
      </c>
      <c r="EG21" s="21">
        <f t="shared" ref="EG21:EG40" si="71">$IV$22*EF21</f>
        <v>1</v>
      </c>
      <c r="EH21" s="21">
        <f t="shared" ref="EH21:EH40" si="72">EC21+EE21+EG21</f>
        <v>4.5</v>
      </c>
      <c r="EI21" s="22">
        <f t="shared" ref="EI21:EI40" si="73">DZ$19-EC21-EE21-EG21</f>
        <v>49.5</v>
      </c>
      <c r="EJ21" s="19">
        <f t="shared" ref="EJ21:EJ40" si="74">($IR21+(($IQ21-1)*$IS21)+$IT21)*ES21/144</f>
        <v>1.1855416666666665</v>
      </c>
      <c r="EK21" s="20" t="str">
        <f t="shared" ref="EK21:EK40" si="75">"("&amp;FIXED(EJ21*0.092903,2)&amp;")"</f>
        <v>(0.11)</v>
      </c>
      <c r="EL21" s="21">
        <v>2</v>
      </c>
      <c r="EM21" s="21">
        <f t="shared" ref="EM21:EM40" si="76">$IU$22*EL21</f>
        <v>3.5</v>
      </c>
      <c r="EN21" s="21">
        <v>0</v>
      </c>
      <c r="EO21" s="21">
        <f t="shared" ref="EO21:EO40" si="77">$IW$22*EN21</f>
        <v>0</v>
      </c>
      <c r="EP21" s="21">
        <v>1</v>
      </c>
      <c r="EQ21" s="21">
        <f t="shared" ref="EQ21:EQ40" si="78">$IV$22*EP21</f>
        <v>1</v>
      </c>
      <c r="ER21" s="21">
        <f t="shared" ref="ER21:ER40" si="79">EM21+EO21+EQ21</f>
        <v>4.5</v>
      </c>
      <c r="ES21" s="22">
        <f t="shared" ref="ES21:ES40" si="80">EJ$19-EM21-EO21-EQ21</f>
        <v>55.5</v>
      </c>
      <c r="ET21" s="19">
        <f t="shared" ref="ET21:ET40" si="81">($IR21+(($IQ21-1)*$IS21)+$IT21)*FC21/144</f>
        <v>1.3137083333333333</v>
      </c>
      <c r="EU21" s="20" t="str">
        <f t="shared" ref="EU21:EU40" si="82">"("&amp;FIXED(ET21*0.092903,2)&amp;")"</f>
        <v>(0.12)</v>
      </c>
      <c r="EV21" s="21">
        <v>2</v>
      </c>
      <c r="EW21" s="21">
        <f t="shared" ref="EW21:EW40" si="83">$IU$22*EV21</f>
        <v>3.5</v>
      </c>
      <c r="EX21" s="21">
        <v>0</v>
      </c>
      <c r="EY21" s="21">
        <f t="shared" ref="EY21:EY40" si="84">$IW$22*EX21</f>
        <v>0</v>
      </c>
      <c r="EZ21" s="21">
        <v>1</v>
      </c>
      <c r="FA21" s="21">
        <f t="shared" ref="FA21:FA40" si="85">$IV$22*EZ21</f>
        <v>1</v>
      </c>
      <c r="FB21" s="21">
        <f t="shared" ref="FB21:FB40" si="86">EW21+EY21+FA21</f>
        <v>4.5</v>
      </c>
      <c r="FC21" s="22">
        <f t="shared" ref="FC21:FC40" si="87">ET$19-EW21-EY21-FA21</f>
        <v>61.5</v>
      </c>
      <c r="FD21" s="19">
        <f t="shared" ref="FD21:FD40" si="88">($IR21+(($IQ21-1)*$IS21)+$IT21)*FM21/144</f>
        <v>1.4632361111111107</v>
      </c>
      <c r="FE21" s="20" t="str">
        <f t="shared" ref="FE21:FE40" si="89">"("&amp;FIXED(FD21*0.092903,2)&amp;")"</f>
        <v>(0.14)</v>
      </c>
      <c r="FF21" s="21">
        <v>2</v>
      </c>
      <c r="FG21" s="21">
        <f t="shared" ref="FG21:FG40" si="90">$IU$22*FF21</f>
        <v>3.5</v>
      </c>
      <c r="FH21" s="469">
        <v>0</v>
      </c>
      <c r="FI21" s="21">
        <f t="shared" ref="FI21:FI40" si="91">$IW$22*FH21</f>
        <v>0</v>
      </c>
      <c r="FJ21" s="21">
        <v>0</v>
      </c>
      <c r="FK21" s="21">
        <f t="shared" ref="FK21:FK40" si="92">$IV$22*FJ21</f>
        <v>0</v>
      </c>
      <c r="FL21" s="21">
        <f t="shared" ref="FL21:FL40" si="93">FG21+FI21+FK21</f>
        <v>3.5</v>
      </c>
      <c r="FM21" s="22">
        <f t="shared" ref="FM21:FM40" si="94">FD$19-FG21-FI21-FK21</f>
        <v>68.5</v>
      </c>
      <c r="FN21" s="19">
        <f t="shared" ref="FN21:FN32" si="95">($IR21+(($IQ21-1)*$IS21)+$IT21)*FW21/144</f>
        <v>1.5673715277777776</v>
      </c>
      <c r="FO21" s="20" t="str">
        <f t="shared" ref="FO21:FO32" si="96">"("&amp;FIXED(FN21*0.092903,2)&amp;")"</f>
        <v>(0.15)</v>
      </c>
      <c r="FP21" s="21">
        <v>2</v>
      </c>
      <c r="FQ21" s="21">
        <f t="shared" ref="FQ21:FQ32" si="97">$IU$22*FP21</f>
        <v>3.5</v>
      </c>
      <c r="FR21" s="21">
        <v>1</v>
      </c>
      <c r="FS21" s="21">
        <f t="shared" ref="FS21:FS32" si="98">$IW$22*FR21</f>
        <v>1.125</v>
      </c>
      <c r="FT21" s="21">
        <v>0</v>
      </c>
      <c r="FU21" s="21">
        <f t="shared" ref="FU21:FU32" si="99">$IV$22*FT21</f>
        <v>0</v>
      </c>
      <c r="FV21" s="21">
        <f t="shared" ref="FV21:FV32" si="100">FQ21+FS21+FU21</f>
        <v>4.625</v>
      </c>
      <c r="FW21" s="22">
        <f t="shared" ref="FW21:FW32" si="101">FN$19-FQ21-FS21-FU21</f>
        <v>73.375</v>
      </c>
      <c r="FX21" s="19">
        <f t="shared" ref="FX21:FX32" si="102">($IR21+(($IQ21-1)*$IS21)+$IT21)*GG21/144</f>
        <v>1.6955381944444443</v>
      </c>
      <c r="FY21" s="20" t="str">
        <f t="shared" ref="FY21:FY32" si="103">"("&amp;FIXED(FX21*0.092903,2)&amp;")"</f>
        <v>(0.16)</v>
      </c>
      <c r="FZ21" s="21">
        <v>2</v>
      </c>
      <c r="GA21" s="21">
        <f t="shared" ref="GA21:GA32" si="104">$IU$22*FZ21</f>
        <v>3.5</v>
      </c>
      <c r="GB21" s="21">
        <v>1</v>
      </c>
      <c r="GC21" s="21">
        <f t="shared" ref="GC21:GC32" si="105">$IW$22*GB21</f>
        <v>1.125</v>
      </c>
      <c r="GD21" s="21">
        <v>0</v>
      </c>
      <c r="GE21" s="21">
        <f t="shared" ref="GE21:GE32" si="106">$IV$22*GD21</f>
        <v>0</v>
      </c>
      <c r="GF21" s="21">
        <f t="shared" ref="GF21:GF32" si="107">GA21+GC21+GE21</f>
        <v>4.625</v>
      </c>
      <c r="GG21" s="22">
        <f t="shared" ref="GG21:GG32" si="108">FX$19-GA21-GC21-GE21</f>
        <v>79.375</v>
      </c>
      <c r="GH21" s="19">
        <f t="shared" ref="GH21:GH32" si="109">($IR21+(($IQ21-1)*$IS21)+$IT21)*GQ21/144</f>
        <v>1.8237048611111111</v>
      </c>
      <c r="GI21" s="20" t="str">
        <f t="shared" ref="GI21:GI32" si="110">"("&amp;FIXED(GH21*0.092903,2)&amp;")"</f>
        <v>(0.17)</v>
      </c>
      <c r="GJ21" s="21">
        <v>2</v>
      </c>
      <c r="GK21" s="21">
        <f t="shared" ref="GK21:GK32" si="111">$IU$22*GJ21</f>
        <v>3.5</v>
      </c>
      <c r="GL21" s="21">
        <v>1</v>
      </c>
      <c r="GM21" s="21">
        <f t="shared" ref="GM21:GM32" si="112">$IW$22*GL21</f>
        <v>1.125</v>
      </c>
      <c r="GN21" s="21">
        <v>0</v>
      </c>
      <c r="GO21" s="21">
        <f t="shared" ref="GO21:GO32" si="113">$IV$22*GN21</f>
        <v>0</v>
      </c>
      <c r="GP21" s="21">
        <f t="shared" ref="GP21:GP32" si="114">GK21+GM21+GO21</f>
        <v>4.625</v>
      </c>
      <c r="GQ21" s="22">
        <f t="shared" ref="GQ21:GQ32" si="115">GH$19-GK21-GM21-GO21</f>
        <v>85.375</v>
      </c>
      <c r="GR21" s="19">
        <f t="shared" ref="GR21:GR32" si="116">($IR21+(($IQ21-1)*$IS21)+$IT21)*HA21/144</f>
        <v>1.9518715277777774</v>
      </c>
      <c r="GS21" s="20" t="str">
        <f t="shared" ref="GS21:GS32" si="117">"("&amp;FIXED(GR21*0.092903,2)&amp;")"</f>
        <v>(0.18)</v>
      </c>
      <c r="GT21" s="21">
        <v>2</v>
      </c>
      <c r="GU21" s="21">
        <f t="shared" ref="GU21:GU32" si="118">$IU$22*GT21</f>
        <v>3.5</v>
      </c>
      <c r="GV21" s="21">
        <v>1</v>
      </c>
      <c r="GW21" s="21">
        <f t="shared" ref="GW21:GW32" si="119">$IW$22*GV21</f>
        <v>1.125</v>
      </c>
      <c r="GX21" s="21">
        <v>0</v>
      </c>
      <c r="GY21" s="21">
        <f t="shared" ref="GY21:GY32" si="120">$IV$22*GX21</f>
        <v>0</v>
      </c>
      <c r="GZ21" s="21">
        <f t="shared" ref="GZ21:GZ32" si="121">GU21+GW21+GY21</f>
        <v>4.625</v>
      </c>
      <c r="HA21" s="22">
        <f t="shared" ref="HA21:HA32" si="122">GR$19-GU21-GW21-GY21</f>
        <v>91.375</v>
      </c>
      <c r="HB21" s="19">
        <f t="shared" ref="HB21:HB32" si="123">($IR21+(($IQ21-1)*$IS21)+$IT21)*HK21/144</f>
        <v>2.0800381944444442</v>
      </c>
      <c r="HC21" s="20" t="str">
        <f t="shared" ref="HC21:HC32" si="124">"("&amp;FIXED(HB21*0.092903,2)&amp;")"</f>
        <v>(0.19)</v>
      </c>
      <c r="HD21" s="21">
        <v>2</v>
      </c>
      <c r="HE21" s="21">
        <f t="shared" ref="HE21:HE32" si="125">$IU$22*HD21</f>
        <v>3.5</v>
      </c>
      <c r="HF21" s="21">
        <v>1</v>
      </c>
      <c r="HG21" s="21">
        <f t="shared" ref="HG21:HG32" si="126">$IW$22*HF21</f>
        <v>1.125</v>
      </c>
      <c r="HH21" s="21">
        <v>0</v>
      </c>
      <c r="HI21" s="21">
        <f t="shared" ref="HI21:HI32" si="127">$IV$22*HH21</f>
        <v>0</v>
      </c>
      <c r="HJ21" s="21">
        <f t="shared" ref="HJ21:HJ32" si="128">HE21+HG21+HI21</f>
        <v>4.625</v>
      </c>
      <c r="HK21" s="22">
        <f t="shared" ref="HK21:HK32" si="129">HB$19-HE21-HG21-HI21</f>
        <v>97.375</v>
      </c>
      <c r="HL21" s="19">
        <f t="shared" ref="HL21:HL32" si="130">($IR21+(($IQ21-1)*$IS21)+$IT21)*HU21/144</f>
        <v>2.1654826388888884</v>
      </c>
      <c r="HM21" s="20" t="str">
        <f t="shared" ref="HM21:HM32" si="131">"("&amp;FIXED(HL21*0.092903,2)&amp;")"</f>
        <v>(0.20)</v>
      </c>
      <c r="HN21" s="21">
        <v>2</v>
      </c>
      <c r="HO21" s="21">
        <f t="shared" ref="HO21:HO32" si="132">$IU$22*HN21</f>
        <v>3.5</v>
      </c>
      <c r="HP21" s="21">
        <v>1</v>
      </c>
      <c r="HQ21" s="21">
        <f t="shared" ref="HQ21:HQ32" si="133">$IW$22*HP21</f>
        <v>1.125</v>
      </c>
      <c r="HR21" s="21">
        <v>2</v>
      </c>
      <c r="HS21" s="21">
        <f t="shared" ref="HS21:HS32" si="134">$IV$22*HR21</f>
        <v>2</v>
      </c>
      <c r="HT21" s="21">
        <f t="shared" ref="HT21:HT32" si="135">HO21+HQ21+HS21</f>
        <v>6.625</v>
      </c>
      <c r="HU21" s="22">
        <f t="shared" ref="HU21:HU32" si="136">HL$19-HO21-HQ21-HS21</f>
        <v>101.375</v>
      </c>
      <c r="HV21" s="19">
        <f t="shared" ref="HV21:HV32" si="137">($IR21+(($IQ21-1)*$IS21)+$IT21)*IE21/144</f>
        <v>2.2936493055555554</v>
      </c>
      <c r="HW21" s="20" t="str">
        <f t="shared" ref="HW21:HW32" si="138">"("&amp;FIXED(HV21*0.092903,2)&amp;")"</f>
        <v>(0.21)</v>
      </c>
      <c r="HX21" s="21">
        <v>2</v>
      </c>
      <c r="HY21" s="21">
        <f t="shared" ref="HY21:HY32" si="139">$IU$22*HX21</f>
        <v>3.5</v>
      </c>
      <c r="HZ21" s="21">
        <v>1</v>
      </c>
      <c r="IA21" s="21">
        <f t="shared" ref="IA21:IA32" si="140">$IW$22*HZ21</f>
        <v>1.125</v>
      </c>
      <c r="IB21" s="21">
        <v>2</v>
      </c>
      <c r="IC21" s="21">
        <f t="shared" ref="IC21:IC32" si="141">$IV$22*IB21</f>
        <v>2</v>
      </c>
      <c r="ID21" s="21">
        <f t="shared" ref="ID21:ID32" si="142">HY21+IA21+IC21</f>
        <v>6.625</v>
      </c>
      <c r="IE21" s="22">
        <f t="shared" ref="IE21:IE32" si="143">HV$19-HY21-IA21-IC21</f>
        <v>107.375</v>
      </c>
      <c r="IF21" s="19">
        <f t="shared" ref="IF21:IF32" si="144">($IR21+(($IQ21-1)*$IS21)+$IT21)*IO21/144</f>
        <v>2.4218159722222219</v>
      </c>
      <c r="IG21" s="20" t="str">
        <f t="shared" ref="IG21:IG32" si="145">"("&amp;FIXED(IF21*0.092903,2)&amp;")"</f>
        <v>(0.22)</v>
      </c>
      <c r="IH21" s="21">
        <v>2</v>
      </c>
      <c r="II21" s="21">
        <f t="shared" ref="II21:II32" si="146">$IU$22*IH21</f>
        <v>3.5</v>
      </c>
      <c r="IJ21" s="21">
        <v>1</v>
      </c>
      <c r="IK21" s="21">
        <f t="shared" ref="IK21:IK32" si="147">$IW$22*IJ21</f>
        <v>1.125</v>
      </c>
      <c r="IL21" s="21">
        <v>2</v>
      </c>
      <c r="IM21" s="21">
        <f t="shared" ref="IM21:IM32" si="148">$IV$22*IL21</f>
        <v>2</v>
      </c>
      <c r="IN21" s="21">
        <f t="shared" ref="IN21:IN32" si="149">II21+IK21+IM21</f>
        <v>6.625</v>
      </c>
      <c r="IO21" s="22">
        <f t="shared" ref="IO21:IO32" si="150">IF$19-II21-IK21-IM21</f>
        <v>113.375</v>
      </c>
      <c r="IP21" s="14"/>
      <c r="IQ21" s="24">
        <v>1</v>
      </c>
      <c r="IR21" s="25">
        <v>2.6549999999999998</v>
      </c>
      <c r="IS21" s="25">
        <v>2.6469999999999998</v>
      </c>
      <c r="IT21" s="25">
        <v>0.42099999999999999</v>
      </c>
      <c r="IU21" s="25">
        <v>1.75</v>
      </c>
      <c r="IV21" s="25">
        <v>1</v>
      </c>
      <c r="IW21" s="25">
        <v>1.125</v>
      </c>
      <c r="IX21" s="7"/>
    </row>
    <row r="22" spans="2:258" ht="15.75" thickBot="1" x14ac:dyDescent="0.3">
      <c r="B22" s="79">
        <f t="shared" si="9"/>
        <v>30</v>
      </c>
      <c r="C22" s="147">
        <v>6</v>
      </c>
      <c r="D22" s="487"/>
      <c r="E22" s="468">
        <f t="shared" si="0"/>
        <v>0.3960527777777777</v>
      </c>
      <c r="F22" s="468">
        <f t="shared" si="1"/>
        <v>0.45041296296296285</v>
      </c>
      <c r="G22" s="468">
        <f t="shared" si="2"/>
        <v>0.47759305555555553</v>
      </c>
      <c r="H22" s="468">
        <f t="shared" si="3"/>
        <v>0.49390111111111101</v>
      </c>
      <c r="I22" s="468">
        <f t="shared" si="4"/>
        <v>0.504773148148148</v>
      </c>
      <c r="J22" s="468">
        <f t="shared" si="5"/>
        <v>0.51253888888888888</v>
      </c>
      <c r="K22" s="468">
        <f t="shared" si="6"/>
        <v>0.51836319444444434</v>
      </c>
      <c r="L22" s="468">
        <f t="shared" si="7"/>
        <v>0.51253888888888888</v>
      </c>
      <c r="M22" s="468">
        <f t="shared" si="8"/>
        <v>0.51719833333333332</v>
      </c>
      <c r="N22" s="488"/>
      <c r="O22" s="488"/>
      <c r="P22" s="488"/>
      <c r="Q22" s="488"/>
      <c r="R22" s="488"/>
      <c r="S22" s="488"/>
      <c r="T22" s="488"/>
      <c r="U22" s="488"/>
      <c r="V22" s="488"/>
      <c r="W22" s="488"/>
      <c r="X22" s="76"/>
      <c r="Y22" s="46"/>
      <c r="AA22" s="61"/>
      <c r="AT22" s="3"/>
      <c r="AU22" s="13">
        <v>12</v>
      </c>
      <c r="AV22" s="11" t="str">
        <f t="shared" si="10"/>
        <v>(300)</v>
      </c>
      <c r="AW22" s="18"/>
      <c r="AX22" s="19">
        <f t="shared" si="11"/>
        <v>0.18130902777777777</v>
      </c>
      <c r="AY22" s="20" t="str">
        <f t="shared" si="12"/>
        <v>(0.02)</v>
      </c>
      <c r="AZ22" s="21">
        <v>2</v>
      </c>
      <c r="BA22" s="21">
        <f t="shared" si="13"/>
        <v>3.5</v>
      </c>
      <c r="BB22" s="21">
        <v>0</v>
      </c>
      <c r="BC22" s="21">
        <f t="shared" si="14"/>
        <v>0</v>
      </c>
      <c r="BD22" s="21">
        <v>0</v>
      </c>
      <c r="BE22" s="21">
        <f t="shared" si="15"/>
        <v>0</v>
      </c>
      <c r="BF22" s="21">
        <f t="shared" si="16"/>
        <v>3.5</v>
      </c>
      <c r="BG22" s="22">
        <f t="shared" si="17"/>
        <v>5.5</v>
      </c>
      <c r="BH22" s="205">
        <f t="shared" si="18"/>
        <v>0.28020486111111109</v>
      </c>
      <c r="BI22" s="206" t="str">
        <f t="shared" si="19"/>
        <v>(0.03)</v>
      </c>
      <c r="BJ22" s="207">
        <v>2</v>
      </c>
      <c r="BK22" s="207">
        <f t="shared" si="20"/>
        <v>3.5</v>
      </c>
      <c r="BL22" s="207">
        <v>0</v>
      </c>
      <c r="BM22" s="207">
        <f t="shared" si="21"/>
        <v>0</v>
      </c>
      <c r="BN22" s="207">
        <v>0</v>
      </c>
      <c r="BO22" s="207">
        <f t="shared" si="22"/>
        <v>0</v>
      </c>
      <c r="BP22" s="207">
        <f t="shared" si="23"/>
        <v>3.5</v>
      </c>
      <c r="BQ22" s="208">
        <f t="shared" si="24"/>
        <v>8.5</v>
      </c>
      <c r="BR22" s="205">
        <f t="shared" si="25"/>
        <v>0.47799652777777779</v>
      </c>
      <c r="BS22" s="206" t="str">
        <f t="shared" si="26"/>
        <v>(0.04)</v>
      </c>
      <c r="BT22" s="207">
        <v>2</v>
      </c>
      <c r="BU22" s="207">
        <f t="shared" si="27"/>
        <v>3.5</v>
      </c>
      <c r="BV22" s="207">
        <v>0</v>
      </c>
      <c r="BW22" s="207">
        <f t="shared" si="28"/>
        <v>0</v>
      </c>
      <c r="BX22" s="207">
        <v>0</v>
      </c>
      <c r="BY22" s="207">
        <f t="shared" si="29"/>
        <v>0</v>
      </c>
      <c r="BZ22" s="207">
        <f t="shared" si="30"/>
        <v>3.5</v>
      </c>
      <c r="CA22" s="208">
        <f t="shared" si="31"/>
        <v>14.5</v>
      </c>
      <c r="CB22" s="205">
        <f t="shared" si="32"/>
        <v>0.67578819444444449</v>
      </c>
      <c r="CC22" s="206" t="str">
        <f t="shared" si="33"/>
        <v>(0.06)</v>
      </c>
      <c r="CD22" s="207">
        <v>2</v>
      </c>
      <c r="CE22" s="207">
        <f t="shared" si="34"/>
        <v>3.5</v>
      </c>
      <c r="CF22" s="207">
        <v>0</v>
      </c>
      <c r="CG22" s="207">
        <f t="shared" si="35"/>
        <v>0</v>
      </c>
      <c r="CH22" s="207">
        <v>0</v>
      </c>
      <c r="CI22" s="207">
        <f t="shared" si="36"/>
        <v>0</v>
      </c>
      <c r="CJ22" s="207">
        <f t="shared" si="37"/>
        <v>3.5</v>
      </c>
      <c r="CK22" s="208">
        <f t="shared" si="38"/>
        <v>20.5</v>
      </c>
      <c r="CL22" s="205">
        <f t="shared" si="39"/>
        <v>0.87357986111111119</v>
      </c>
      <c r="CM22" s="206" t="str">
        <f t="shared" si="40"/>
        <v>(0.08)</v>
      </c>
      <c r="CN22" s="207">
        <v>2</v>
      </c>
      <c r="CO22" s="207">
        <f t="shared" si="41"/>
        <v>3.5</v>
      </c>
      <c r="CP22" s="207">
        <v>0</v>
      </c>
      <c r="CQ22" s="207">
        <f t="shared" si="42"/>
        <v>0</v>
      </c>
      <c r="CR22" s="207">
        <v>0</v>
      </c>
      <c r="CS22" s="207">
        <f t="shared" si="43"/>
        <v>0</v>
      </c>
      <c r="CT22" s="207">
        <f t="shared" si="44"/>
        <v>3.5</v>
      </c>
      <c r="CU22" s="208">
        <f t="shared" si="45"/>
        <v>26.5</v>
      </c>
      <c r="CV22" s="205">
        <f t="shared" si="46"/>
        <v>1.0713715277777778</v>
      </c>
      <c r="CW22" s="206" t="str">
        <f t="shared" si="47"/>
        <v>(0.1)</v>
      </c>
      <c r="CX22" s="207">
        <v>2</v>
      </c>
      <c r="CY22" s="207">
        <f t="shared" si="48"/>
        <v>3.5</v>
      </c>
      <c r="CZ22" s="207">
        <v>0</v>
      </c>
      <c r="DA22" s="207">
        <f t="shared" si="49"/>
        <v>0</v>
      </c>
      <c r="DB22" s="207">
        <v>0</v>
      </c>
      <c r="DC22" s="207">
        <f t="shared" si="50"/>
        <v>0</v>
      </c>
      <c r="DD22" s="207">
        <f t="shared" si="51"/>
        <v>3.5</v>
      </c>
      <c r="DE22" s="208">
        <f t="shared" si="52"/>
        <v>32.5</v>
      </c>
      <c r="DF22" s="205">
        <f t="shared" si="53"/>
        <v>1.2691631944444444</v>
      </c>
      <c r="DG22" s="206" t="str">
        <f t="shared" si="54"/>
        <v>(0.12)</v>
      </c>
      <c r="DH22" s="207">
        <v>2</v>
      </c>
      <c r="DI22" s="207">
        <f t="shared" si="55"/>
        <v>3.5</v>
      </c>
      <c r="DJ22" s="207">
        <v>0</v>
      </c>
      <c r="DK22" s="207">
        <f t="shared" si="56"/>
        <v>0</v>
      </c>
      <c r="DL22" s="207">
        <v>0</v>
      </c>
      <c r="DM22" s="207">
        <f t="shared" si="57"/>
        <v>0</v>
      </c>
      <c r="DN22" s="207">
        <f t="shared" si="58"/>
        <v>3.5</v>
      </c>
      <c r="DO22" s="208">
        <f t="shared" si="59"/>
        <v>38.5</v>
      </c>
      <c r="DP22" s="205">
        <f t="shared" si="60"/>
        <v>1.4669548611111112</v>
      </c>
      <c r="DQ22" s="206" t="str">
        <f t="shared" si="61"/>
        <v>(0.14)</v>
      </c>
      <c r="DR22" s="207">
        <v>2</v>
      </c>
      <c r="DS22" s="207">
        <f t="shared" si="62"/>
        <v>3.5</v>
      </c>
      <c r="DT22" s="207">
        <v>0</v>
      </c>
      <c r="DU22" s="207">
        <f t="shared" si="63"/>
        <v>0</v>
      </c>
      <c r="DV22" s="207">
        <v>0</v>
      </c>
      <c r="DW22" s="207">
        <f t="shared" si="64"/>
        <v>0</v>
      </c>
      <c r="DX22" s="207">
        <f t="shared" si="65"/>
        <v>3.5</v>
      </c>
      <c r="DY22" s="208">
        <f t="shared" si="66"/>
        <v>44.5</v>
      </c>
      <c r="DZ22" s="205">
        <f t="shared" si="67"/>
        <v>1.63178125</v>
      </c>
      <c r="EA22" s="206" t="str">
        <f t="shared" si="68"/>
        <v>(0.15)</v>
      </c>
      <c r="EB22" s="207">
        <v>2</v>
      </c>
      <c r="EC22" s="207">
        <f t="shared" si="69"/>
        <v>3.5</v>
      </c>
      <c r="ED22" s="207">
        <v>0</v>
      </c>
      <c r="EE22" s="207">
        <f t="shared" si="70"/>
        <v>0</v>
      </c>
      <c r="EF22" s="207">
        <v>1</v>
      </c>
      <c r="EG22" s="207">
        <f t="shared" si="71"/>
        <v>1</v>
      </c>
      <c r="EH22" s="207">
        <f t="shared" si="72"/>
        <v>4.5</v>
      </c>
      <c r="EI22" s="208">
        <f t="shared" si="73"/>
        <v>49.5</v>
      </c>
      <c r="EJ22" s="205">
        <f t="shared" si="74"/>
        <v>1.8295729166666668</v>
      </c>
      <c r="EK22" s="206" t="str">
        <f t="shared" si="75"/>
        <v>(0.17)</v>
      </c>
      <c r="EL22" s="207">
        <v>2</v>
      </c>
      <c r="EM22" s="207">
        <f t="shared" si="76"/>
        <v>3.5</v>
      </c>
      <c r="EN22" s="207">
        <v>0</v>
      </c>
      <c r="EO22" s="207">
        <f t="shared" si="77"/>
        <v>0</v>
      </c>
      <c r="EP22" s="207">
        <v>1</v>
      </c>
      <c r="EQ22" s="207">
        <f t="shared" si="78"/>
        <v>1</v>
      </c>
      <c r="ER22" s="207">
        <f t="shared" si="79"/>
        <v>4.5</v>
      </c>
      <c r="ES22" s="208">
        <f t="shared" si="80"/>
        <v>55.5</v>
      </c>
      <c r="ET22" s="205">
        <f t="shared" si="81"/>
        <v>2.0273645833333331</v>
      </c>
      <c r="EU22" s="206" t="str">
        <f t="shared" si="82"/>
        <v>(0.19)</v>
      </c>
      <c r="EV22" s="207">
        <v>2</v>
      </c>
      <c r="EW22" s="207">
        <f t="shared" si="83"/>
        <v>3.5</v>
      </c>
      <c r="EX22" s="207">
        <v>0</v>
      </c>
      <c r="EY22" s="207">
        <f t="shared" si="84"/>
        <v>0</v>
      </c>
      <c r="EZ22" s="207">
        <v>1</v>
      </c>
      <c r="FA22" s="207">
        <f t="shared" si="85"/>
        <v>1</v>
      </c>
      <c r="FB22" s="207">
        <f t="shared" si="86"/>
        <v>4.5</v>
      </c>
      <c r="FC22" s="208">
        <f t="shared" si="87"/>
        <v>61.5</v>
      </c>
      <c r="FD22" s="205">
        <f t="shared" si="88"/>
        <v>2.2581215277777775</v>
      </c>
      <c r="FE22" s="206" t="str">
        <f t="shared" si="89"/>
        <v>(0.21)</v>
      </c>
      <c r="FF22" s="207">
        <v>2</v>
      </c>
      <c r="FG22" s="207">
        <f t="shared" si="90"/>
        <v>3.5</v>
      </c>
      <c r="FH22" s="469">
        <v>0</v>
      </c>
      <c r="FI22" s="207">
        <f t="shared" si="91"/>
        <v>0</v>
      </c>
      <c r="FJ22" s="207">
        <v>0</v>
      </c>
      <c r="FK22" s="207">
        <f t="shared" si="92"/>
        <v>0</v>
      </c>
      <c r="FL22" s="207">
        <f t="shared" si="93"/>
        <v>3.5</v>
      </c>
      <c r="FM22" s="208">
        <f t="shared" si="94"/>
        <v>68.5</v>
      </c>
      <c r="FN22" s="205">
        <f t="shared" si="95"/>
        <v>2.4188272569444447</v>
      </c>
      <c r="FO22" s="206" t="str">
        <f t="shared" si="96"/>
        <v>(0.22)</v>
      </c>
      <c r="FP22" s="207">
        <v>2</v>
      </c>
      <c r="FQ22" s="207">
        <f t="shared" si="97"/>
        <v>3.5</v>
      </c>
      <c r="FR22" s="207">
        <v>1</v>
      </c>
      <c r="FS22" s="207">
        <f t="shared" si="98"/>
        <v>1.125</v>
      </c>
      <c r="FT22" s="207">
        <v>0</v>
      </c>
      <c r="FU22" s="207">
        <f t="shared" si="99"/>
        <v>0</v>
      </c>
      <c r="FV22" s="207">
        <f t="shared" si="100"/>
        <v>4.625</v>
      </c>
      <c r="FW22" s="208">
        <f t="shared" si="101"/>
        <v>73.375</v>
      </c>
      <c r="FX22" s="205">
        <f t="shared" si="102"/>
        <v>2.616618923611111</v>
      </c>
      <c r="FY22" s="206" t="str">
        <f t="shared" si="103"/>
        <v>(0.24)</v>
      </c>
      <c r="FZ22" s="207">
        <v>2</v>
      </c>
      <c r="GA22" s="207">
        <f t="shared" si="104"/>
        <v>3.5</v>
      </c>
      <c r="GB22" s="207">
        <v>1</v>
      </c>
      <c r="GC22" s="207">
        <f t="shared" si="105"/>
        <v>1.125</v>
      </c>
      <c r="GD22" s="207">
        <v>0</v>
      </c>
      <c r="GE22" s="207">
        <f t="shared" si="106"/>
        <v>0</v>
      </c>
      <c r="GF22" s="207">
        <f t="shared" si="107"/>
        <v>4.625</v>
      </c>
      <c r="GG22" s="208">
        <f t="shared" si="108"/>
        <v>79.375</v>
      </c>
      <c r="GH22" s="205">
        <f t="shared" si="109"/>
        <v>2.8144105902777778</v>
      </c>
      <c r="GI22" s="206" t="str">
        <f t="shared" si="110"/>
        <v>(0.26)</v>
      </c>
      <c r="GJ22" s="207">
        <v>2</v>
      </c>
      <c r="GK22" s="207">
        <f t="shared" si="111"/>
        <v>3.5</v>
      </c>
      <c r="GL22" s="207">
        <v>1</v>
      </c>
      <c r="GM22" s="207">
        <f t="shared" si="112"/>
        <v>1.125</v>
      </c>
      <c r="GN22" s="207">
        <v>0</v>
      </c>
      <c r="GO22" s="207">
        <f t="shared" si="113"/>
        <v>0</v>
      </c>
      <c r="GP22" s="207">
        <f t="shared" si="114"/>
        <v>4.625</v>
      </c>
      <c r="GQ22" s="208">
        <f t="shared" si="115"/>
        <v>85.375</v>
      </c>
      <c r="GR22" s="205">
        <f t="shared" si="116"/>
        <v>3.0122022569444442</v>
      </c>
      <c r="GS22" s="206" t="str">
        <f t="shared" si="117"/>
        <v>(0.28)</v>
      </c>
      <c r="GT22" s="207">
        <v>2</v>
      </c>
      <c r="GU22" s="207">
        <f t="shared" si="118"/>
        <v>3.5</v>
      </c>
      <c r="GV22" s="207">
        <v>1</v>
      </c>
      <c r="GW22" s="207">
        <f t="shared" si="119"/>
        <v>1.125</v>
      </c>
      <c r="GX22" s="207">
        <v>0</v>
      </c>
      <c r="GY22" s="207">
        <f t="shared" si="120"/>
        <v>0</v>
      </c>
      <c r="GZ22" s="207">
        <f t="shared" si="121"/>
        <v>4.625</v>
      </c>
      <c r="HA22" s="208">
        <f t="shared" si="122"/>
        <v>91.375</v>
      </c>
      <c r="HB22" s="205">
        <f t="shared" si="123"/>
        <v>3.209993923611111</v>
      </c>
      <c r="HC22" s="206" t="str">
        <f t="shared" si="124"/>
        <v>(0.30)</v>
      </c>
      <c r="HD22" s="207">
        <v>2</v>
      </c>
      <c r="HE22" s="207">
        <f t="shared" si="125"/>
        <v>3.5</v>
      </c>
      <c r="HF22" s="207">
        <v>1</v>
      </c>
      <c r="HG22" s="207">
        <f t="shared" si="126"/>
        <v>1.125</v>
      </c>
      <c r="HH22" s="207">
        <v>0</v>
      </c>
      <c r="HI22" s="207">
        <f t="shared" si="127"/>
        <v>0</v>
      </c>
      <c r="HJ22" s="207">
        <f t="shared" si="128"/>
        <v>4.625</v>
      </c>
      <c r="HK22" s="208">
        <f t="shared" si="129"/>
        <v>97.375</v>
      </c>
      <c r="HL22" s="205">
        <f t="shared" si="130"/>
        <v>3.3418550347222222</v>
      </c>
      <c r="HM22" s="206" t="str">
        <f t="shared" si="131"/>
        <v>(0.31)</v>
      </c>
      <c r="HN22" s="207">
        <v>2</v>
      </c>
      <c r="HO22" s="207">
        <f t="shared" si="132"/>
        <v>3.5</v>
      </c>
      <c r="HP22" s="207">
        <v>1</v>
      </c>
      <c r="HQ22" s="207">
        <f t="shared" si="133"/>
        <v>1.125</v>
      </c>
      <c r="HR22" s="207">
        <v>2</v>
      </c>
      <c r="HS22" s="207">
        <f t="shared" si="134"/>
        <v>2</v>
      </c>
      <c r="HT22" s="207">
        <f t="shared" si="135"/>
        <v>6.625</v>
      </c>
      <c r="HU22" s="208">
        <f t="shared" si="136"/>
        <v>101.375</v>
      </c>
      <c r="HV22" s="205">
        <f t="shared" si="137"/>
        <v>3.5396467013888886</v>
      </c>
      <c r="HW22" s="206" t="str">
        <f t="shared" si="138"/>
        <v>(0.33)</v>
      </c>
      <c r="HX22" s="207">
        <v>2</v>
      </c>
      <c r="HY22" s="207">
        <f t="shared" si="139"/>
        <v>3.5</v>
      </c>
      <c r="HZ22" s="207">
        <v>1</v>
      </c>
      <c r="IA22" s="207">
        <f t="shared" si="140"/>
        <v>1.125</v>
      </c>
      <c r="IB22" s="207">
        <v>2</v>
      </c>
      <c r="IC22" s="207">
        <f t="shared" si="141"/>
        <v>2</v>
      </c>
      <c r="ID22" s="207">
        <f t="shared" si="142"/>
        <v>6.625</v>
      </c>
      <c r="IE22" s="208">
        <f t="shared" si="143"/>
        <v>107.375</v>
      </c>
      <c r="IF22" s="205">
        <f t="shared" si="144"/>
        <v>3.737438368055555</v>
      </c>
      <c r="IG22" s="206" t="str">
        <f t="shared" si="145"/>
        <v>(0.35)</v>
      </c>
      <c r="IH22" s="21">
        <v>2</v>
      </c>
      <c r="II22" s="21">
        <f t="shared" si="146"/>
        <v>3.5</v>
      </c>
      <c r="IJ22" s="21">
        <v>1</v>
      </c>
      <c r="IK22" s="21">
        <f t="shared" si="147"/>
        <v>1.125</v>
      </c>
      <c r="IL22" s="21">
        <v>2</v>
      </c>
      <c r="IM22" s="21">
        <f t="shared" si="148"/>
        <v>2</v>
      </c>
      <c r="IN22" s="21">
        <f t="shared" si="149"/>
        <v>6.625</v>
      </c>
      <c r="IO22" s="22">
        <f t="shared" si="150"/>
        <v>113.375</v>
      </c>
      <c r="IP22" s="23"/>
      <c r="IQ22" s="24">
        <v>1</v>
      </c>
      <c r="IR22" s="25">
        <v>2.6549999999999998</v>
      </c>
      <c r="IS22" s="25">
        <v>2.6469999999999998</v>
      </c>
      <c r="IT22" s="25">
        <v>2.0920000000000001</v>
      </c>
      <c r="IU22" s="25">
        <v>1.75</v>
      </c>
      <c r="IV22" s="25">
        <v>1</v>
      </c>
      <c r="IW22" s="25">
        <v>1.125</v>
      </c>
      <c r="IX22" s="7"/>
    </row>
    <row r="23" spans="2:258" ht="15.75" thickBot="1" x14ac:dyDescent="0.3">
      <c r="B23" s="79">
        <f t="shared" si="9"/>
        <v>36</v>
      </c>
      <c r="C23" s="148">
        <v>7</v>
      </c>
      <c r="D23" s="487"/>
      <c r="E23" s="468">
        <f t="shared" si="0"/>
        <v>0.40589467592592587</v>
      </c>
      <c r="F23" s="468">
        <f t="shared" si="1"/>
        <v>0.4616057098765432</v>
      </c>
      <c r="G23" s="468">
        <f t="shared" si="2"/>
        <v>0.48946122685185173</v>
      </c>
      <c r="H23" s="468">
        <f t="shared" si="3"/>
        <v>0.50617453703703708</v>
      </c>
      <c r="I23" s="468">
        <f t="shared" si="4"/>
        <v>0.51731674382716042</v>
      </c>
      <c r="J23" s="468">
        <f t="shared" si="5"/>
        <v>0.5252754629629629</v>
      </c>
      <c r="K23" s="468">
        <f t="shared" si="6"/>
        <v>0.53124450231481479</v>
      </c>
      <c r="L23" s="468">
        <f t="shared" si="7"/>
        <v>0.5252754629629629</v>
      </c>
      <c r="M23" s="468">
        <f t="shared" si="8"/>
        <v>0.53005069444444441</v>
      </c>
      <c r="N23" s="488"/>
      <c r="O23" s="488"/>
      <c r="P23" s="488"/>
      <c r="Q23" s="488"/>
      <c r="R23" s="488"/>
      <c r="S23" s="488"/>
      <c r="T23" s="488"/>
      <c r="U23" s="488"/>
      <c r="V23" s="488"/>
      <c r="W23" s="488"/>
      <c r="X23" s="76"/>
      <c r="Y23" s="46"/>
      <c r="AA23" s="61"/>
      <c r="AT23" s="3"/>
      <c r="AU23" s="13">
        <f t="shared" ref="AU23:AU40" si="151">AU22+6</f>
        <v>18</v>
      </c>
      <c r="AV23" s="11" t="str">
        <f t="shared" si="10"/>
        <v>(450)</v>
      </c>
      <c r="AW23" s="18"/>
      <c r="AX23" s="19">
        <f t="shared" si="11"/>
        <v>0.33737152777777779</v>
      </c>
      <c r="AY23" s="20" t="str">
        <f t="shared" si="12"/>
        <v>(0.03)</v>
      </c>
      <c r="AZ23" s="21">
        <v>2</v>
      </c>
      <c r="BA23" s="21">
        <f t="shared" si="13"/>
        <v>3.5</v>
      </c>
      <c r="BB23" s="21">
        <v>0</v>
      </c>
      <c r="BC23" s="21">
        <f t="shared" si="14"/>
        <v>0</v>
      </c>
      <c r="BD23" s="21">
        <v>0</v>
      </c>
      <c r="BE23" s="21">
        <f t="shared" si="15"/>
        <v>0</v>
      </c>
      <c r="BF23" s="21">
        <f t="shared" si="16"/>
        <v>3.5</v>
      </c>
      <c r="BG23" s="22">
        <f t="shared" si="17"/>
        <v>5.5</v>
      </c>
      <c r="BH23" s="205">
        <f t="shared" si="18"/>
        <v>0.52139236111111109</v>
      </c>
      <c r="BI23" s="206" t="str">
        <f t="shared" si="19"/>
        <v>(0.05)</v>
      </c>
      <c r="BJ23" s="207">
        <v>2</v>
      </c>
      <c r="BK23" s="207">
        <f t="shared" si="20"/>
        <v>3.5</v>
      </c>
      <c r="BL23" s="207">
        <v>0</v>
      </c>
      <c r="BM23" s="207">
        <f t="shared" si="21"/>
        <v>0</v>
      </c>
      <c r="BN23" s="207">
        <v>0</v>
      </c>
      <c r="BO23" s="207">
        <f t="shared" si="22"/>
        <v>0</v>
      </c>
      <c r="BP23" s="207">
        <f t="shared" si="23"/>
        <v>3.5</v>
      </c>
      <c r="BQ23" s="208">
        <f t="shared" si="24"/>
        <v>8.5</v>
      </c>
      <c r="BR23" s="205">
        <f t="shared" si="25"/>
        <v>0.88943402777777769</v>
      </c>
      <c r="BS23" s="206" t="str">
        <f t="shared" si="26"/>
        <v>(0.08)</v>
      </c>
      <c r="BT23" s="207">
        <v>2</v>
      </c>
      <c r="BU23" s="207">
        <f t="shared" si="27"/>
        <v>3.5</v>
      </c>
      <c r="BV23" s="207">
        <v>0</v>
      </c>
      <c r="BW23" s="207">
        <f t="shared" si="28"/>
        <v>0</v>
      </c>
      <c r="BX23" s="207">
        <v>0</v>
      </c>
      <c r="BY23" s="207">
        <f t="shared" si="29"/>
        <v>0</v>
      </c>
      <c r="BZ23" s="207">
        <f t="shared" si="30"/>
        <v>3.5</v>
      </c>
      <c r="CA23" s="208">
        <f t="shared" si="31"/>
        <v>14.5</v>
      </c>
      <c r="CB23" s="205">
        <f t="shared" si="32"/>
        <v>1.2574756944444445</v>
      </c>
      <c r="CC23" s="206" t="str">
        <f t="shared" si="33"/>
        <v>(0.12)</v>
      </c>
      <c r="CD23" s="207">
        <v>2</v>
      </c>
      <c r="CE23" s="207">
        <f t="shared" si="34"/>
        <v>3.5</v>
      </c>
      <c r="CF23" s="207">
        <v>0</v>
      </c>
      <c r="CG23" s="207">
        <f t="shared" si="35"/>
        <v>0</v>
      </c>
      <c r="CH23" s="207">
        <v>0</v>
      </c>
      <c r="CI23" s="207">
        <f t="shared" si="36"/>
        <v>0</v>
      </c>
      <c r="CJ23" s="207">
        <f t="shared" si="37"/>
        <v>3.5</v>
      </c>
      <c r="CK23" s="208">
        <f t="shared" si="38"/>
        <v>20.5</v>
      </c>
      <c r="CL23" s="205">
        <f t="shared" si="39"/>
        <v>1.6255173611111111</v>
      </c>
      <c r="CM23" s="206" t="str">
        <f t="shared" si="40"/>
        <v>(0.15)</v>
      </c>
      <c r="CN23" s="207">
        <v>2</v>
      </c>
      <c r="CO23" s="207">
        <f t="shared" si="41"/>
        <v>3.5</v>
      </c>
      <c r="CP23" s="207">
        <v>0</v>
      </c>
      <c r="CQ23" s="207">
        <f t="shared" si="42"/>
        <v>0</v>
      </c>
      <c r="CR23" s="207">
        <v>0</v>
      </c>
      <c r="CS23" s="207">
        <f t="shared" si="43"/>
        <v>0</v>
      </c>
      <c r="CT23" s="207">
        <f t="shared" si="44"/>
        <v>3.5</v>
      </c>
      <c r="CU23" s="208">
        <f t="shared" si="45"/>
        <v>26.5</v>
      </c>
      <c r="CV23" s="205">
        <f t="shared" si="46"/>
        <v>1.9935590277777777</v>
      </c>
      <c r="CW23" s="206" t="str">
        <f t="shared" si="47"/>
        <v>(0.19)</v>
      </c>
      <c r="CX23" s="207">
        <v>2</v>
      </c>
      <c r="CY23" s="207">
        <f t="shared" si="48"/>
        <v>3.5</v>
      </c>
      <c r="CZ23" s="207">
        <v>0</v>
      </c>
      <c r="DA23" s="207">
        <f t="shared" si="49"/>
        <v>0</v>
      </c>
      <c r="DB23" s="207">
        <v>0</v>
      </c>
      <c r="DC23" s="207">
        <f t="shared" si="50"/>
        <v>0</v>
      </c>
      <c r="DD23" s="207">
        <f t="shared" si="51"/>
        <v>3.5</v>
      </c>
      <c r="DE23" s="208">
        <f t="shared" si="52"/>
        <v>32.5</v>
      </c>
      <c r="DF23" s="205">
        <f t="shared" si="53"/>
        <v>2.3616006944444443</v>
      </c>
      <c r="DG23" s="206" t="str">
        <f t="shared" si="54"/>
        <v>(0.22)</v>
      </c>
      <c r="DH23" s="207">
        <v>2</v>
      </c>
      <c r="DI23" s="207">
        <f t="shared" si="55"/>
        <v>3.5</v>
      </c>
      <c r="DJ23" s="207">
        <v>0</v>
      </c>
      <c r="DK23" s="207">
        <f t="shared" si="56"/>
        <v>0</v>
      </c>
      <c r="DL23" s="207">
        <v>0</v>
      </c>
      <c r="DM23" s="207">
        <f t="shared" si="57"/>
        <v>0</v>
      </c>
      <c r="DN23" s="207">
        <f t="shared" si="58"/>
        <v>3.5</v>
      </c>
      <c r="DO23" s="208">
        <f t="shared" si="59"/>
        <v>38.5</v>
      </c>
      <c r="DP23" s="205">
        <f t="shared" si="60"/>
        <v>2.7296423611111114</v>
      </c>
      <c r="DQ23" s="206" t="str">
        <f t="shared" si="61"/>
        <v>(0.25)</v>
      </c>
      <c r="DR23" s="207">
        <v>2</v>
      </c>
      <c r="DS23" s="207">
        <f t="shared" si="62"/>
        <v>3.5</v>
      </c>
      <c r="DT23" s="207">
        <v>0</v>
      </c>
      <c r="DU23" s="207">
        <f t="shared" si="63"/>
        <v>0</v>
      </c>
      <c r="DV23" s="207">
        <v>0</v>
      </c>
      <c r="DW23" s="207">
        <f t="shared" si="64"/>
        <v>0</v>
      </c>
      <c r="DX23" s="207">
        <f t="shared" si="65"/>
        <v>3.5</v>
      </c>
      <c r="DY23" s="208">
        <f t="shared" si="66"/>
        <v>44.5</v>
      </c>
      <c r="DZ23" s="205">
        <f t="shared" si="67"/>
        <v>3.0363437499999999</v>
      </c>
      <c r="EA23" s="206" t="str">
        <f t="shared" si="68"/>
        <v>(0.28)</v>
      </c>
      <c r="EB23" s="207">
        <v>2</v>
      </c>
      <c r="EC23" s="207">
        <f t="shared" si="69"/>
        <v>3.5</v>
      </c>
      <c r="ED23" s="207">
        <v>0</v>
      </c>
      <c r="EE23" s="207">
        <f t="shared" si="70"/>
        <v>0</v>
      </c>
      <c r="EF23" s="207">
        <v>1</v>
      </c>
      <c r="EG23" s="207">
        <f t="shared" si="71"/>
        <v>1</v>
      </c>
      <c r="EH23" s="207">
        <f t="shared" si="72"/>
        <v>4.5</v>
      </c>
      <c r="EI23" s="208">
        <f t="shared" si="73"/>
        <v>49.5</v>
      </c>
      <c r="EJ23" s="205">
        <f t="shared" si="74"/>
        <v>3.4043854166666665</v>
      </c>
      <c r="EK23" s="206" t="str">
        <f t="shared" si="75"/>
        <v>(0.32)</v>
      </c>
      <c r="EL23" s="207">
        <v>2</v>
      </c>
      <c r="EM23" s="207">
        <f t="shared" si="76"/>
        <v>3.5</v>
      </c>
      <c r="EN23" s="207">
        <v>0</v>
      </c>
      <c r="EO23" s="207">
        <f t="shared" si="77"/>
        <v>0</v>
      </c>
      <c r="EP23" s="207">
        <v>1</v>
      </c>
      <c r="EQ23" s="207">
        <f t="shared" si="78"/>
        <v>1</v>
      </c>
      <c r="ER23" s="207">
        <f t="shared" si="79"/>
        <v>4.5</v>
      </c>
      <c r="ES23" s="208">
        <f t="shared" si="80"/>
        <v>55.5</v>
      </c>
      <c r="ET23" s="205">
        <f t="shared" si="81"/>
        <v>3.7724270833333335</v>
      </c>
      <c r="EU23" s="206" t="str">
        <f t="shared" si="82"/>
        <v>(0.35)</v>
      </c>
      <c r="EV23" s="207">
        <v>2</v>
      </c>
      <c r="EW23" s="207">
        <f t="shared" si="83"/>
        <v>3.5</v>
      </c>
      <c r="EX23" s="207">
        <v>0</v>
      </c>
      <c r="EY23" s="207">
        <f t="shared" si="84"/>
        <v>0</v>
      </c>
      <c r="EZ23" s="207">
        <v>1</v>
      </c>
      <c r="FA23" s="207">
        <f t="shared" si="85"/>
        <v>1</v>
      </c>
      <c r="FB23" s="207">
        <f t="shared" si="86"/>
        <v>4.5</v>
      </c>
      <c r="FC23" s="208">
        <f t="shared" si="87"/>
        <v>61.5</v>
      </c>
      <c r="FD23" s="205">
        <f t="shared" si="88"/>
        <v>4.2018090277777782</v>
      </c>
      <c r="FE23" s="206" t="str">
        <f t="shared" si="89"/>
        <v>(0.39)</v>
      </c>
      <c r="FF23" s="207">
        <v>2</v>
      </c>
      <c r="FG23" s="207">
        <f t="shared" si="90"/>
        <v>3.5</v>
      </c>
      <c r="FH23" s="469">
        <v>0</v>
      </c>
      <c r="FI23" s="207">
        <f t="shared" si="91"/>
        <v>0</v>
      </c>
      <c r="FJ23" s="207">
        <v>0</v>
      </c>
      <c r="FK23" s="207">
        <f t="shared" si="92"/>
        <v>0</v>
      </c>
      <c r="FL23" s="207">
        <f t="shared" si="93"/>
        <v>3.5</v>
      </c>
      <c r="FM23" s="208">
        <f t="shared" si="94"/>
        <v>68.5</v>
      </c>
      <c r="FN23" s="205">
        <f t="shared" si="95"/>
        <v>4.500842881944445</v>
      </c>
      <c r="FO23" s="206" t="str">
        <f t="shared" si="96"/>
        <v>(0.42)</v>
      </c>
      <c r="FP23" s="207">
        <v>2</v>
      </c>
      <c r="FQ23" s="207">
        <f t="shared" si="97"/>
        <v>3.5</v>
      </c>
      <c r="FR23" s="207">
        <v>1</v>
      </c>
      <c r="FS23" s="207">
        <f t="shared" si="98"/>
        <v>1.125</v>
      </c>
      <c r="FT23" s="207">
        <v>0</v>
      </c>
      <c r="FU23" s="207">
        <f t="shared" si="99"/>
        <v>0</v>
      </c>
      <c r="FV23" s="207">
        <f t="shared" si="100"/>
        <v>4.625</v>
      </c>
      <c r="FW23" s="208">
        <f t="shared" si="101"/>
        <v>73.375</v>
      </c>
      <c r="FX23" s="205">
        <f t="shared" si="102"/>
        <v>4.8688845486111108</v>
      </c>
      <c r="FY23" s="206" t="str">
        <f t="shared" si="103"/>
        <v>(0.45)</v>
      </c>
      <c r="FZ23" s="207">
        <v>2</v>
      </c>
      <c r="GA23" s="207">
        <f t="shared" si="104"/>
        <v>3.5</v>
      </c>
      <c r="GB23" s="207">
        <v>1</v>
      </c>
      <c r="GC23" s="207">
        <f t="shared" si="105"/>
        <v>1.125</v>
      </c>
      <c r="GD23" s="207">
        <v>0</v>
      </c>
      <c r="GE23" s="207">
        <f t="shared" si="106"/>
        <v>0</v>
      </c>
      <c r="GF23" s="207">
        <f t="shared" si="107"/>
        <v>4.625</v>
      </c>
      <c r="GG23" s="208">
        <f t="shared" si="108"/>
        <v>79.375</v>
      </c>
      <c r="GH23" s="205">
        <f t="shared" si="109"/>
        <v>5.2369262152777782</v>
      </c>
      <c r="GI23" s="206" t="str">
        <f t="shared" si="110"/>
        <v>(0.49)</v>
      </c>
      <c r="GJ23" s="207">
        <v>2</v>
      </c>
      <c r="GK23" s="207">
        <f t="shared" si="111"/>
        <v>3.5</v>
      </c>
      <c r="GL23" s="207">
        <v>1</v>
      </c>
      <c r="GM23" s="207">
        <f t="shared" si="112"/>
        <v>1.125</v>
      </c>
      <c r="GN23" s="207">
        <v>0</v>
      </c>
      <c r="GO23" s="207">
        <f t="shared" si="113"/>
        <v>0</v>
      </c>
      <c r="GP23" s="207">
        <f t="shared" si="114"/>
        <v>4.625</v>
      </c>
      <c r="GQ23" s="208">
        <f t="shared" si="115"/>
        <v>85.375</v>
      </c>
      <c r="GR23" s="205">
        <f t="shared" si="116"/>
        <v>5.604967881944444</v>
      </c>
      <c r="GS23" s="206" t="str">
        <f t="shared" si="117"/>
        <v>(0.52)</v>
      </c>
      <c r="GT23" s="207">
        <v>2</v>
      </c>
      <c r="GU23" s="207">
        <f t="shared" si="118"/>
        <v>3.5</v>
      </c>
      <c r="GV23" s="207">
        <v>1</v>
      </c>
      <c r="GW23" s="207">
        <f t="shared" si="119"/>
        <v>1.125</v>
      </c>
      <c r="GX23" s="207">
        <v>0</v>
      </c>
      <c r="GY23" s="207">
        <f t="shared" si="120"/>
        <v>0</v>
      </c>
      <c r="GZ23" s="207">
        <f t="shared" si="121"/>
        <v>4.625</v>
      </c>
      <c r="HA23" s="208">
        <f t="shared" si="122"/>
        <v>91.375</v>
      </c>
      <c r="HB23" s="205">
        <f t="shared" si="123"/>
        <v>5.9730095486111114</v>
      </c>
      <c r="HC23" s="206" t="str">
        <f t="shared" si="124"/>
        <v>(0.55)</v>
      </c>
      <c r="HD23" s="207">
        <v>2</v>
      </c>
      <c r="HE23" s="207">
        <f t="shared" si="125"/>
        <v>3.5</v>
      </c>
      <c r="HF23" s="207">
        <v>1</v>
      </c>
      <c r="HG23" s="207">
        <f t="shared" si="126"/>
        <v>1.125</v>
      </c>
      <c r="HH23" s="207">
        <v>0</v>
      </c>
      <c r="HI23" s="207">
        <f t="shared" si="127"/>
        <v>0</v>
      </c>
      <c r="HJ23" s="207">
        <f t="shared" si="128"/>
        <v>4.625</v>
      </c>
      <c r="HK23" s="208">
        <f t="shared" si="129"/>
        <v>97.375</v>
      </c>
      <c r="HL23" s="205">
        <f t="shared" si="130"/>
        <v>6.2183706597222219</v>
      </c>
      <c r="HM23" s="206" t="str">
        <f t="shared" si="131"/>
        <v>(0.58)</v>
      </c>
      <c r="HN23" s="207">
        <v>2</v>
      </c>
      <c r="HO23" s="207">
        <f t="shared" si="132"/>
        <v>3.5</v>
      </c>
      <c r="HP23" s="207">
        <v>1</v>
      </c>
      <c r="HQ23" s="207">
        <f t="shared" si="133"/>
        <v>1.125</v>
      </c>
      <c r="HR23" s="207">
        <v>2</v>
      </c>
      <c r="HS23" s="207">
        <f t="shared" si="134"/>
        <v>2</v>
      </c>
      <c r="HT23" s="207">
        <f t="shared" si="135"/>
        <v>6.625</v>
      </c>
      <c r="HU23" s="208">
        <f t="shared" si="136"/>
        <v>101.375</v>
      </c>
      <c r="HV23" s="205">
        <f t="shared" si="137"/>
        <v>6.5864123263888894</v>
      </c>
      <c r="HW23" s="206" t="str">
        <f t="shared" si="138"/>
        <v>(0.61)</v>
      </c>
      <c r="HX23" s="207">
        <v>2</v>
      </c>
      <c r="HY23" s="207">
        <f t="shared" si="139"/>
        <v>3.5</v>
      </c>
      <c r="HZ23" s="207">
        <v>1</v>
      </c>
      <c r="IA23" s="207">
        <f t="shared" si="140"/>
        <v>1.125</v>
      </c>
      <c r="IB23" s="207">
        <v>2</v>
      </c>
      <c r="IC23" s="207">
        <f t="shared" si="141"/>
        <v>2</v>
      </c>
      <c r="ID23" s="207">
        <f t="shared" si="142"/>
        <v>6.625</v>
      </c>
      <c r="IE23" s="208">
        <f t="shared" si="143"/>
        <v>107.375</v>
      </c>
      <c r="IF23" s="205">
        <f t="shared" si="144"/>
        <v>6.9544539930555551</v>
      </c>
      <c r="IG23" s="206" t="str">
        <f t="shared" si="145"/>
        <v>(0.65)</v>
      </c>
      <c r="IH23" s="21">
        <v>2</v>
      </c>
      <c r="II23" s="21">
        <f t="shared" si="146"/>
        <v>3.5</v>
      </c>
      <c r="IJ23" s="21">
        <v>1</v>
      </c>
      <c r="IK23" s="21">
        <f t="shared" si="147"/>
        <v>1.125</v>
      </c>
      <c r="IL23" s="21">
        <v>2</v>
      </c>
      <c r="IM23" s="21">
        <f t="shared" si="148"/>
        <v>2</v>
      </c>
      <c r="IN23" s="21">
        <f t="shared" si="149"/>
        <v>6.625</v>
      </c>
      <c r="IO23" s="22">
        <f t="shared" si="150"/>
        <v>113.375</v>
      </c>
      <c r="IP23" s="23"/>
      <c r="IQ23" s="24">
        <v>3</v>
      </c>
      <c r="IR23" s="25">
        <v>2.6549999999999998</v>
      </c>
      <c r="IS23" s="25">
        <v>2.6469999999999998</v>
      </c>
      <c r="IT23" s="25">
        <v>0.88400000000000001</v>
      </c>
      <c r="IU23" s="25">
        <v>1.75</v>
      </c>
      <c r="IV23" s="25">
        <v>1</v>
      </c>
      <c r="IW23" s="25">
        <v>1.125</v>
      </c>
      <c r="IX23" s="7"/>
    </row>
    <row r="24" spans="2:258" ht="15.75" thickBot="1" x14ac:dyDescent="0.3">
      <c r="B24" s="79">
        <f t="shared" si="9"/>
        <v>42</v>
      </c>
      <c r="C24" s="147">
        <v>8</v>
      </c>
      <c r="D24" s="487"/>
      <c r="E24" s="468">
        <f t="shared" si="0"/>
        <v>0.41682043650793649</v>
      </c>
      <c r="F24" s="468">
        <f t="shared" si="1"/>
        <v>0.47403108465608462</v>
      </c>
      <c r="G24" s="468">
        <f t="shared" si="2"/>
        <v>0.50263640873015869</v>
      </c>
      <c r="H24" s="468">
        <f t="shared" si="3"/>
        <v>0.51979960317460316</v>
      </c>
      <c r="I24" s="468">
        <f t="shared" si="4"/>
        <v>0.5312417328042327</v>
      </c>
      <c r="J24" s="468">
        <f t="shared" si="5"/>
        <v>0.5394146825396825</v>
      </c>
      <c r="K24" s="468">
        <f t="shared" si="6"/>
        <v>0.54554439484126982</v>
      </c>
      <c r="L24" s="468">
        <f t="shared" si="7"/>
        <v>0.53941468253968261</v>
      </c>
      <c r="M24" s="468">
        <f t="shared" si="8"/>
        <v>0.54431845238095233</v>
      </c>
      <c r="N24" s="488"/>
      <c r="O24" s="488"/>
      <c r="P24" s="488"/>
      <c r="Q24" s="488"/>
      <c r="R24" s="488"/>
      <c r="S24" s="488"/>
      <c r="T24" s="488"/>
      <c r="U24" s="488"/>
      <c r="V24" s="488"/>
      <c r="W24" s="488"/>
      <c r="X24" s="76"/>
      <c r="Y24" s="46"/>
      <c r="AA24" s="61"/>
      <c r="AT24" s="3"/>
      <c r="AU24" s="13">
        <f t="shared" si="151"/>
        <v>24</v>
      </c>
      <c r="AV24" s="11" t="str">
        <f t="shared" si="10"/>
        <v>(600)</v>
      </c>
      <c r="AW24" s="18"/>
      <c r="AX24" s="19">
        <f t="shared" si="11"/>
        <v>0.48461111111111105</v>
      </c>
      <c r="AY24" s="20" t="str">
        <f t="shared" si="12"/>
        <v>(0.05)</v>
      </c>
      <c r="AZ24" s="21">
        <v>2</v>
      </c>
      <c r="BA24" s="21">
        <f t="shared" si="13"/>
        <v>3.5</v>
      </c>
      <c r="BB24" s="21">
        <v>0</v>
      </c>
      <c r="BC24" s="21">
        <f t="shared" si="14"/>
        <v>0</v>
      </c>
      <c r="BD24" s="21">
        <v>0</v>
      </c>
      <c r="BE24" s="21">
        <f t="shared" si="15"/>
        <v>0</v>
      </c>
      <c r="BF24" s="21">
        <f t="shared" si="16"/>
        <v>3.5</v>
      </c>
      <c r="BG24" s="22">
        <f t="shared" si="17"/>
        <v>5.5</v>
      </c>
      <c r="BH24" s="205">
        <f>($IR24+(($IQ24-1)*$IS24)+$IT24)*BQ24/144</f>
        <v>0.7489444444444443</v>
      </c>
      <c r="BI24" s="206" t="str">
        <f t="shared" si="19"/>
        <v>(0.07)</v>
      </c>
      <c r="BJ24" s="207">
        <v>2</v>
      </c>
      <c r="BK24" s="207">
        <f t="shared" si="20"/>
        <v>3.5</v>
      </c>
      <c r="BL24" s="207">
        <v>0</v>
      </c>
      <c r="BM24" s="207">
        <f t="shared" si="21"/>
        <v>0</v>
      </c>
      <c r="BN24" s="207">
        <v>0</v>
      </c>
      <c r="BO24" s="207">
        <f t="shared" si="22"/>
        <v>0</v>
      </c>
      <c r="BP24" s="207">
        <f t="shared" si="23"/>
        <v>3.5</v>
      </c>
      <c r="BQ24" s="208">
        <f t="shared" si="24"/>
        <v>8.5</v>
      </c>
      <c r="BR24" s="205">
        <f t="shared" si="25"/>
        <v>1.2776111111111108</v>
      </c>
      <c r="BS24" s="206" t="str">
        <f t="shared" si="26"/>
        <v>(0.12)</v>
      </c>
      <c r="BT24" s="207">
        <v>2</v>
      </c>
      <c r="BU24" s="207">
        <f t="shared" si="27"/>
        <v>3.5</v>
      </c>
      <c r="BV24" s="207">
        <v>0</v>
      </c>
      <c r="BW24" s="207">
        <f t="shared" si="28"/>
        <v>0</v>
      </c>
      <c r="BX24" s="207">
        <v>0</v>
      </c>
      <c r="BY24" s="207">
        <f t="shared" si="29"/>
        <v>0</v>
      </c>
      <c r="BZ24" s="207">
        <f t="shared" si="30"/>
        <v>3.5</v>
      </c>
      <c r="CA24" s="208">
        <f t="shared" si="31"/>
        <v>14.5</v>
      </c>
      <c r="CB24" s="205">
        <f t="shared" si="32"/>
        <v>1.8062777777777776</v>
      </c>
      <c r="CC24" s="206" t="str">
        <f t="shared" si="33"/>
        <v>(0.17)</v>
      </c>
      <c r="CD24" s="207">
        <v>2</v>
      </c>
      <c r="CE24" s="207">
        <f t="shared" si="34"/>
        <v>3.5</v>
      </c>
      <c r="CF24" s="207">
        <v>0</v>
      </c>
      <c r="CG24" s="207">
        <f t="shared" si="35"/>
        <v>0</v>
      </c>
      <c r="CH24" s="207">
        <v>0</v>
      </c>
      <c r="CI24" s="207">
        <f t="shared" si="36"/>
        <v>0</v>
      </c>
      <c r="CJ24" s="207">
        <f t="shared" si="37"/>
        <v>3.5</v>
      </c>
      <c r="CK24" s="208">
        <f t="shared" si="38"/>
        <v>20.5</v>
      </c>
      <c r="CL24" s="205">
        <f t="shared" si="39"/>
        <v>2.334944444444444</v>
      </c>
      <c r="CM24" s="206" t="str">
        <f t="shared" si="40"/>
        <v>(0.22)</v>
      </c>
      <c r="CN24" s="207">
        <v>2</v>
      </c>
      <c r="CO24" s="207">
        <f t="shared" si="41"/>
        <v>3.5</v>
      </c>
      <c r="CP24" s="207">
        <v>0</v>
      </c>
      <c r="CQ24" s="207">
        <f t="shared" si="42"/>
        <v>0</v>
      </c>
      <c r="CR24" s="207">
        <v>0</v>
      </c>
      <c r="CS24" s="207">
        <f t="shared" si="43"/>
        <v>0</v>
      </c>
      <c r="CT24" s="207">
        <f t="shared" si="44"/>
        <v>3.5</v>
      </c>
      <c r="CU24" s="208">
        <f t="shared" si="45"/>
        <v>26.5</v>
      </c>
      <c r="CV24" s="205">
        <f t="shared" si="46"/>
        <v>2.8636111111111107</v>
      </c>
      <c r="CW24" s="206" t="str">
        <f t="shared" si="47"/>
        <v>(0.27)</v>
      </c>
      <c r="CX24" s="207">
        <v>2</v>
      </c>
      <c r="CY24" s="207">
        <f t="shared" si="48"/>
        <v>3.5</v>
      </c>
      <c r="CZ24" s="207">
        <v>0</v>
      </c>
      <c r="DA24" s="207">
        <f t="shared" si="49"/>
        <v>0</v>
      </c>
      <c r="DB24" s="207">
        <v>0</v>
      </c>
      <c r="DC24" s="207">
        <f t="shared" si="50"/>
        <v>0</v>
      </c>
      <c r="DD24" s="207">
        <f t="shared" si="51"/>
        <v>3.5</v>
      </c>
      <c r="DE24" s="208">
        <f t="shared" si="52"/>
        <v>32.5</v>
      </c>
      <c r="DF24" s="205">
        <f t="shared" si="53"/>
        <v>3.3922777777777773</v>
      </c>
      <c r="DG24" s="206" t="str">
        <f t="shared" si="54"/>
        <v>(0.32)</v>
      </c>
      <c r="DH24" s="207">
        <v>2</v>
      </c>
      <c r="DI24" s="207">
        <f t="shared" si="55"/>
        <v>3.5</v>
      </c>
      <c r="DJ24" s="207">
        <v>0</v>
      </c>
      <c r="DK24" s="207">
        <f t="shared" si="56"/>
        <v>0</v>
      </c>
      <c r="DL24" s="207">
        <v>0</v>
      </c>
      <c r="DM24" s="207">
        <f t="shared" si="57"/>
        <v>0</v>
      </c>
      <c r="DN24" s="207">
        <f t="shared" si="58"/>
        <v>3.5</v>
      </c>
      <c r="DO24" s="208">
        <f t="shared" si="59"/>
        <v>38.5</v>
      </c>
      <c r="DP24" s="205">
        <f t="shared" si="60"/>
        <v>3.9209444444444443</v>
      </c>
      <c r="DQ24" s="206" t="str">
        <f t="shared" si="61"/>
        <v>(0.36)</v>
      </c>
      <c r="DR24" s="207">
        <v>2</v>
      </c>
      <c r="DS24" s="207">
        <f t="shared" si="62"/>
        <v>3.5</v>
      </c>
      <c r="DT24" s="207">
        <v>0</v>
      </c>
      <c r="DU24" s="207">
        <f t="shared" si="63"/>
        <v>0</v>
      </c>
      <c r="DV24" s="207">
        <v>0</v>
      </c>
      <c r="DW24" s="207">
        <f t="shared" si="64"/>
        <v>0</v>
      </c>
      <c r="DX24" s="207">
        <f t="shared" si="65"/>
        <v>3.5</v>
      </c>
      <c r="DY24" s="208">
        <f t="shared" si="66"/>
        <v>44.5</v>
      </c>
      <c r="DZ24" s="205">
        <f t="shared" si="67"/>
        <v>4.3614999999999995</v>
      </c>
      <c r="EA24" s="206" t="str">
        <f t="shared" si="68"/>
        <v>(0.41)</v>
      </c>
      <c r="EB24" s="207">
        <v>2</v>
      </c>
      <c r="EC24" s="207">
        <f t="shared" si="69"/>
        <v>3.5</v>
      </c>
      <c r="ED24" s="207">
        <v>0</v>
      </c>
      <c r="EE24" s="207">
        <f t="shared" si="70"/>
        <v>0</v>
      </c>
      <c r="EF24" s="207">
        <v>1</v>
      </c>
      <c r="EG24" s="207">
        <f t="shared" si="71"/>
        <v>1</v>
      </c>
      <c r="EH24" s="207">
        <f t="shared" si="72"/>
        <v>4.5</v>
      </c>
      <c r="EI24" s="208">
        <f t="shared" si="73"/>
        <v>49.5</v>
      </c>
      <c r="EJ24" s="205">
        <f t="shared" si="74"/>
        <v>4.8901666666666666</v>
      </c>
      <c r="EK24" s="206" t="str">
        <f t="shared" si="75"/>
        <v>(0.45)</v>
      </c>
      <c r="EL24" s="207">
        <v>2</v>
      </c>
      <c r="EM24" s="207">
        <f t="shared" si="76"/>
        <v>3.5</v>
      </c>
      <c r="EN24" s="207">
        <v>0</v>
      </c>
      <c r="EO24" s="207">
        <f t="shared" si="77"/>
        <v>0</v>
      </c>
      <c r="EP24" s="207">
        <v>1</v>
      </c>
      <c r="EQ24" s="207">
        <f t="shared" si="78"/>
        <v>1</v>
      </c>
      <c r="ER24" s="207">
        <f t="shared" si="79"/>
        <v>4.5</v>
      </c>
      <c r="ES24" s="208">
        <f t="shared" si="80"/>
        <v>55.5</v>
      </c>
      <c r="ET24" s="205">
        <f t="shared" si="81"/>
        <v>5.4188333333333327</v>
      </c>
      <c r="EU24" s="206" t="str">
        <f t="shared" si="82"/>
        <v>(0.50)</v>
      </c>
      <c r="EV24" s="207">
        <v>2</v>
      </c>
      <c r="EW24" s="207">
        <f t="shared" si="83"/>
        <v>3.5</v>
      </c>
      <c r="EX24" s="207">
        <v>0</v>
      </c>
      <c r="EY24" s="207">
        <f t="shared" si="84"/>
        <v>0</v>
      </c>
      <c r="EZ24" s="207">
        <v>1</v>
      </c>
      <c r="FA24" s="207">
        <f t="shared" si="85"/>
        <v>1</v>
      </c>
      <c r="FB24" s="207">
        <f t="shared" si="86"/>
        <v>4.5</v>
      </c>
      <c r="FC24" s="208">
        <f t="shared" si="87"/>
        <v>61.5</v>
      </c>
      <c r="FD24" s="205">
        <f t="shared" si="88"/>
        <v>6.0356111111111108</v>
      </c>
      <c r="FE24" s="206" t="str">
        <f t="shared" si="89"/>
        <v>(0.56)</v>
      </c>
      <c r="FF24" s="207">
        <v>2</v>
      </c>
      <c r="FG24" s="207">
        <f t="shared" si="90"/>
        <v>3.5</v>
      </c>
      <c r="FH24" s="469">
        <v>0</v>
      </c>
      <c r="FI24" s="207">
        <f t="shared" si="91"/>
        <v>0</v>
      </c>
      <c r="FJ24" s="207">
        <v>0</v>
      </c>
      <c r="FK24" s="207">
        <f t="shared" si="92"/>
        <v>0</v>
      </c>
      <c r="FL24" s="207">
        <f t="shared" si="93"/>
        <v>3.5</v>
      </c>
      <c r="FM24" s="208">
        <f t="shared" si="94"/>
        <v>68.5</v>
      </c>
      <c r="FN24" s="205">
        <f t="shared" si="95"/>
        <v>6.465152777777778</v>
      </c>
      <c r="FO24" s="206" t="str">
        <f t="shared" si="96"/>
        <v>(0.60)</v>
      </c>
      <c r="FP24" s="207">
        <v>2</v>
      </c>
      <c r="FQ24" s="207">
        <f t="shared" si="97"/>
        <v>3.5</v>
      </c>
      <c r="FR24" s="207">
        <v>1</v>
      </c>
      <c r="FS24" s="207">
        <f t="shared" si="98"/>
        <v>1.125</v>
      </c>
      <c r="FT24" s="207">
        <v>0</v>
      </c>
      <c r="FU24" s="207">
        <f t="shared" si="99"/>
        <v>0</v>
      </c>
      <c r="FV24" s="207">
        <f t="shared" si="100"/>
        <v>4.625</v>
      </c>
      <c r="FW24" s="208">
        <f t="shared" si="101"/>
        <v>73.375</v>
      </c>
      <c r="FX24" s="205">
        <f t="shared" si="102"/>
        <v>6.9938194444444441</v>
      </c>
      <c r="FY24" s="206" t="str">
        <f t="shared" si="103"/>
        <v>(0.65)</v>
      </c>
      <c r="FZ24" s="207">
        <v>2</v>
      </c>
      <c r="GA24" s="207">
        <f t="shared" si="104"/>
        <v>3.5</v>
      </c>
      <c r="GB24" s="207">
        <v>1</v>
      </c>
      <c r="GC24" s="207">
        <f t="shared" si="105"/>
        <v>1.125</v>
      </c>
      <c r="GD24" s="207">
        <v>0</v>
      </c>
      <c r="GE24" s="207">
        <f t="shared" si="106"/>
        <v>0</v>
      </c>
      <c r="GF24" s="207">
        <f t="shared" si="107"/>
        <v>4.625</v>
      </c>
      <c r="GG24" s="208">
        <f t="shared" si="108"/>
        <v>79.375</v>
      </c>
      <c r="GH24" s="205">
        <f t="shared" si="109"/>
        <v>7.5224861111111103</v>
      </c>
      <c r="GI24" s="206" t="str">
        <f t="shared" si="110"/>
        <v>(0.70)</v>
      </c>
      <c r="GJ24" s="207">
        <v>2</v>
      </c>
      <c r="GK24" s="207">
        <f t="shared" si="111"/>
        <v>3.5</v>
      </c>
      <c r="GL24" s="207">
        <v>1</v>
      </c>
      <c r="GM24" s="207">
        <f t="shared" si="112"/>
        <v>1.125</v>
      </c>
      <c r="GN24" s="207">
        <v>0</v>
      </c>
      <c r="GO24" s="207">
        <f t="shared" si="113"/>
        <v>0</v>
      </c>
      <c r="GP24" s="207">
        <f t="shared" si="114"/>
        <v>4.625</v>
      </c>
      <c r="GQ24" s="208">
        <f t="shared" si="115"/>
        <v>85.375</v>
      </c>
      <c r="GR24" s="205">
        <f t="shared" si="116"/>
        <v>8.0511527777777783</v>
      </c>
      <c r="GS24" s="206" t="str">
        <f t="shared" si="117"/>
        <v>(0.75)</v>
      </c>
      <c r="GT24" s="207">
        <v>2</v>
      </c>
      <c r="GU24" s="207">
        <f t="shared" si="118"/>
        <v>3.5</v>
      </c>
      <c r="GV24" s="207">
        <v>1</v>
      </c>
      <c r="GW24" s="207">
        <f t="shared" si="119"/>
        <v>1.125</v>
      </c>
      <c r="GX24" s="207">
        <v>0</v>
      </c>
      <c r="GY24" s="207">
        <f t="shared" si="120"/>
        <v>0</v>
      </c>
      <c r="GZ24" s="207">
        <f t="shared" si="121"/>
        <v>4.625</v>
      </c>
      <c r="HA24" s="208">
        <f t="shared" si="122"/>
        <v>91.375</v>
      </c>
      <c r="HB24" s="205">
        <f t="shared" si="123"/>
        <v>8.5798194444444444</v>
      </c>
      <c r="HC24" s="206" t="str">
        <f t="shared" si="124"/>
        <v>(0.80)</v>
      </c>
      <c r="HD24" s="207">
        <v>2</v>
      </c>
      <c r="HE24" s="207">
        <f t="shared" si="125"/>
        <v>3.5</v>
      </c>
      <c r="HF24" s="207">
        <v>1</v>
      </c>
      <c r="HG24" s="207">
        <f t="shared" si="126"/>
        <v>1.125</v>
      </c>
      <c r="HH24" s="207">
        <v>0</v>
      </c>
      <c r="HI24" s="207">
        <f t="shared" si="127"/>
        <v>0</v>
      </c>
      <c r="HJ24" s="207">
        <f t="shared" si="128"/>
        <v>4.625</v>
      </c>
      <c r="HK24" s="208">
        <f t="shared" si="129"/>
        <v>97.375</v>
      </c>
      <c r="HL24" s="205">
        <f t="shared" si="130"/>
        <v>8.9322638888888886</v>
      </c>
      <c r="HM24" s="206" t="str">
        <f t="shared" si="131"/>
        <v>(0.83)</v>
      </c>
      <c r="HN24" s="207">
        <v>2</v>
      </c>
      <c r="HO24" s="207">
        <f t="shared" si="132"/>
        <v>3.5</v>
      </c>
      <c r="HP24" s="207">
        <v>1</v>
      </c>
      <c r="HQ24" s="207">
        <f t="shared" si="133"/>
        <v>1.125</v>
      </c>
      <c r="HR24" s="207">
        <v>2</v>
      </c>
      <c r="HS24" s="207">
        <f t="shared" si="134"/>
        <v>2</v>
      </c>
      <c r="HT24" s="207">
        <f t="shared" si="135"/>
        <v>6.625</v>
      </c>
      <c r="HU24" s="208">
        <f t="shared" si="136"/>
        <v>101.375</v>
      </c>
      <c r="HV24" s="205">
        <f t="shared" si="137"/>
        <v>9.4609305555555547</v>
      </c>
      <c r="HW24" s="206" t="str">
        <f t="shared" si="138"/>
        <v>(0.88)</v>
      </c>
      <c r="HX24" s="207">
        <v>2</v>
      </c>
      <c r="HY24" s="207">
        <f t="shared" si="139"/>
        <v>3.5</v>
      </c>
      <c r="HZ24" s="207">
        <v>1</v>
      </c>
      <c r="IA24" s="207">
        <f t="shared" si="140"/>
        <v>1.125</v>
      </c>
      <c r="IB24" s="207">
        <v>2</v>
      </c>
      <c r="IC24" s="207">
        <f t="shared" si="141"/>
        <v>2</v>
      </c>
      <c r="ID24" s="207">
        <f t="shared" si="142"/>
        <v>6.625</v>
      </c>
      <c r="IE24" s="208">
        <f t="shared" si="143"/>
        <v>107.375</v>
      </c>
      <c r="IF24" s="205">
        <f t="shared" si="144"/>
        <v>9.9895972222222227</v>
      </c>
      <c r="IG24" s="206" t="str">
        <f t="shared" si="145"/>
        <v>(0.93)</v>
      </c>
      <c r="IH24" s="21">
        <v>2</v>
      </c>
      <c r="II24" s="21">
        <f t="shared" si="146"/>
        <v>3.5</v>
      </c>
      <c r="IJ24" s="21">
        <v>1</v>
      </c>
      <c r="IK24" s="21">
        <f t="shared" si="147"/>
        <v>1.125</v>
      </c>
      <c r="IL24" s="21">
        <v>2</v>
      </c>
      <c r="IM24" s="21">
        <f t="shared" si="148"/>
        <v>2</v>
      </c>
      <c r="IN24" s="21">
        <f t="shared" si="149"/>
        <v>6.625</v>
      </c>
      <c r="IO24" s="22">
        <f t="shared" si="150"/>
        <v>113.375</v>
      </c>
      <c r="IP24" s="23"/>
      <c r="IQ24" s="24">
        <v>4</v>
      </c>
      <c r="IR24" s="25">
        <v>2.6549999999999998</v>
      </c>
      <c r="IS24" s="25">
        <v>2.6469999999999998</v>
      </c>
      <c r="IT24" s="25">
        <v>2.0920000000000001</v>
      </c>
      <c r="IU24" s="25">
        <v>1.75</v>
      </c>
      <c r="IV24" s="25">
        <v>1</v>
      </c>
      <c r="IW24" s="25">
        <v>1.125</v>
      </c>
      <c r="IX24" s="7"/>
    </row>
    <row r="25" spans="2:258" ht="15.75" thickBot="1" x14ac:dyDescent="0.3">
      <c r="B25" s="80">
        <f t="shared" si="9"/>
        <v>48</v>
      </c>
      <c r="C25" s="148">
        <v>9</v>
      </c>
      <c r="D25" s="487"/>
      <c r="E25" s="468">
        <f t="shared" si="0"/>
        <v>0.42160590277777771</v>
      </c>
      <c r="F25" s="468">
        <f t="shared" si="1"/>
        <v>0.47947337962962955</v>
      </c>
      <c r="G25" s="468">
        <f t="shared" si="2"/>
        <v>0.5084071180555555</v>
      </c>
      <c r="H25" s="468">
        <f>CL28/((H$16*$B25)/144)</f>
        <v>0.52576736111111111</v>
      </c>
      <c r="I25" s="468">
        <f t="shared" si="4"/>
        <v>0.53734085648148133</v>
      </c>
      <c r="J25" s="468">
        <f t="shared" si="5"/>
        <v>0.54560763888888886</v>
      </c>
      <c r="K25" s="468">
        <f t="shared" si="6"/>
        <v>0.55180772569444436</v>
      </c>
      <c r="L25" s="468">
        <f t="shared" si="7"/>
        <v>0.54560763888888886</v>
      </c>
      <c r="M25" s="468">
        <f t="shared" si="8"/>
        <v>0.55056770833333324</v>
      </c>
      <c r="N25" s="488"/>
      <c r="O25" s="488"/>
      <c r="P25" s="488"/>
      <c r="Q25" s="488"/>
      <c r="R25" s="488"/>
      <c r="S25" s="488"/>
      <c r="T25" s="488"/>
      <c r="U25" s="488"/>
      <c r="V25" s="488"/>
      <c r="W25" s="488"/>
      <c r="X25" s="76"/>
      <c r="Y25" s="46"/>
      <c r="AA25" s="61"/>
      <c r="AT25" s="3"/>
      <c r="AU25" s="26">
        <f t="shared" si="151"/>
        <v>30</v>
      </c>
      <c r="AV25" s="27" t="str">
        <f t="shared" si="10"/>
        <v>(750)</v>
      </c>
      <c r="AW25" s="18"/>
      <c r="AX25" s="19">
        <f t="shared" si="11"/>
        <v>0.6406736111111111</v>
      </c>
      <c r="AY25" s="28" t="str">
        <f t="shared" si="12"/>
        <v>(0.06)</v>
      </c>
      <c r="AZ25" s="21">
        <v>2</v>
      </c>
      <c r="BA25" s="21">
        <f t="shared" si="13"/>
        <v>3.5</v>
      </c>
      <c r="BB25" s="29">
        <v>0</v>
      </c>
      <c r="BC25" s="21">
        <f t="shared" si="14"/>
        <v>0</v>
      </c>
      <c r="BD25" s="29">
        <v>0</v>
      </c>
      <c r="BE25" s="21">
        <f t="shared" si="15"/>
        <v>0</v>
      </c>
      <c r="BF25" s="21">
        <f t="shared" si="16"/>
        <v>3.5</v>
      </c>
      <c r="BG25" s="22">
        <f t="shared" si="17"/>
        <v>5.5</v>
      </c>
      <c r="BH25" s="205">
        <f t="shared" si="18"/>
        <v>0.9901319444444443</v>
      </c>
      <c r="BI25" s="206" t="str">
        <f t="shared" si="19"/>
        <v>(0.09)</v>
      </c>
      <c r="BJ25" s="207">
        <v>2</v>
      </c>
      <c r="BK25" s="207">
        <f t="shared" si="20"/>
        <v>3.5</v>
      </c>
      <c r="BL25" s="207">
        <v>0</v>
      </c>
      <c r="BM25" s="207">
        <f t="shared" si="21"/>
        <v>0</v>
      </c>
      <c r="BN25" s="207">
        <v>0</v>
      </c>
      <c r="BO25" s="207">
        <f t="shared" si="22"/>
        <v>0</v>
      </c>
      <c r="BP25" s="207">
        <f t="shared" si="23"/>
        <v>3.5</v>
      </c>
      <c r="BQ25" s="208">
        <f t="shared" si="24"/>
        <v>8.5</v>
      </c>
      <c r="BR25" s="205">
        <f t="shared" si="25"/>
        <v>1.6890486111111107</v>
      </c>
      <c r="BS25" s="206" t="str">
        <f t="shared" si="26"/>
        <v>(0.16)</v>
      </c>
      <c r="BT25" s="207">
        <v>2</v>
      </c>
      <c r="BU25" s="207">
        <f t="shared" si="27"/>
        <v>3.5</v>
      </c>
      <c r="BV25" s="207">
        <v>0</v>
      </c>
      <c r="BW25" s="207">
        <f t="shared" si="28"/>
        <v>0</v>
      </c>
      <c r="BX25" s="207">
        <v>0</v>
      </c>
      <c r="BY25" s="207">
        <f t="shared" si="29"/>
        <v>0</v>
      </c>
      <c r="BZ25" s="207">
        <f t="shared" si="30"/>
        <v>3.5</v>
      </c>
      <c r="CA25" s="208">
        <f t="shared" si="31"/>
        <v>14.5</v>
      </c>
      <c r="CB25" s="205">
        <f t="shared" si="32"/>
        <v>2.3879652777777776</v>
      </c>
      <c r="CC25" s="206" t="str">
        <f t="shared" si="33"/>
        <v>(0.22)</v>
      </c>
      <c r="CD25" s="207">
        <v>2</v>
      </c>
      <c r="CE25" s="207">
        <f t="shared" si="34"/>
        <v>3.5</v>
      </c>
      <c r="CF25" s="207">
        <v>0</v>
      </c>
      <c r="CG25" s="207">
        <f t="shared" si="35"/>
        <v>0</v>
      </c>
      <c r="CH25" s="207">
        <v>0</v>
      </c>
      <c r="CI25" s="207">
        <f t="shared" si="36"/>
        <v>0</v>
      </c>
      <c r="CJ25" s="207">
        <f t="shared" si="37"/>
        <v>3.5</v>
      </c>
      <c r="CK25" s="208">
        <f t="shared" si="38"/>
        <v>20.5</v>
      </c>
      <c r="CL25" s="205">
        <f t="shared" si="39"/>
        <v>3.086881944444444</v>
      </c>
      <c r="CM25" s="206" t="str">
        <f t="shared" si="40"/>
        <v>(0.29)</v>
      </c>
      <c r="CN25" s="207">
        <v>2</v>
      </c>
      <c r="CO25" s="207">
        <f t="shared" si="41"/>
        <v>3.5</v>
      </c>
      <c r="CP25" s="207">
        <v>0</v>
      </c>
      <c r="CQ25" s="207">
        <f t="shared" si="42"/>
        <v>0</v>
      </c>
      <c r="CR25" s="207">
        <v>0</v>
      </c>
      <c r="CS25" s="207">
        <f t="shared" si="43"/>
        <v>0</v>
      </c>
      <c r="CT25" s="207">
        <f t="shared" si="44"/>
        <v>3.5</v>
      </c>
      <c r="CU25" s="208">
        <f t="shared" si="45"/>
        <v>26.5</v>
      </c>
      <c r="CV25" s="205">
        <f t="shared" si="46"/>
        <v>3.7857986111111099</v>
      </c>
      <c r="CW25" s="206" t="str">
        <f t="shared" si="47"/>
        <v>(0.35)</v>
      </c>
      <c r="CX25" s="207">
        <v>2</v>
      </c>
      <c r="CY25" s="207">
        <f t="shared" si="48"/>
        <v>3.5</v>
      </c>
      <c r="CZ25" s="207">
        <v>0</v>
      </c>
      <c r="DA25" s="207">
        <f t="shared" si="49"/>
        <v>0</v>
      </c>
      <c r="DB25" s="207">
        <v>0</v>
      </c>
      <c r="DC25" s="207">
        <f t="shared" si="50"/>
        <v>0</v>
      </c>
      <c r="DD25" s="207">
        <f t="shared" si="51"/>
        <v>3.5</v>
      </c>
      <c r="DE25" s="208">
        <f t="shared" si="52"/>
        <v>32.5</v>
      </c>
      <c r="DF25" s="205">
        <f t="shared" si="53"/>
        <v>4.4847152777777772</v>
      </c>
      <c r="DG25" s="206" t="str">
        <f t="shared" si="54"/>
        <v>(0.42)</v>
      </c>
      <c r="DH25" s="207">
        <v>2</v>
      </c>
      <c r="DI25" s="207">
        <f t="shared" si="55"/>
        <v>3.5</v>
      </c>
      <c r="DJ25" s="207">
        <v>0</v>
      </c>
      <c r="DK25" s="207">
        <f t="shared" si="56"/>
        <v>0</v>
      </c>
      <c r="DL25" s="207">
        <v>0</v>
      </c>
      <c r="DM25" s="207">
        <f t="shared" si="57"/>
        <v>0</v>
      </c>
      <c r="DN25" s="207">
        <f t="shared" si="58"/>
        <v>3.5</v>
      </c>
      <c r="DO25" s="208">
        <f t="shared" si="59"/>
        <v>38.5</v>
      </c>
      <c r="DP25" s="205">
        <f t="shared" si="60"/>
        <v>5.1836319444444436</v>
      </c>
      <c r="DQ25" s="206" t="str">
        <f t="shared" si="61"/>
        <v>(0.48)</v>
      </c>
      <c r="DR25" s="207">
        <v>2</v>
      </c>
      <c r="DS25" s="207">
        <f t="shared" si="62"/>
        <v>3.5</v>
      </c>
      <c r="DT25" s="207">
        <v>0</v>
      </c>
      <c r="DU25" s="207">
        <f t="shared" si="63"/>
        <v>0</v>
      </c>
      <c r="DV25" s="207">
        <v>0</v>
      </c>
      <c r="DW25" s="207">
        <f t="shared" si="64"/>
        <v>0</v>
      </c>
      <c r="DX25" s="207">
        <f t="shared" si="65"/>
        <v>3.5</v>
      </c>
      <c r="DY25" s="208">
        <f t="shared" si="66"/>
        <v>44.5</v>
      </c>
      <c r="DZ25" s="205">
        <f t="shared" si="67"/>
        <v>5.7660624999999994</v>
      </c>
      <c r="EA25" s="206" t="str">
        <f t="shared" si="68"/>
        <v>(0.54)</v>
      </c>
      <c r="EB25" s="207">
        <v>2</v>
      </c>
      <c r="EC25" s="207">
        <f t="shared" si="69"/>
        <v>3.5</v>
      </c>
      <c r="ED25" s="207">
        <v>0</v>
      </c>
      <c r="EE25" s="207">
        <f t="shared" si="70"/>
        <v>0</v>
      </c>
      <c r="EF25" s="207">
        <v>1</v>
      </c>
      <c r="EG25" s="207">
        <f t="shared" si="71"/>
        <v>1</v>
      </c>
      <c r="EH25" s="207">
        <f t="shared" si="72"/>
        <v>4.5</v>
      </c>
      <c r="EI25" s="208">
        <f t="shared" si="73"/>
        <v>49.5</v>
      </c>
      <c r="EJ25" s="205">
        <f t="shared" si="74"/>
        <v>6.4649791666666658</v>
      </c>
      <c r="EK25" s="206" t="str">
        <f t="shared" si="75"/>
        <v>(0.60)</v>
      </c>
      <c r="EL25" s="207">
        <v>2</v>
      </c>
      <c r="EM25" s="207">
        <f t="shared" si="76"/>
        <v>3.5</v>
      </c>
      <c r="EN25" s="207">
        <v>0</v>
      </c>
      <c r="EO25" s="207">
        <f t="shared" si="77"/>
        <v>0</v>
      </c>
      <c r="EP25" s="207">
        <v>1</v>
      </c>
      <c r="EQ25" s="207">
        <f t="shared" si="78"/>
        <v>1</v>
      </c>
      <c r="ER25" s="207">
        <f t="shared" si="79"/>
        <v>4.5</v>
      </c>
      <c r="ES25" s="208">
        <f t="shared" si="80"/>
        <v>55.5</v>
      </c>
      <c r="ET25" s="205">
        <f t="shared" si="81"/>
        <v>7.1638958333333322</v>
      </c>
      <c r="EU25" s="206" t="str">
        <f t="shared" si="82"/>
        <v>(0.67)</v>
      </c>
      <c r="EV25" s="207">
        <v>2</v>
      </c>
      <c r="EW25" s="207">
        <f t="shared" si="83"/>
        <v>3.5</v>
      </c>
      <c r="EX25" s="207">
        <v>0</v>
      </c>
      <c r="EY25" s="207">
        <f t="shared" si="84"/>
        <v>0</v>
      </c>
      <c r="EZ25" s="207">
        <v>1</v>
      </c>
      <c r="FA25" s="207">
        <f t="shared" si="85"/>
        <v>1</v>
      </c>
      <c r="FB25" s="207">
        <f t="shared" si="86"/>
        <v>4.5</v>
      </c>
      <c r="FC25" s="208">
        <f t="shared" si="87"/>
        <v>61.5</v>
      </c>
      <c r="FD25" s="205">
        <f t="shared" si="88"/>
        <v>7.9792986111111093</v>
      </c>
      <c r="FE25" s="206" t="str">
        <f t="shared" si="89"/>
        <v>(0.74)</v>
      </c>
      <c r="FF25" s="207">
        <v>2</v>
      </c>
      <c r="FG25" s="207">
        <f t="shared" si="90"/>
        <v>3.5</v>
      </c>
      <c r="FH25" s="469">
        <v>0</v>
      </c>
      <c r="FI25" s="207">
        <f t="shared" si="91"/>
        <v>0</v>
      </c>
      <c r="FJ25" s="207">
        <v>0</v>
      </c>
      <c r="FK25" s="207">
        <f t="shared" si="92"/>
        <v>0</v>
      </c>
      <c r="FL25" s="207">
        <f t="shared" si="93"/>
        <v>3.5</v>
      </c>
      <c r="FM25" s="208">
        <f t="shared" si="94"/>
        <v>68.5</v>
      </c>
      <c r="FN25" s="205">
        <f t="shared" si="95"/>
        <v>8.5471684027777766</v>
      </c>
      <c r="FO25" s="206" t="str">
        <f t="shared" si="96"/>
        <v>(0.79)</v>
      </c>
      <c r="FP25" s="207">
        <v>2</v>
      </c>
      <c r="FQ25" s="207">
        <f t="shared" si="97"/>
        <v>3.5</v>
      </c>
      <c r="FR25" s="207">
        <v>1</v>
      </c>
      <c r="FS25" s="207">
        <f t="shared" si="98"/>
        <v>1.125</v>
      </c>
      <c r="FT25" s="207">
        <v>0</v>
      </c>
      <c r="FU25" s="207">
        <f t="shared" si="99"/>
        <v>0</v>
      </c>
      <c r="FV25" s="207">
        <f t="shared" si="100"/>
        <v>4.625</v>
      </c>
      <c r="FW25" s="208">
        <f t="shared" si="101"/>
        <v>73.375</v>
      </c>
      <c r="FX25" s="205">
        <f t="shared" si="102"/>
        <v>9.2460850694444421</v>
      </c>
      <c r="FY25" s="206" t="str">
        <f t="shared" si="103"/>
        <v>(0.86)</v>
      </c>
      <c r="FZ25" s="207">
        <v>2</v>
      </c>
      <c r="GA25" s="207">
        <f t="shared" si="104"/>
        <v>3.5</v>
      </c>
      <c r="GB25" s="207">
        <v>1</v>
      </c>
      <c r="GC25" s="207">
        <f t="shared" si="105"/>
        <v>1.125</v>
      </c>
      <c r="GD25" s="207">
        <v>0</v>
      </c>
      <c r="GE25" s="207">
        <f t="shared" si="106"/>
        <v>0</v>
      </c>
      <c r="GF25" s="207">
        <f t="shared" si="107"/>
        <v>4.625</v>
      </c>
      <c r="GG25" s="208">
        <f t="shared" si="108"/>
        <v>79.375</v>
      </c>
      <c r="GH25" s="205">
        <f t="shared" si="109"/>
        <v>9.9450017361111094</v>
      </c>
      <c r="GI25" s="206" t="str">
        <f t="shared" si="110"/>
        <v>(0.92)</v>
      </c>
      <c r="GJ25" s="207">
        <v>2</v>
      </c>
      <c r="GK25" s="207">
        <f t="shared" si="111"/>
        <v>3.5</v>
      </c>
      <c r="GL25" s="207">
        <v>1</v>
      </c>
      <c r="GM25" s="207">
        <f t="shared" si="112"/>
        <v>1.125</v>
      </c>
      <c r="GN25" s="207">
        <v>0</v>
      </c>
      <c r="GO25" s="207">
        <f t="shared" si="113"/>
        <v>0</v>
      </c>
      <c r="GP25" s="207">
        <f t="shared" si="114"/>
        <v>4.625</v>
      </c>
      <c r="GQ25" s="208">
        <f t="shared" si="115"/>
        <v>85.375</v>
      </c>
      <c r="GR25" s="205">
        <f t="shared" si="116"/>
        <v>10.643918402777777</v>
      </c>
      <c r="GS25" s="206" t="str">
        <f t="shared" si="117"/>
        <v>(0.99)</v>
      </c>
      <c r="GT25" s="207">
        <v>2</v>
      </c>
      <c r="GU25" s="207">
        <f t="shared" si="118"/>
        <v>3.5</v>
      </c>
      <c r="GV25" s="207">
        <v>1</v>
      </c>
      <c r="GW25" s="207">
        <f t="shared" si="119"/>
        <v>1.125</v>
      </c>
      <c r="GX25" s="207">
        <v>0</v>
      </c>
      <c r="GY25" s="207">
        <f t="shared" si="120"/>
        <v>0</v>
      </c>
      <c r="GZ25" s="207">
        <f t="shared" si="121"/>
        <v>4.625</v>
      </c>
      <c r="HA25" s="208">
        <f t="shared" si="122"/>
        <v>91.375</v>
      </c>
      <c r="HB25" s="205">
        <f t="shared" si="123"/>
        <v>11.342835069444442</v>
      </c>
      <c r="HC25" s="206" t="str">
        <f t="shared" si="124"/>
        <v>(1.05)</v>
      </c>
      <c r="HD25" s="207">
        <v>2</v>
      </c>
      <c r="HE25" s="207">
        <f t="shared" si="125"/>
        <v>3.5</v>
      </c>
      <c r="HF25" s="207">
        <v>1</v>
      </c>
      <c r="HG25" s="207">
        <f t="shared" si="126"/>
        <v>1.125</v>
      </c>
      <c r="HH25" s="207">
        <v>0</v>
      </c>
      <c r="HI25" s="207">
        <f t="shared" si="127"/>
        <v>0</v>
      </c>
      <c r="HJ25" s="207">
        <f t="shared" si="128"/>
        <v>4.625</v>
      </c>
      <c r="HK25" s="208">
        <f t="shared" si="129"/>
        <v>97.375</v>
      </c>
      <c r="HL25" s="205">
        <f t="shared" si="130"/>
        <v>11.808779513888886</v>
      </c>
      <c r="HM25" s="206" t="str">
        <f t="shared" si="131"/>
        <v>(1.10)</v>
      </c>
      <c r="HN25" s="207">
        <v>2</v>
      </c>
      <c r="HO25" s="207">
        <f t="shared" si="132"/>
        <v>3.5</v>
      </c>
      <c r="HP25" s="207">
        <v>1</v>
      </c>
      <c r="HQ25" s="207">
        <f t="shared" si="133"/>
        <v>1.125</v>
      </c>
      <c r="HR25" s="207">
        <v>2</v>
      </c>
      <c r="HS25" s="207">
        <f t="shared" si="134"/>
        <v>2</v>
      </c>
      <c r="HT25" s="207">
        <f t="shared" si="135"/>
        <v>6.625</v>
      </c>
      <c r="HU25" s="208">
        <f t="shared" si="136"/>
        <v>101.375</v>
      </c>
      <c r="HV25" s="205">
        <f t="shared" si="137"/>
        <v>12.507696180555554</v>
      </c>
      <c r="HW25" s="206" t="str">
        <f t="shared" si="138"/>
        <v>(1.16)</v>
      </c>
      <c r="HX25" s="207">
        <v>2</v>
      </c>
      <c r="HY25" s="207">
        <f t="shared" si="139"/>
        <v>3.5</v>
      </c>
      <c r="HZ25" s="207">
        <v>1</v>
      </c>
      <c r="IA25" s="207">
        <f t="shared" si="140"/>
        <v>1.125</v>
      </c>
      <c r="IB25" s="207">
        <v>2</v>
      </c>
      <c r="IC25" s="207">
        <f t="shared" si="141"/>
        <v>2</v>
      </c>
      <c r="ID25" s="207">
        <f t="shared" si="142"/>
        <v>6.625</v>
      </c>
      <c r="IE25" s="208">
        <f t="shared" si="143"/>
        <v>107.375</v>
      </c>
      <c r="IF25" s="205">
        <f t="shared" si="144"/>
        <v>13.206612847222221</v>
      </c>
      <c r="IG25" s="206" t="str">
        <f t="shared" si="145"/>
        <v>(1.23)</v>
      </c>
      <c r="IH25" s="21">
        <v>2</v>
      </c>
      <c r="II25" s="21">
        <f t="shared" si="146"/>
        <v>3.5</v>
      </c>
      <c r="IJ25" s="29">
        <v>1</v>
      </c>
      <c r="IK25" s="21">
        <f t="shared" si="147"/>
        <v>1.125</v>
      </c>
      <c r="IL25" s="21">
        <v>2</v>
      </c>
      <c r="IM25" s="21">
        <f t="shared" si="148"/>
        <v>2</v>
      </c>
      <c r="IN25" s="21">
        <f t="shared" si="149"/>
        <v>6.625</v>
      </c>
      <c r="IO25" s="22">
        <f t="shared" si="150"/>
        <v>113.375</v>
      </c>
      <c r="IP25" s="23"/>
      <c r="IQ25" s="24">
        <v>6</v>
      </c>
      <c r="IR25" s="25">
        <v>2.6549999999999998</v>
      </c>
      <c r="IS25" s="25">
        <v>2.6469999999999998</v>
      </c>
      <c r="IT25" s="25">
        <v>0.88400000000000001</v>
      </c>
      <c r="IU25" s="25">
        <v>1.75</v>
      </c>
      <c r="IV25" s="25">
        <v>1</v>
      </c>
      <c r="IW25" s="25">
        <v>1.125</v>
      </c>
      <c r="IX25" s="7"/>
    </row>
    <row r="26" spans="2:258" ht="15.75" thickBot="1" x14ac:dyDescent="0.3">
      <c r="B26" s="79">
        <f t="shared" si="9"/>
        <v>54</v>
      </c>
      <c r="C26" s="147">
        <v>10</v>
      </c>
      <c r="D26" s="487"/>
      <c r="E26" s="468">
        <f t="shared" si="0"/>
        <v>0.42835802469135797</v>
      </c>
      <c r="F26" s="468">
        <f t="shared" si="1"/>
        <v>0.48715226337448558</v>
      </c>
      <c r="G26" s="468">
        <f t="shared" si="2"/>
        <v>0.51654938271604933</v>
      </c>
      <c r="H26" s="468">
        <f t="shared" si="3"/>
        <v>0.53418765432098769</v>
      </c>
      <c r="I26" s="468">
        <f t="shared" si="4"/>
        <v>0.54594650205761308</v>
      </c>
      <c r="J26" s="468">
        <f t="shared" si="5"/>
        <v>0.55434567901234555</v>
      </c>
      <c r="K26" s="468">
        <f t="shared" si="6"/>
        <v>0.56064506172839512</v>
      </c>
      <c r="L26" s="468">
        <f t="shared" si="7"/>
        <v>0.55434567901234566</v>
      </c>
      <c r="M26" s="468">
        <f t="shared" si="8"/>
        <v>0.5593851851851851</v>
      </c>
      <c r="N26" s="488"/>
      <c r="O26" s="488"/>
      <c r="P26" s="488"/>
      <c r="Q26" s="488"/>
      <c r="R26" s="488"/>
      <c r="S26" s="488"/>
      <c r="T26" s="488"/>
      <c r="U26" s="488"/>
      <c r="V26" s="488"/>
      <c r="W26" s="488"/>
      <c r="X26" s="76"/>
      <c r="Y26" s="46"/>
      <c r="AA26" s="61"/>
      <c r="AT26" s="3"/>
      <c r="AU26" s="13">
        <f t="shared" si="151"/>
        <v>36</v>
      </c>
      <c r="AV26" s="11" t="str">
        <f t="shared" si="10"/>
        <v>(900)</v>
      </c>
      <c r="AW26" s="18"/>
      <c r="AX26" s="19">
        <f t="shared" si="11"/>
        <v>0.78791319444444441</v>
      </c>
      <c r="AY26" s="20" t="str">
        <f t="shared" si="12"/>
        <v>(0.07)</v>
      </c>
      <c r="AZ26" s="21">
        <v>2</v>
      </c>
      <c r="BA26" s="21">
        <f t="shared" si="13"/>
        <v>3.5</v>
      </c>
      <c r="BB26" s="21">
        <v>0</v>
      </c>
      <c r="BC26" s="21">
        <f t="shared" si="14"/>
        <v>0</v>
      </c>
      <c r="BD26" s="21">
        <v>0</v>
      </c>
      <c r="BE26" s="21">
        <f t="shared" si="15"/>
        <v>0</v>
      </c>
      <c r="BF26" s="21">
        <f t="shared" si="16"/>
        <v>3.5</v>
      </c>
      <c r="BG26" s="22">
        <f t="shared" si="17"/>
        <v>5.5</v>
      </c>
      <c r="BH26" s="205">
        <f t="shared" si="18"/>
        <v>1.2176840277777776</v>
      </c>
      <c r="BI26" s="206" t="str">
        <f t="shared" si="19"/>
        <v>(0.11)</v>
      </c>
      <c r="BJ26" s="207">
        <v>2</v>
      </c>
      <c r="BK26" s="207">
        <f t="shared" si="20"/>
        <v>3.5</v>
      </c>
      <c r="BL26" s="207">
        <v>0</v>
      </c>
      <c r="BM26" s="207">
        <f t="shared" si="21"/>
        <v>0</v>
      </c>
      <c r="BN26" s="207">
        <v>0</v>
      </c>
      <c r="BO26" s="207">
        <f t="shared" si="22"/>
        <v>0</v>
      </c>
      <c r="BP26" s="207">
        <f t="shared" si="23"/>
        <v>3.5</v>
      </c>
      <c r="BQ26" s="208">
        <f t="shared" si="24"/>
        <v>8.5</v>
      </c>
      <c r="BR26" s="205">
        <f t="shared" si="25"/>
        <v>2.0772256944444445</v>
      </c>
      <c r="BS26" s="206" t="str">
        <f t="shared" si="26"/>
        <v>(0.19)</v>
      </c>
      <c r="BT26" s="207">
        <v>2</v>
      </c>
      <c r="BU26" s="207">
        <f t="shared" si="27"/>
        <v>3.5</v>
      </c>
      <c r="BV26" s="207">
        <v>0</v>
      </c>
      <c r="BW26" s="207">
        <f t="shared" si="28"/>
        <v>0</v>
      </c>
      <c r="BX26" s="207">
        <v>0</v>
      </c>
      <c r="BY26" s="207">
        <f t="shared" si="29"/>
        <v>0</v>
      </c>
      <c r="BZ26" s="207">
        <f t="shared" si="30"/>
        <v>3.5</v>
      </c>
      <c r="CA26" s="208">
        <f t="shared" si="31"/>
        <v>14.5</v>
      </c>
      <c r="CB26" s="205">
        <f t="shared" si="32"/>
        <v>2.9367673611111105</v>
      </c>
      <c r="CC26" s="206" t="str">
        <f t="shared" si="33"/>
        <v>(0.27)</v>
      </c>
      <c r="CD26" s="207">
        <v>2</v>
      </c>
      <c r="CE26" s="207">
        <f t="shared" si="34"/>
        <v>3.5</v>
      </c>
      <c r="CF26" s="207">
        <v>0</v>
      </c>
      <c r="CG26" s="207">
        <f t="shared" si="35"/>
        <v>0</v>
      </c>
      <c r="CH26" s="207">
        <v>0</v>
      </c>
      <c r="CI26" s="207">
        <f t="shared" si="36"/>
        <v>0</v>
      </c>
      <c r="CJ26" s="207">
        <f t="shared" si="37"/>
        <v>3.5</v>
      </c>
      <c r="CK26" s="208">
        <f t="shared" si="38"/>
        <v>20.5</v>
      </c>
      <c r="CL26" s="205">
        <f t="shared" si="39"/>
        <v>3.7963090277777778</v>
      </c>
      <c r="CM26" s="206" t="str">
        <f t="shared" si="40"/>
        <v>(0.35)</v>
      </c>
      <c r="CN26" s="207">
        <v>2</v>
      </c>
      <c r="CO26" s="207">
        <f t="shared" si="41"/>
        <v>3.5</v>
      </c>
      <c r="CP26" s="207">
        <v>0</v>
      </c>
      <c r="CQ26" s="207">
        <f t="shared" si="42"/>
        <v>0</v>
      </c>
      <c r="CR26" s="207">
        <v>0</v>
      </c>
      <c r="CS26" s="207">
        <f t="shared" si="43"/>
        <v>0</v>
      </c>
      <c r="CT26" s="207">
        <f t="shared" si="44"/>
        <v>3.5</v>
      </c>
      <c r="CU26" s="208">
        <f t="shared" si="45"/>
        <v>26.5</v>
      </c>
      <c r="CV26" s="205">
        <f t="shared" si="46"/>
        <v>4.6558506944444433</v>
      </c>
      <c r="CW26" s="206" t="str">
        <f t="shared" si="47"/>
        <v>(0.43)</v>
      </c>
      <c r="CX26" s="207">
        <v>2</v>
      </c>
      <c r="CY26" s="207">
        <f t="shared" si="48"/>
        <v>3.5</v>
      </c>
      <c r="CZ26" s="207">
        <v>0</v>
      </c>
      <c r="DA26" s="207">
        <f t="shared" si="49"/>
        <v>0</v>
      </c>
      <c r="DB26" s="207">
        <v>0</v>
      </c>
      <c r="DC26" s="207">
        <f t="shared" si="50"/>
        <v>0</v>
      </c>
      <c r="DD26" s="207">
        <f t="shared" si="51"/>
        <v>3.5</v>
      </c>
      <c r="DE26" s="208">
        <f t="shared" si="52"/>
        <v>32.5</v>
      </c>
      <c r="DF26" s="205">
        <f t="shared" si="53"/>
        <v>5.5153923611111102</v>
      </c>
      <c r="DG26" s="206" t="str">
        <f t="shared" si="54"/>
        <v>(0.51)</v>
      </c>
      <c r="DH26" s="207">
        <v>2</v>
      </c>
      <c r="DI26" s="207">
        <f t="shared" si="55"/>
        <v>3.5</v>
      </c>
      <c r="DJ26" s="207">
        <v>0</v>
      </c>
      <c r="DK26" s="207">
        <f t="shared" si="56"/>
        <v>0</v>
      </c>
      <c r="DL26" s="207">
        <v>0</v>
      </c>
      <c r="DM26" s="207">
        <f t="shared" si="57"/>
        <v>0</v>
      </c>
      <c r="DN26" s="207">
        <f t="shared" si="58"/>
        <v>3.5</v>
      </c>
      <c r="DO26" s="208">
        <f t="shared" si="59"/>
        <v>38.5</v>
      </c>
      <c r="DP26" s="205">
        <f t="shared" si="60"/>
        <v>6.3749340277777771</v>
      </c>
      <c r="DQ26" s="206" t="str">
        <f t="shared" si="61"/>
        <v>(0.59)</v>
      </c>
      <c r="DR26" s="207">
        <v>2</v>
      </c>
      <c r="DS26" s="207">
        <f t="shared" si="62"/>
        <v>3.5</v>
      </c>
      <c r="DT26" s="207">
        <v>0</v>
      </c>
      <c r="DU26" s="207">
        <f t="shared" si="63"/>
        <v>0</v>
      </c>
      <c r="DV26" s="207">
        <v>0</v>
      </c>
      <c r="DW26" s="207">
        <f t="shared" si="64"/>
        <v>0</v>
      </c>
      <c r="DX26" s="207">
        <f t="shared" si="65"/>
        <v>3.5</v>
      </c>
      <c r="DY26" s="208">
        <f t="shared" si="66"/>
        <v>44.5</v>
      </c>
      <c r="DZ26" s="205">
        <f t="shared" si="67"/>
        <v>7.0912187499999995</v>
      </c>
      <c r="EA26" s="206" t="str">
        <f t="shared" si="68"/>
        <v>(0.66)</v>
      </c>
      <c r="EB26" s="207">
        <v>2</v>
      </c>
      <c r="EC26" s="207">
        <f t="shared" si="69"/>
        <v>3.5</v>
      </c>
      <c r="ED26" s="207">
        <v>0</v>
      </c>
      <c r="EE26" s="207">
        <f t="shared" si="70"/>
        <v>0</v>
      </c>
      <c r="EF26" s="207">
        <v>1</v>
      </c>
      <c r="EG26" s="207">
        <f t="shared" si="71"/>
        <v>1</v>
      </c>
      <c r="EH26" s="207">
        <f t="shared" si="72"/>
        <v>4.5</v>
      </c>
      <c r="EI26" s="208">
        <f t="shared" si="73"/>
        <v>49.5</v>
      </c>
      <c r="EJ26" s="205">
        <f t="shared" si="74"/>
        <v>7.9507604166666663</v>
      </c>
      <c r="EK26" s="206" t="str">
        <f t="shared" si="75"/>
        <v>(0.74)</v>
      </c>
      <c r="EL26" s="207">
        <v>2</v>
      </c>
      <c r="EM26" s="207">
        <f t="shared" si="76"/>
        <v>3.5</v>
      </c>
      <c r="EN26" s="207">
        <v>0</v>
      </c>
      <c r="EO26" s="207">
        <f t="shared" si="77"/>
        <v>0</v>
      </c>
      <c r="EP26" s="207">
        <v>1</v>
      </c>
      <c r="EQ26" s="207">
        <f t="shared" si="78"/>
        <v>1</v>
      </c>
      <c r="ER26" s="207">
        <f t="shared" si="79"/>
        <v>4.5</v>
      </c>
      <c r="ES26" s="208">
        <f t="shared" si="80"/>
        <v>55.5</v>
      </c>
      <c r="ET26" s="205">
        <f t="shared" si="81"/>
        <v>8.8103020833333332</v>
      </c>
      <c r="EU26" s="206" t="str">
        <f t="shared" si="82"/>
        <v>(0.82)</v>
      </c>
      <c r="EV26" s="207">
        <v>2</v>
      </c>
      <c r="EW26" s="207">
        <f t="shared" si="83"/>
        <v>3.5</v>
      </c>
      <c r="EX26" s="207">
        <v>0</v>
      </c>
      <c r="EY26" s="207">
        <f t="shared" si="84"/>
        <v>0</v>
      </c>
      <c r="EZ26" s="207">
        <v>1</v>
      </c>
      <c r="FA26" s="207">
        <f t="shared" si="85"/>
        <v>1</v>
      </c>
      <c r="FB26" s="207">
        <f t="shared" si="86"/>
        <v>4.5</v>
      </c>
      <c r="FC26" s="208">
        <f t="shared" si="87"/>
        <v>61.5</v>
      </c>
      <c r="FD26" s="205">
        <f t="shared" si="88"/>
        <v>9.8131006944444437</v>
      </c>
      <c r="FE26" s="206" t="str">
        <f t="shared" si="89"/>
        <v>(0.91)</v>
      </c>
      <c r="FF26" s="207">
        <v>2</v>
      </c>
      <c r="FG26" s="207">
        <f t="shared" si="90"/>
        <v>3.5</v>
      </c>
      <c r="FH26" s="469">
        <v>0</v>
      </c>
      <c r="FI26" s="207">
        <f t="shared" si="91"/>
        <v>0</v>
      </c>
      <c r="FJ26" s="207">
        <v>0</v>
      </c>
      <c r="FK26" s="207">
        <f t="shared" si="92"/>
        <v>0</v>
      </c>
      <c r="FL26" s="207">
        <f t="shared" si="93"/>
        <v>3.5</v>
      </c>
      <c r="FM26" s="208">
        <f t="shared" si="94"/>
        <v>68.5</v>
      </c>
      <c r="FN26" s="205">
        <f t="shared" si="95"/>
        <v>10.511478298611109</v>
      </c>
      <c r="FO26" s="206" t="str">
        <f t="shared" si="96"/>
        <v>(0.98)</v>
      </c>
      <c r="FP26" s="207">
        <v>2</v>
      </c>
      <c r="FQ26" s="207">
        <f t="shared" si="97"/>
        <v>3.5</v>
      </c>
      <c r="FR26" s="207">
        <v>1</v>
      </c>
      <c r="FS26" s="207">
        <f t="shared" si="98"/>
        <v>1.125</v>
      </c>
      <c r="FT26" s="207">
        <v>0</v>
      </c>
      <c r="FU26" s="207">
        <f t="shared" si="99"/>
        <v>0</v>
      </c>
      <c r="FV26" s="207">
        <f t="shared" si="100"/>
        <v>4.625</v>
      </c>
      <c r="FW26" s="208">
        <f t="shared" si="101"/>
        <v>73.375</v>
      </c>
      <c r="FX26" s="205">
        <f t="shared" si="102"/>
        <v>11.371019965277776</v>
      </c>
      <c r="FY26" s="206" t="str">
        <f t="shared" si="103"/>
        <v>(1.06)</v>
      </c>
      <c r="FZ26" s="207">
        <v>2</v>
      </c>
      <c r="GA26" s="207">
        <f t="shared" si="104"/>
        <v>3.5</v>
      </c>
      <c r="GB26" s="207">
        <v>1</v>
      </c>
      <c r="GC26" s="207">
        <f t="shared" si="105"/>
        <v>1.125</v>
      </c>
      <c r="GD26" s="207">
        <v>0</v>
      </c>
      <c r="GE26" s="207">
        <f t="shared" si="106"/>
        <v>0</v>
      </c>
      <c r="GF26" s="207">
        <f t="shared" si="107"/>
        <v>4.625</v>
      </c>
      <c r="GG26" s="208">
        <f t="shared" si="108"/>
        <v>79.375</v>
      </c>
      <c r="GH26" s="205">
        <f t="shared" si="109"/>
        <v>12.230561631944443</v>
      </c>
      <c r="GI26" s="206" t="str">
        <f t="shared" si="110"/>
        <v>(1.14)</v>
      </c>
      <c r="GJ26" s="207">
        <v>2</v>
      </c>
      <c r="GK26" s="207">
        <f t="shared" si="111"/>
        <v>3.5</v>
      </c>
      <c r="GL26" s="207">
        <v>1</v>
      </c>
      <c r="GM26" s="207">
        <f t="shared" si="112"/>
        <v>1.125</v>
      </c>
      <c r="GN26" s="207">
        <v>0</v>
      </c>
      <c r="GO26" s="207">
        <f t="shared" si="113"/>
        <v>0</v>
      </c>
      <c r="GP26" s="207">
        <f t="shared" si="114"/>
        <v>4.625</v>
      </c>
      <c r="GQ26" s="208">
        <f t="shared" si="115"/>
        <v>85.375</v>
      </c>
      <c r="GR26" s="205">
        <f t="shared" si="116"/>
        <v>13.09010329861111</v>
      </c>
      <c r="GS26" s="206" t="str">
        <f t="shared" si="117"/>
        <v>(1.22)</v>
      </c>
      <c r="GT26" s="207">
        <v>2</v>
      </c>
      <c r="GU26" s="207">
        <f t="shared" si="118"/>
        <v>3.5</v>
      </c>
      <c r="GV26" s="207">
        <v>1</v>
      </c>
      <c r="GW26" s="207">
        <f t="shared" si="119"/>
        <v>1.125</v>
      </c>
      <c r="GX26" s="207">
        <v>0</v>
      </c>
      <c r="GY26" s="207">
        <f t="shared" si="120"/>
        <v>0</v>
      </c>
      <c r="GZ26" s="207">
        <f t="shared" si="121"/>
        <v>4.625</v>
      </c>
      <c r="HA26" s="208">
        <f t="shared" si="122"/>
        <v>91.375</v>
      </c>
      <c r="HB26" s="205">
        <f t="shared" si="123"/>
        <v>13.949644965277777</v>
      </c>
      <c r="HC26" s="206" t="str">
        <f t="shared" si="124"/>
        <v>(1.30)</v>
      </c>
      <c r="HD26" s="207">
        <v>2</v>
      </c>
      <c r="HE26" s="207">
        <f t="shared" si="125"/>
        <v>3.5</v>
      </c>
      <c r="HF26" s="207">
        <v>1</v>
      </c>
      <c r="HG26" s="207">
        <f t="shared" si="126"/>
        <v>1.125</v>
      </c>
      <c r="HH26" s="207">
        <v>0</v>
      </c>
      <c r="HI26" s="207">
        <f t="shared" si="127"/>
        <v>0</v>
      </c>
      <c r="HJ26" s="207">
        <f t="shared" si="128"/>
        <v>4.625</v>
      </c>
      <c r="HK26" s="208">
        <f t="shared" si="129"/>
        <v>97.375</v>
      </c>
      <c r="HL26" s="205">
        <f t="shared" si="130"/>
        <v>14.522672743055555</v>
      </c>
      <c r="HM26" s="206" t="str">
        <f t="shared" si="131"/>
        <v>(1.35)</v>
      </c>
      <c r="HN26" s="207">
        <v>2</v>
      </c>
      <c r="HO26" s="207">
        <f t="shared" si="132"/>
        <v>3.5</v>
      </c>
      <c r="HP26" s="207">
        <v>1</v>
      </c>
      <c r="HQ26" s="207">
        <f t="shared" si="133"/>
        <v>1.125</v>
      </c>
      <c r="HR26" s="207">
        <v>2</v>
      </c>
      <c r="HS26" s="207">
        <f t="shared" si="134"/>
        <v>2</v>
      </c>
      <c r="HT26" s="207">
        <f t="shared" si="135"/>
        <v>6.625</v>
      </c>
      <c r="HU26" s="208">
        <f t="shared" si="136"/>
        <v>101.375</v>
      </c>
      <c r="HV26" s="205">
        <f t="shared" si="137"/>
        <v>15.38221440972222</v>
      </c>
      <c r="HW26" s="206" t="str">
        <f t="shared" si="138"/>
        <v>(1.43)</v>
      </c>
      <c r="HX26" s="207">
        <v>2</v>
      </c>
      <c r="HY26" s="207">
        <f t="shared" si="139"/>
        <v>3.5</v>
      </c>
      <c r="HZ26" s="207">
        <v>1</v>
      </c>
      <c r="IA26" s="207">
        <f t="shared" si="140"/>
        <v>1.125</v>
      </c>
      <c r="IB26" s="207">
        <v>2</v>
      </c>
      <c r="IC26" s="207">
        <f t="shared" si="141"/>
        <v>2</v>
      </c>
      <c r="ID26" s="207">
        <f t="shared" si="142"/>
        <v>6.625</v>
      </c>
      <c r="IE26" s="208">
        <f t="shared" si="143"/>
        <v>107.375</v>
      </c>
      <c r="IF26" s="205">
        <f t="shared" si="144"/>
        <v>16.241756076388885</v>
      </c>
      <c r="IG26" s="206" t="str">
        <f t="shared" si="145"/>
        <v>(1.51)</v>
      </c>
      <c r="IH26" s="21">
        <v>2</v>
      </c>
      <c r="II26" s="21">
        <f t="shared" si="146"/>
        <v>3.5</v>
      </c>
      <c r="IJ26" s="21">
        <v>1</v>
      </c>
      <c r="IK26" s="21">
        <f t="shared" si="147"/>
        <v>1.125</v>
      </c>
      <c r="IL26" s="21">
        <v>2</v>
      </c>
      <c r="IM26" s="21">
        <f t="shared" si="148"/>
        <v>2</v>
      </c>
      <c r="IN26" s="21">
        <f t="shared" si="149"/>
        <v>6.625</v>
      </c>
      <c r="IO26" s="22">
        <f t="shared" si="150"/>
        <v>113.375</v>
      </c>
      <c r="IP26" s="23"/>
      <c r="IQ26" s="24">
        <v>7</v>
      </c>
      <c r="IR26" s="25">
        <v>2.6549999999999998</v>
      </c>
      <c r="IS26" s="25">
        <v>2.6469999999999998</v>
      </c>
      <c r="IT26" s="25">
        <v>2.0920000000000001</v>
      </c>
      <c r="IU26" s="25">
        <v>1.75</v>
      </c>
      <c r="IV26" s="25">
        <v>1</v>
      </c>
      <c r="IW26" s="25">
        <v>1.125</v>
      </c>
      <c r="IX26" s="7"/>
    </row>
    <row r="27" spans="2:258" ht="15.75" thickBot="1" x14ac:dyDescent="0.3">
      <c r="B27" s="79">
        <f t="shared" si="9"/>
        <v>60</v>
      </c>
      <c r="C27" s="148">
        <v>11</v>
      </c>
      <c r="D27" s="487"/>
      <c r="E27" s="468">
        <f t="shared" si="0"/>
        <v>0.43103263888888882</v>
      </c>
      <c r="F27" s="468">
        <f t="shared" si="1"/>
        <v>0.49019398148148147</v>
      </c>
      <c r="G27" s="468">
        <f t="shared" si="2"/>
        <v>0.51977465277777779</v>
      </c>
      <c r="H27" s="468">
        <f t="shared" si="3"/>
        <v>0.53752305555555546</v>
      </c>
      <c r="I27" s="468">
        <f t="shared" si="4"/>
        <v>0.54935532407407406</v>
      </c>
      <c r="J27" s="468">
        <f t="shared" si="5"/>
        <v>0.55780694444444434</v>
      </c>
      <c r="K27" s="468">
        <f t="shared" si="6"/>
        <v>0.56414565972222219</v>
      </c>
      <c r="L27" s="468">
        <f t="shared" si="7"/>
        <v>0.55780694444444434</v>
      </c>
      <c r="M27" s="468">
        <f t="shared" si="8"/>
        <v>0.56287791666666664</v>
      </c>
      <c r="N27" s="488"/>
      <c r="O27" s="488"/>
      <c r="P27" s="488"/>
      <c r="Q27" s="488"/>
      <c r="R27" s="488"/>
      <c r="S27" s="488"/>
      <c r="T27" s="488"/>
      <c r="U27" s="488"/>
      <c r="V27" s="488"/>
      <c r="W27" s="488"/>
      <c r="X27" s="76"/>
      <c r="Y27" s="46"/>
      <c r="AA27" s="61"/>
      <c r="AT27" s="3"/>
      <c r="AU27" s="13">
        <f t="shared" si="151"/>
        <v>42</v>
      </c>
      <c r="AV27" s="11" t="str">
        <f t="shared" si="10"/>
        <v>(1050)</v>
      </c>
      <c r="AW27" s="18"/>
      <c r="AX27" s="19">
        <f t="shared" si="11"/>
        <v>0.94397569444444451</v>
      </c>
      <c r="AY27" s="20" t="str">
        <f t="shared" si="12"/>
        <v>(0.09)</v>
      </c>
      <c r="AZ27" s="21">
        <v>2</v>
      </c>
      <c r="BA27" s="21">
        <f t="shared" si="13"/>
        <v>3.5</v>
      </c>
      <c r="BB27" s="21">
        <v>0</v>
      </c>
      <c r="BC27" s="21">
        <f t="shared" si="14"/>
        <v>0</v>
      </c>
      <c r="BD27" s="21">
        <v>0</v>
      </c>
      <c r="BE27" s="21">
        <f t="shared" si="15"/>
        <v>0</v>
      </c>
      <c r="BF27" s="21">
        <f t="shared" si="16"/>
        <v>3.5</v>
      </c>
      <c r="BG27" s="22">
        <f t="shared" si="17"/>
        <v>5.5</v>
      </c>
      <c r="BH27" s="205">
        <f t="shared" si="18"/>
        <v>1.4588715277777777</v>
      </c>
      <c r="BI27" s="206" t="str">
        <f t="shared" si="19"/>
        <v>(0.14)</v>
      </c>
      <c r="BJ27" s="207">
        <v>2</v>
      </c>
      <c r="BK27" s="207">
        <f t="shared" si="20"/>
        <v>3.5</v>
      </c>
      <c r="BL27" s="207">
        <v>0</v>
      </c>
      <c r="BM27" s="207">
        <f t="shared" si="21"/>
        <v>0</v>
      </c>
      <c r="BN27" s="207">
        <v>0</v>
      </c>
      <c r="BO27" s="207">
        <f t="shared" si="22"/>
        <v>0</v>
      </c>
      <c r="BP27" s="207">
        <f t="shared" si="23"/>
        <v>3.5</v>
      </c>
      <c r="BQ27" s="208">
        <f t="shared" si="24"/>
        <v>8.5</v>
      </c>
      <c r="BR27" s="205">
        <f t="shared" si="25"/>
        <v>2.4886631944444444</v>
      </c>
      <c r="BS27" s="206" t="str">
        <f t="shared" si="26"/>
        <v>(0.23)</v>
      </c>
      <c r="BT27" s="207">
        <v>2</v>
      </c>
      <c r="BU27" s="207">
        <f t="shared" si="27"/>
        <v>3.5</v>
      </c>
      <c r="BV27" s="207">
        <v>0</v>
      </c>
      <c r="BW27" s="207">
        <f t="shared" si="28"/>
        <v>0</v>
      </c>
      <c r="BX27" s="207">
        <v>0</v>
      </c>
      <c r="BY27" s="207">
        <f t="shared" si="29"/>
        <v>0</v>
      </c>
      <c r="BZ27" s="207">
        <f t="shared" si="30"/>
        <v>3.5</v>
      </c>
      <c r="CA27" s="208">
        <f t="shared" si="31"/>
        <v>14.5</v>
      </c>
      <c r="CB27" s="205">
        <f t="shared" si="32"/>
        <v>3.5184548611111111</v>
      </c>
      <c r="CC27" s="206" t="str">
        <f t="shared" si="33"/>
        <v>(0.33)</v>
      </c>
      <c r="CD27" s="207">
        <v>2</v>
      </c>
      <c r="CE27" s="207">
        <f t="shared" si="34"/>
        <v>3.5</v>
      </c>
      <c r="CF27" s="207">
        <v>0</v>
      </c>
      <c r="CG27" s="207">
        <f t="shared" si="35"/>
        <v>0</v>
      </c>
      <c r="CH27" s="207">
        <v>0</v>
      </c>
      <c r="CI27" s="207">
        <f t="shared" si="36"/>
        <v>0</v>
      </c>
      <c r="CJ27" s="207">
        <f t="shared" si="37"/>
        <v>3.5</v>
      </c>
      <c r="CK27" s="208">
        <f t="shared" si="38"/>
        <v>20.5</v>
      </c>
      <c r="CL27" s="205">
        <f t="shared" si="39"/>
        <v>4.5482465277777777</v>
      </c>
      <c r="CM27" s="206" t="str">
        <f t="shared" si="40"/>
        <v>(0.42)</v>
      </c>
      <c r="CN27" s="207">
        <v>2</v>
      </c>
      <c r="CO27" s="207">
        <f t="shared" si="41"/>
        <v>3.5</v>
      </c>
      <c r="CP27" s="207">
        <v>0</v>
      </c>
      <c r="CQ27" s="207">
        <f t="shared" si="42"/>
        <v>0</v>
      </c>
      <c r="CR27" s="207">
        <v>0</v>
      </c>
      <c r="CS27" s="207">
        <f t="shared" si="43"/>
        <v>0</v>
      </c>
      <c r="CT27" s="207">
        <f t="shared" si="44"/>
        <v>3.5</v>
      </c>
      <c r="CU27" s="208">
        <f t="shared" si="45"/>
        <v>26.5</v>
      </c>
      <c r="CV27" s="205">
        <f t="shared" si="46"/>
        <v>5.5780381944444439</v>
      </c>
      <c r="CW27" s="206" t="str">
        <f t="shared" si="47"/>
        <v>(0.52)</v>
      </c>
      <c r="CX27" s="207">
        <v>2</v>
      </c>
      <c r="CY27" s="207">
        <f t="shared" si="48"/>
        <v>3.5</v>
      </c>
      <c r="CZ27" s="207">
        <v>0</v>
      </c>
      <c r="DA27" s="207">
        <f t="shared" si="49"/>
        <v>0</v>
      </c>
      <c r="DB27" s="207">
        <v>0</v>
      </c>
      <c r="DC27" s="207">
        <f t="shared" si="50"/>
        <v>0</v>
      </c>
      <c r="DD27" s="207">
        <f t="shared" si="51"/>
        <v>3.5</v>
      </c>
      <c r="DE27" s="208">
        <f t="shared" si="52"/>
        <v>32.5</v>
      </c>
      <c r="DF27" s="205">
        <f t="shared" si="53"/>
        <v>6.607829861111111</v>
      </c>
      <c r="DG27" s="206" t="str">
        <f t="shared" si="54"/>
        <v>(0.61)</v>
      </c>
      <c r="DH27" s="207">
        <v>2</v>
      </c>
      <c r="DI27" s="207">
        <f t="shared" si="55"/>
        <v>3.5</v>
      </c>
      <c r="DJ27" s="207">
        <v>0</v>
      </c>
      <c r="DK27" s="207">
        <f t="shared" si="56"/>
        <v>0</v>
      </c>
      <c r="DL27" s="207">
        <v>0</v>
      </c>
      <c r="DM27" s="207">
        <f t="shared" si="57"/>
        <v>0</v>
      </c>
      <c r="DN27" s="207">
        <f t="shared" si="58"/>
        <v>3.5</v>
      </c>
      <c r="DO27" s="208">
        <f t="shared" si="59"/>
        <v>38.5</v>
      </c>
      <c r="DP27" s="205">
        <f t="shared" si="60"/>
        <v>7.6376215277777773</v>
      </c>
      <c r="DQ27" s="206" t="str">
        <f t="shared" si="61"/>
        <v>(0.71)</v>
      </c>
      <c r="DR27" s="207">
        <v>2</v>
      </c>
      <c r="DS27" s="207">
        <f t="shared" si="62"/>
        <v>3.5</v>
      </c>
      <c r="DT27" s="207">
        <v>0</v>
      </c>
      <c r="DU27" s="207">
        <f t="shared" si="63"/>
        <v>0</v>
      </c>
      <c r="DV27" s="207">
        <v>0</v>
      </c>
      <c r="DW27" s="207">
        <f t="shared" si="64"/>
        <v>0</v>
      </c>
      <c r="DX27" s="207">
        <f t="shared" si="65"/>
        <v>3.5</v>
      </c>
      <c r="DY27" s="208">
        <f t="shared" si="66"/>
        <v>44.5</v>
      </c>
      <c r="DZ27" s="205">
        <f t="shared" si="67"/>
        <v>8.4957812500000003</v>
      </c>
      <c r="EA27" s="206" t="str">
        <f t="shared" si="68"/>
        <v>(0.79)</v>
      </c>
      <c r="EB27" s="207">
        <v>2</v>
      </c>
      <c r="EC27" s="207">
        <f t="shared" si="69"/>
        <v>3.5</v>
      </c>
      <c r="ED27" s="207">
        <v>0</v>
      </c>
      <c r="EE27" s="207">
        <f t="shared" si="70"/>
        <v>0</v>
      </c>
      <c r="EF27" s="207">
        <v>1</v>
      </c>
      <c r="EG27" s="207">
        <f t="shared" si="71"/>
        <v>1</v>
      </c>
      <c r="EH27" s="207">
        <f t="shared" si="72"/>
        <v>4.5</v>
      </c>
      <c r="EI27" s="208">
        <f t="shared" si="73"/>
        <v>49.5</v>
      </c>
      <c r="EJ27" s="205">
        <f t="shared" si="74"/>
        <v>9.5255729166666665</v>
      </c>
      <c r="EK27" s="206" t="str">
        <f t="shared" si="75"/>
        <v>(0.88)</v>
      </c>
      <c r="EL27" s="207">
        <v>2</v>
      </c>
      <c r="EM27" s="207">
        <f t="shared" si="76"/>
        <v>3.5</v>
      </c>
      <c r="EN27" s="207">
        <v>0</v>
      </c>
      <c r="EO27" s="207">
        <f t="shared" si="77"/>
        <v>0</v>
      </c>
      <c r="EP27" s="207">
        <v>1</v>
      </c>
      <c r="EQ27" s="207">
        <f t="shared" si="78"/>
        <v>1</v>
      </c>
      <c r="ER27" s="207">
        <f t="shared" si="79"/>
        <v>4.5</v>
      </c>
      <c r="ES27" s="208">
        <f t="shared" si="80"/>
        <v>55.5</v>
      </c>
      <c r="ET27" s="205">
        <f t="shared" si="81"/>
        <v>10.555364583333334</v>
      </c>
      <c r="EU27" s="206" t="str">
        <f t="shared" si="82"/>
        <v>(0.98)</v>
      </c>
      <c r="EV27" s="207">
        <v>2</v>
      </c>
      <c r="EW27" s="207">
        <f t="shared" si="83"/>
        <v>3.5</v>
      </c>
      <c r="EX27" s="207">
        <v>0</v>
      </c>
      <c r="EY27" s="207">
        <f t="shared" si="84"/>
        <v>0</v>
      </c>
      <c r="EZ27" s="207">
        <v>1</v>
      </c>
      <c r="FA27" s="207">
        <f t="shared" si="85"/>
        <v>1</v>
      </c>
      <c r="FB27" s="207">
        <f t="shared" si="86"/>
        <v>4.5</v>
      </c>
      <c r="FC27" s="208">
        <f t="shared" si="87"/>
        <v>61.5</v>
      </c>
      <c r="FD27" s="205">
        <f t="shared" si="88"/>
        <v>11.756788194444445</v>
      </c>
      <c r="FE27" s="206" t="str">
        <f t="shared" si="89"/>
        <v>(1.09)</v>
      </c>
      <c r="FF27" s="207">
        <v>2</v>
      </c>
      <c r="FG27" s="207">
        <f t="shared" si="90"/>
        <v>3.5</v>
      </c>
      <c r="FH27" s="469">
        <v>0</v>
      </c>
      <c r="FI27" s="207">
        <f t="shared" si="91"/>
        <v>0</v>
      </c>
      <c r="FJ27" s="207">
        <v>0</v>
      </c>
      <c r="FK27" s="207">
        <f t="shared" si="92"/>
        <v>0</v>
      </c>
      <c r="FL27" s="207">
        <f t="shared" si="93"/>
        <v>3.5</v>
      </c>
      <c r="FM27" s="208">
        <f t="shared" si="94"/>
        <v>68.5</v>
      </c>
      <c r="FN27" s="205">
        <f t="shared" si="95"/>
        <v>12.593493923611112</v>
      </c>
      <c r="FO27" s="206" t="str">
        <f t="shared" si="96"/>
        <v>(1.17)</v>
      </c>
      <c r="FP27" s="207">
        <v>2</v>
      </c>
      <c r="FQ27" s="207">
        <f t="shared" si="97"/>
        <v>3.5</v>
      </c>
      <c r="FR27" s="207">
        <v>1</v>
      </c>
      <c r="FS27" s="207">
        <f t="shared" si="98"/>
        <v>1.125</v>
      </c>
      <c r="FT27" s="207">
        <v>0</v>
      </c>
      <c r="FU27" s="207">
        <f t="shared" si="99"/>
        <v>0</v>
      </c>
      <c r="FV27" s="207">
        <f t="shared" si="100"/>
        <v>4.625</v>
      </c>
      <c r="FW27" s="208">
        <f t="shared" si="101"/>
        <v>73.375</v>
      </c>
      <c r="FX27" s="205">
        <f t="shared" si="102"/>
        <v>13.623285590277778</v>
      </c>
      <c r="FY27" s="206" t="str">
        <f t="shared" si="103"/>
        <v>(1.27)</v>
      </c>
      <c r="FZ27" s="207">
        <v>2</v>
      </c>
      <c r="GA27" s="207">
        <f t="shared" si="104"/>
        <v>3.5</v>
      </c>
      <c r="GB27" s="207">
        <v>1</v>
      </c>
      <c r="GC27" s="207">
        <f t="shared" si="105"/>
        <v>1.125</v>
      </c>
      <c r="GD27" s="207">
        <v>0</v>
      </c>
      <c r="GE27" s="207">
        <f t="shared" si="106"/>
        <v>0</v>
      </c>
      <c r="GF27" s="207">
        <f t="shared" si="107"/>
        <v>4.625</v>
      </c>
      <c r="GG27" s="208">
        <f t="shared" si="108"/>
        <v>79.375</v>
      </c>
      <c r="GH27" s="205">
        <f t="shared" si="109"/>
        <v>14.653077256944446</v>
      </c>
      <c r="GI27" s="206" t="str">
        <f t="shared" si="110"/>
        <v>(1.36)</v>
      </c>
      <c r="GJ27" s="207">
        <v>2</v>
      </c>
      <c r="GK27" s="207">
        <f t="shared" si="111"/>
        <v>3.5</v>
      </c>
      <c r="GL27" s="207">
        <v>1</v>
      </c>
      <c r="GM27" s="207">
        <f t="shared" si="112"/>
        <v>1.125</v>
      </c>
      <c r="GN27" s="207">
        <v>0</v>
      </c>
      <c r="GO27" s="207">
        <f t="shared" si="113"/>
        <v>0</v>
      </c>
      <c r="GP27" s="207">
        <f t="shared" si="114"/>
        <v>4.625</v>
      </c>
      <c r="GQ27" s="208">
        <f t="shared" si="115"/>
        <v>85.375</v>
      </c>
      <c r="GR27" s="205">
        <f t="shared" si="116"/>
        <v>15.682868923611112</v>
      </c>
      <c r="GS27" s="206" t="str">
        <f t="shared" si="117"/>
        <v>(1.46)</v>
      </c>
      <c r="GT27" s="207">
        <v>2</v>
      </c>
      <c r="GU27" s="207">
        <f t="shared" si="118"/>
        <v>3.5</v>
      </c>
      <c r="GV27" s="207">
        <v>1</v>
      </c>
      <c r="GW27" s="207">
        <f t="shared" si="119"/>
        <v>1.125</v>
      </c>
      <c r="GX27" s="207">
        <v>0</v>
      </c>
      <c r="GY27" s="207">
        <f t="shared" si="120"/>
        <v>0</v>
      </c>
      <c r="GZ27" s="207">
        <f t="shared" si="121"/>
        <v>4.625</v>
      </c>
      <c r="HA27" s="208">
        <f t="shared" si="122"/>
        <v>91.375</v>
      </c>
      <c r="HB27" s="205">
        <f t="shared" si="123"/>
        <v>16.712660590277778</v>
      </c>
      <c r="HC27" s="206" t="str">
        <f t="shared" si="124"/>
        <v>(1.55)</v>
      </c>
      <c r="HD27" s="207">
        <v>2</v>
      </c>
      <c r="HE27" s="207">
        <f t="shared" si="125"/>
        <v>3.5</v>
      </c>
      <c r="HF27" s="207">
        <v>1</v>
      </c>
      <c r="HG27" s="207">
        <f t="shared" si="126"/>
        <v>1.125</v>
      </c>
      <c r="HH27" s="207">
        <v>0</v>
      </c>
      <c r="HI27" s="207">
        <f t="shared" si="127"/>
        <v>0</v>
      </c>
      <c r="HJ27" s="207">
        <f t="shared" si="128"/>
        <v>4.625</v>
      </c>
      <c r="HK27" s="208">
        <f t="shared" si="129"/>
        <v>97.375</v>
      </c>
      <c r="HL27" s="205">
        <f t="shared" si="130"/>
        <v>17.399188368055558</v>
      </c>
      <c r="HM27" s="206" t="str">
        <f t="shared" si="131"/>
        <v>(1.62)</v>
      </c>
      <c r="HN27" s="207">
        <v>2</v>
      </c>
      <c r="HO27" s="207">
        <f t="shared" si="132"/>
        <v>3.5</v>
      </c>
      <c r="HP27" s="207">
        <v>1</v>
      </c>
      <c r="HQ27" s="207">
        <f t="shared" si="133"/>
        <v>1.125</v>
      </c>
      <c r="HR27" s="207">
        <v>2</v>
      </c>
      <c r="HS27" s="207">
        <f t="shared" si="134"/>
        <v>2</v>
      </c>
      <c r="HT27" s="207">
        <f t="shared" si="135"/>
        <v>6.625</v>
      </c>
      <c r="HU27" s="208">
        <f t="shared" si="136"/>
        <v>101.375</v>
      </c>
      <c r="HV27" s="205">
        <f t="shared" si="137"/>
        <v>18.428980034722223</v>
      </c>
      <c r="HW27" s="206" t="str">
        <f t="shared" si="138"/>
        <v>(1.71)</v>
      </c>
      <c r="HX27" s="207">
        <v>2</v>
      </c>
      <c r="HY27" s="207">
        <f t="shared" si="139"/>
        <v>3.5</v>
      </c>
      <c r="HZ27" s="207">
        <v>1</v>
      </c>
      <c r="IA27" s="207">
        <f t="shared" si="140"/>
        <v>1.125</v>
      </c>
      <c r="IB27" s="207">
        <v>2</v>
      </c>
      <c r="IC27" s="207">
        <f t="shared" si="141"/>
        <v>2</v>
      </c>
      <c r="ID27" s="207">
        <f t="shared" si="142"/>
        <v>6.625</v>
      </c>
      <c r="IE27" s="208">
        <f t="shared" si="143"/>
        <v>107.375</v>
      </c>
      <c r="IF27" s="205">
        <f t="shared" si="144"/>
        <v>19.458771701388891</v>
      </c>
      <c r="IG27" s="206" t="str">
        <f t="shared" si="145"/>
        <v>(1.81)</v>
      </c>
      <c r="IH27" s="21">
        <v>2</v>
      </c>
      <c r="II27" s="21">
        <f t="shared" si="146"/>
        <v>3.5</v>
      </c>
      <c r="IJ27" s="21">
        <v>1</v>
      </c>
      <c r="IK27" s="21">
        <f t="shared" si="147"/>
        <v>1.125</v>
      </c>
      <c r="IL27" s="21">
        <v>2</v>
      </c>
      <c r="IM27" s="21">
        <f t="shared" si="148"/>
        <v>2</v>
      </c>
      <c r="IN27" s="21">
        <f t="shared" si="149"/>
        <v>6.625</v>
      </c>
      <c r="IO27" s="22">
        <f t="shared" si="150"/>
        <v>113.375</v>
      </c>
      <c r="IP27" s="23"/>
      <c r="IQ27" s="24">
        <v>9</v>
      </c>
      <c r="IR27" s="25">
        <v>2.6549999999999998</v>
      </c>
      <c r="IS27" s="25">
        <v>2.6469999999999998</v>
      </c>
      <c r="IT27" s="25">
        <v>0.88400000000000001</v>
      </c>
      <c r="IU27" s="25">
        <v>1.75</v>
      </c>
      <c r="IV27" s="25">
        <v>1</v>
      </c>
      <c r="IW27" s="25">
        <v>1.125</v>
      </c>
      <c r="IX27" s="7"/>
    </row>
    <row r="28" spans="2:258" ht="15.75" thickBot="1" x14ac:dyDescent="0.3">
      <c r="B28" s="79">
        <f t="shared" si="9"/>
        <v>66</v>
      </c>
      <c r="C28" s="147">
        <v>12</v>
      </c>
      <c r="D28" s="487"/>
      <c r="E28" s="468">
        <f t="shared" si="0"/>
        <v>0.43570012626262627</v>
      </c>
      <c r="F28" s="468">
        <f t="shared" si="1"/>
        <v>0.49550210437710446</v>
      </c>
      <c r="G28" s="468">
        <f t="shared" si="2"/>
        <v>0.52540309343434355</v>
      </c>
      <c r="H28" s="468">
        <f t="shared" si="3"/>
        <v>0.54334368686868684</v>
      </c>
      <c r="I28" s="468">
        <f t="shared" si="4"/>
        <v>0.55530408249158258</v>
      </c>
      <c r="J28" s="468">
        <f t="shared" si="5"/>
        <v>0.56384722222222217</v>
      </c>
      <c r="K28" s="468">
        <f t="shared" si="6"/>
        <v>0.5702545770202021</v>
      </c>
      <c r="L28" s="468">
        <f t="shared" si="7"/>
        <v>0.56384722222222228</v>
      </c>
      <c r="M28" s="468">
        <f t="shared" si="8"/>
        <v>0.56897310606060603</v>
      </c>
      <c r="N28" s="488"/>
      <c r="O28" s="488"/>
      <c r="P28" s="488"/>
      <c r="Q28" s="488"/>
      <c r="R28" s="488"/>
      <c r="S28" s="488"/>
      <c r="T28" s="488"/>
      <c r="U28" s="488"/>
      <c r="V28" s="488"/>
      <c r="W28" s="488"/>
      <c r="X28" s="76"/>
      <c r="Y28" s="46"/>
      <c r="AA28" s="61"/>
      <c r="AT28" s="3"/>
      <c r="AU28" s="13">
        <f t="shared" si="151"/>
        <v>48</v>
      </c>
      <c r="AV28" s="11" t="str">
        <f t="shared" si="10"/>
        <v>(1200)</v>
      </c>
      <c r="AW28" s="18"/>
      <c r="AX28" s="19">
        <f t="shared" si="11"/>
        <v>1.0912152777777777</v>
      </c>
      <c r="AY28" s="20" t="str">
        <f t="shared" si="12"/>
        <v>(0.10)</v>
      </c>
      <c r="AZ28" s="21">
        <v>2</v>
      </c>
      <c r="BA28" s="21">
        <f t="shared" si="13"/>
        <v>3.5</v>
      </c>
      <c r="BB28" s="21">
        <v>0</v>
      </c>
      <c r="BC28" s="21">
        <f t="shared" si="14"/>
        <v>0</v>
      </c>
      <c r="BD28" s="21">
        <v>0</v>
      </c>
      <c r="BE28" s="21">
        <f t="shared" si="15"/>
        <v>0</v>
      </c>
      <c r="BF28" s="21">
        <f t="shared" si="16"/>
        <v>3.5</v>
      </c>
      <c r="BG28" s="22">
        <f t="shared" si="17"/>
        <v>5.5</v>
      </c>
      <c r="BH28" s="205">
        <f t="shared" si="18"/>
        <v>1.6864236111111108</v>
      </c>
      <c r="BI28" s="206" t="str">
        <f t="shared" si="19"/>
        <v>(0.16)</v>
      </c>
      <c r="BJ28" s="207">
        <v>2</v>
      </c>
      <c r="BK28" s="207">
        <f t="shared" si="20"/>
        <v>3.5</v>
      </c>
      <c r="BL28" s="207">
        <v>0</v>
      </c>
      <c r="BM28" s="207">
        <f t="shared" si="21"/>
        <v>0</v>
      </c>
      <c r="BN28" s="207">
        <v>0</v>
      </c>
      <c r="BO28" s="207">
        <f t="shared" si="22"/>
        <v>0</v>
      </c>
      <c r="BP28" s="207">
        <f t="shared" si="23"/>
        <v>3.5</v>
      </c>
      <c r="BQ28" s="208">
        <f t="shared" si="24"/>
        <v>8.5</v>
      </c>
      <c r="BR28" s="205">
        <f t="shared" si="25"/>
        <v>2.8768402777777773</v>
      </c>
      <c r="BS28" s="206" t="str">
        <f t="shared" si="26"/>
        <v>(0.27)</v>
      </c>
      <c r="BT28" s="207">
        <v>2</v>
      </c>
      <c r="BU28" s="207">
        <f t="shared" si="27"/>
        <v>3.5</v>
      </c>
      <c r="BV28" s="207">
        <v>0</v>
      </c>
      <c r="BW28" s="207">
        <f t="shared" si="28"/>
        <v>0</v>
      </c>
      <c r="BX28" s="207">
        <v>0</v>
      </c>
      <c r="BY28" s="207">
        <f t="shared" si="29"/>
        <v>0</v>
      </c>
      <c r="BZ28" s="207">
        <f t="shared" si="30"/>
        <v>3.5</v>
      </c>
      <c r="CA28" s="208">
        <f t="shared" si="31"/>
        <v>14.5</v>
      </c>
      <c r="CB28" s="205">
        <f t="shared" si="32"/>
        <v>4.067256944444444</v>
      </c>
      <c r="CC28" s="206" t="str">
        <f t="shared" si="33"/>
        <v>(0.38)</v>
      </c>
      <c r="CD28" s="207">
        <v>2</v>
      </c>
      <c r="CE28" s="207">
        <f t="shared" si="34"/>
        <v>3.5</v>
      </c>
      <c r="CF28" s="207">
        <v>0</v>
      </c>
      <c r="CG28" s="207">
        <f t="shared" si="35"/>
        <v>0</v>
      </c>
      <c r="CH28" s="207">
        <v>0</v>
      </c>
      <c r="CI28" s="207">
        <f t="shared" si="36"/>
        <v>0</v>
      </c>
      <c r="CJ28" s="207">
        <f t="shared" si="37"/>
        <v>3.5</v>
      </c>
      <c r="CK28" s="208">
        <f t="shared" si="38"/>
        <v>20.5</v>
      </c>
      <c r="CL28" s="205">
        <f t="shared" si="39"/>
        <v>5.2576736111111106</v>
      </c>
      <c r="CM28" s="206" t="str">
        <f t="shared" si="40"/>
        <v>(0.49)</v>
      </c>
      <c r="CN28" s="207">
        <v>2</v>
      </c>
      <c r="CO28" s="207">
        <f t="shared" si="41"/>
        <v>3.5</v>
      </c>
      <c r="CP28" s="207">
        <v>0</v>
      </c>
      <c r="CQ28" s="207">
        <f t="shared" si="42"/>
        <v>0</v>
      </c>
      <c r="CR28" s="207">
        <v>0</v>
      </c>
      <c r="CS28" s="207">
        <f t="shared" si="43"/>
        <v>0</v>
      </c>
      <c r="CT28" s="207">
        <f t="shared" si="44"/>
        <v>3.5</v>
      </c>
      <c r="CU28" s="208">
        <f t="shared" si="45"/>
        <v>26.5</v>
      </c>
      <c r="CV28" s="205">
        <f t="shared" si="46"/>
        <v>6.4480902777777764</v>
      </c>
      <c r="CW28" s="206" t="str">
        <f t="shared" si="47"/>
        <v>(0.6)</v>
      </c>
      <c r="CX28" s="207">
        <v>2</v>
      </c>
      <c r="CY28" s="207">
        <f t="shared" si="48"/>
        <v>3.5</v>
      </c>
      <c r="CZ28" s="207">
        <v>0</v>
      </c>
      <c r="DA28" s="207">
        <f t="shared" si="49"/>
        <v>0</v>
      </c>
      <c r="DB28" s="207">
        <v>0</v>
      </c>
      <c r="DC28" s="207">
        <f t="shared" si="50"/>
        <v>0</v>
      </c>
      <c r="DD28" s="207">
        <f t="shared" si="51"/>
        <v>3.5</v>
      </c>
      <c r="DE28" s="208">
        <f t="shared" si="52"/>
        <v>32.5</v>
      </c>
      <c r="DF28" s="205">
        <f t="shared" si="53"/>
        <v>7.638506944444444</v>
      </c>
      <c r="DG28" s="206" t="str">
        <f t="shared" si="54"/>
        <v>(0.71)</v>
      </c>
      <c r="DH28" s="207">
        <v>2</v>
      </c>
      <c r="DI28" s="207">
        <f t="shared" si="55"/>
        <v>3.5</v>
      </c>
      <c r="DJ28" s="207">
        <v>0</v>
      </c>
      <c r="DK28" s="207">
        <f t="shared" si="56"/>
        <v>0</v>
      </c>
      <c r="DL28" s="207">
        <v>0</v>
      </c>
      <c r="DM28" s="207">
        <f t="shared" si="57"/>
        <v>0</v>
      </c>
      <c r="DN28" s="207">
        <f t="shared" si="58"/>
        <v>3.5</v>
      </c>
      <c r="DO28" s="208">
        <f t="shared" si="59"/>
        <v>38.5</v>
      </c>
      <c r="DP28" s="209">
        <f t="shared" si="60"/>
        <v>8.8289236111111098</v>
      </c>
      <c r="DQ28" s="210" t="str">
        <f t="shared" si="61"/>
        <v>(0.82)</v>
      </c>
      <c r="DR28" s="207">
        <v>2</v>
      </c>
      <c r="DS28" s="207">
        <f t="shared" si="62"/>
        <v>3.5</v>
      </c>
      <c r="DT28" s="207">
        <v>0</v>
      </c>
      <c r="DU28" s="207">
        <f t="shared" si="63"/>
        <v>0</v>
      </c>
      <c r="DV28" s="207">
        <v>0</v>
      </c>
      <c r="DW28" s="207">
        <f t="shared" si="64"/>
        <v>0</v>
      </c>
      <c r="DX28" s="207">
        <f t="shared" si="65"/>
        <v>3.5</v>
      </c>
      <c r="DY28" s="208">
        <f t="shared" si="66"/>
        <v>44.5</v>
      </c>
      <c r="DZ28" s="205">
        <f t="shared" si="67"/>
        <v>9.8209374999999994</v>
      </c>
      <c r="EA28" s="206" t="str">
        <f t="shared" si="68"/>
        <v>(0.91)</v>
      </c>
      <c r="EB28" s="207">
        <v>2</v>
      </c>
      <c r="EC28" s="207">
        <f t="shared" si="69"/>
        <v>3.5</v>
      </c>
      <c r="ED28" s="207">
        <v>0</v>
      </c>
      <c r="EE28" s="207">
        <f t="shared" si="70"/>
        <v>0</v>
      </c>
      <c r="EF28" s="207">
        <v>1</v>
      </c>
      <c r="EG28" s="207">
        <f t="shared" si="71"/>
        <v>1</v>
      </c>
      <c r="EH28" s="207">
        <f t="shared" si="72"/>
        <v>4.5</v>
      </c>
      <c r="EI28" s="208">
        <f t="shared" si="73"/>
        <v>49.5</v>
      </c>
      <c r="EJ28" s="205">
        <f t="shared" si="74"/>
        <v>11.011354166666665</v>
      </c>
      <c r="EK28" s="206" t="str">
        <f t="shared" si="75"/>
        <v>(1.02)</v>
      </c>
      <c r="EL28" s="207">
        <v>2</v>
      </c>
      <c r="EM28" s="207">
        <f t="shared" si="76"/>
        <v>3.5</v>
      </c>
      <c r="EN28" s="207">
        <v>0</v>
      </c>
      <c r="EO28" s="207">
        <f t="shared" si="77"/>
        <v>0</v>
      </c>
      <c r="EP28" s="207">
        <v>1</v>
      </c>
      <c r="EQ28" s="207">
        <f t="shared" si="78"/>
        <v>1</v>
      </c>
      <c r="ER28" s="207">
        <f t="shared" si="79"/>
        <v>4.5</v>
      </c>
      <c r="ES28" s="208">
        <f t="shared" si="80"/>
        <v>55.5</v>
      </c>
      <c r="ET28" s="205">
        <f t="shared" si="81"/>
        <v>12.201770833333333</v>
      </c>
      <c r="EU28" s="206" t="str">
        <f t="shared" si="82"/>
        <v>(1.13)</v>
      </c>
      <c r="EV28" s="207">
        <v>2</v>
      </c>
      <c r="EW28" s="207">
        <f t="shared" si="83"/>
        <v>3.5</v>
      </c>
      <c r="EX28" s="207">
        <v>0</v>
      </c>
      <c r="EY28" s="207">
        <f t="shared" si="84"/>
        <v>0</v>
      </c>
      <c r="EZ28" s="207">
        <v>1</v>
      </c>
      <c r="FA28" s="207">
        <f t="shared" si="85"/>
        <v>1</v>
      </c>
      <c r="FB28" s="207">
        <f t="shared" si="86"/>
        <v>4.5</v>
      </c>
      <c r="FC28" s="208">
        <f t="shared" si="87"/>
        <v>61.5</v>
      </c>
      <c r="FD28" s="205">
        <f t="shared" si="88"/>
        <v>13.590590277777777</v>
      </c>
      <c r="FE28" s="206" t="str">
        <f t="shared" si="89"/>
        <v>(1.26)</v>
      </c>
      <c r="FF28" s="207">
        <v>2</v>
      </c>
      <c r="FG28" s="207">
        <f t="shared" si="90"/>
        <v>3.5</v>
      </c>
      <c r="FH28" s="469">
        <v>0</v>
      </c>
      <c r="FI28" s="207">
        <f t="shared" si="91"/>
        <v>0</v>
      </c>
      <c r="FJ28" s="207">
        <v>0</v>
      </c>
      <c r="FK28" s="207">
        <f t="shared" si="92"/>
        <v>0</v>
      </c>
      <c r="FL28" s="207">
        <f t="shared" si="93"/>
        <v>3.5</v>
      </c>
      <c r="FM28" s="208">
        <f t="shared" si="94"/>
        <v>68.5</v>
      </c>
      <c r="FN28" s="205">
        <f t="shared" si="95"/>
        <v>14.557803819444441</v>
      </c>
      <c r="FO28" s="206" t="str">
        <f t="shared" si="96"/>
        <v>(1.35)</v>
      </c>
      <c r="FP28" s="207">
        <v>2</v>
      </c>
      <c r="FQ28" s="207">
        <f t="shared" si="97"/>
        <v>3.5</v>
      </c>
      <c r="FR28" s="207">
        <v>1</v>
      </c>
      <c r="FS28" s="207">
        <f t="shared" si="98"/>
        <v>1.125</v>
      </c>
      <c r="FT28" s="207">
        <v>0</v>
      </c>
      <c r="FU28" s="207">
        <f t="shared" si="99"/>
        <v>0</v>
      </c>
      <c r="FV28" s="207">
        <f t="shared" si="100"/>
        <v>4.625</v>
      </c>
      <c r="FW28" s="208">
        <f t="shared" si="101"/>
        <v>73.375</v>
      </c>
      <c r="FX28" s="205">
        <f t="shared" si="102"/>
        <v>15.748220486111109</v>
      </c>
      <c r="FY28" s="206" t="str">
        <f t="shared" si="103"/>
        <v>(1.46)</v>
      </c>
      <c r="FZ28" s="207">
        <v>2</v>
      </c>
      <c r="GA28" s="207">
        <f t="shared" si="104"/>
        <v>3.5</v>
      </c>
      <c r="GB28" s="207">
        <v>1</v>
      </c>
      <c r="GC28" s="207">
        <f t="shared" si="105"/>
        <v>1.125</v>
      </c>
      <c r="GD28" s="207">
        <v>0</v>
      </c>
      <c r="GE28" s="207">
        <f t="shared" si="106"/>
        <v>0</v>
      </c>
      <c r="GF28" s="207">
        <f t="shared" si="107"/>
        <v>4.625</v>
      </c>
      <c r="GG28" s="208">
        <f t="shared" si="108"/>
        <v>79.375</v>
      </c>
      <c r="GH28" s="205">
        <f t="shared" si="109"/>
        <v>16.938637152777776</v>
      </c>
      <c r="GI28" s="206" t="str">
        <f t="shared" si="110"/>
        <v>(1.57)</v>
      </c>
      <c r="GJ28" s="207">
        <v>2</v>
      </c>
      <c r="GK28" s="207">
        <f t="shared" si="111"/>
        <v>3.5</v>
      </c>
      <c r="GL28" s="207">
        <v>1</v>
      </c>
      <c r="GM28" s="207">
        <f t="shared" si="112"/>
        <v>1.125</v>
      </c>
      <c r="GN28" s="207">
        <v>0</v>
      </c>
      <c r="GO28" s="207">
        <f t="shared" si="113"/>
        <v>0</v>
      </c>
      <c r="GP28" s="207">
        <f t="shared" si="114"/>
        <v>4.625</v>
      </c>
      <c r="GQ28" s="208">
        <f t="shared" si="115"/>
        <v>85.375</v>
      </c>
      <c r="GR28" s="205">
        <f t="shared" si="116"/>
        <v>18.129053819444444</v>
      </c>
      <c r="GS28" s="206" t="str">
        <f t="shared" si="117"/>
        <v>(1.68)</v>
      </c>
      <c r="GT28" s="207">
        <v>2</v>
      </c>
      <c r="GU28" s="207">
        <f t="shared" si="118"/>
        <v>3.5</v>
      </c>
      <c r="GV28" s="207">
        <v>1</v>
      </c>
      <c r="GW28" s="207">
        <f t="shared" si="119"/>
        <v>1.125</v>
      </c>
      <c r="GX28" s="207">
        <v>0</v>
      </c>
      <c r="GY28" s="207">
        <f t="shared" si="120"/>
        <v>0</v>
      </c>
      <c r="GZ28" s="207">
        <f t="shared" si="121"/>
        <v>4.625</v>
      </c>
      <c r="HA28" s="208">
        <f t="shared" si="122"/>
        <v>91.375</v>
      </c>
      <c r="HB28" s="205">
        <f t="shared" si="123"/>
        <v>19.319470486111111</v>
      </c>
      <c r="HC28" s="206" t="str">
        <f t="shared" si="124"/>
        <v>(1.79)</v>
      </c>
      <c r="HD28" s="207">
        <v>2</v>
      </c>
      <c r="HE28" s="207">
        <f t="shared" si="125"/>
        <v>3.5</v>
      </c>
      <c r="HF28" s="207">
        <v>1</v>
      </c>
      <c r="HG28" s="207">
        <f t="shared" si="126"/>
        <v>1.125</v>
      </c>
      <c r="HH28" s="207">
        <v>0</v>
      </c>
      <c r="HI28" s="207">
        <f t="shared" si="127"/>
        <v>0</v>
      </c>
      <c r="HJ28" s="207">
        <f t="shared" si="128"/>
        <v>4.625</v>
      </c>
      <c r="HK28" s="208">
        <f t="shared" si="129"/>
        <v>97.375</v>
      </c>
      <c r="HL28" s="205">
        <f t="shared" si="130"/>
        <v>20.113081597222219</v>
      </c>
      <c r="HM28" s="206" t="str">
        <f t="shared" si="131"/>
        <v>(1.87)</v>
      </c>
      <c r="HN28" s="207">
        <v>2</v>
      </c>
      <c r="HO28" s="207">
        <f t="shared" si="132"/>
        <v>3.5</v>
      </c>
      <c r="HP28" s="207">
        <v>1</v>
      </c>
      <c r="HQ28" s="207">
        <f t="shared" si="133"/>
        <v>1.125</v>
      </c>
      <c r="HR28" s="207">
        <v>2</v>
      </c>
      <c r="HS28" s="207">
        <f t="shared" si="134"/>
        <v>2</v>
      </c>
      <c r="HT28" s="207">
        <f t="shared" si="135"/>
        <v>6.625</v>
      </c>
      <c r="HU28" s="208">
        <f t="shared" si="136"/>
        <v>101.375</v>
      </c>
      <c r="HV28" s="205">
        <f t="shared" si="137"/>
        <v>21.303498263888887</v>
      </c>
      <c r="HW28" s="206" t="str">
        <f t="shared" si="138"/>
        <v>(1.98)</v>
      </c>
      <c r="HX28" s="207">
        <v>2</v>
      </c>
      <c r="HY28" s="207">
        <f t="shared" si="139"/>
        <v>3.5</v>
      </c>
      <c r="HZ28" s="207">
        <v>1</v>
      </c>
      <c r="IA28" s="207">
        <f t="shared" si="140"/>
        <v>1.125</v>
      </c>
      <c r="IB28" s="207">
        <v>2</v>
      </c>
      <c r="IC28" s="207">
        <f t="shared" si="141"/>
        <v>2</v>
      </c>
      <c r="ID28" s="207">
        <f t="shared" si="142"/>
        <v>6.625</v>
      </c>
      <c r="IE28" s="208">
        <f t="shared" si="143"/>
        <v>107.375</v>
      </c>
      <c r="IF28" s="205">
        <f t="shared" si="144"/>
        <v>22.493914930555555</v>
      </c>
      <c r="IG28" s="206" t="str">
        <f t="shared" si="145"/>
        <v>(2.09)</v>
      </c>
      <c r="IH28" s="21">
        <v>2</v>
      </c>
      <c r="II28" s="21">
        <f t="shared" si="146"/>
        <v>3.5</v>
      </c>
      <c r="IJ28" s="21">
        <v>1</v>
      </c>
      <c r="IK28" s="21">
        <f t="shared" si="147"/>
        <v>1.125</v>
      </c>
      <c r="IL28" s="21">
        <v>2</v>
      </c>
      <c r="IM28" s="21">
        <f t="shared" si="148"/>
        <v>2</v>
      </c>
      <c r="IN28" s="21">
        <f t="shared" si="149"/>
        <v>6.625</v>
      </c>
      <c r="IO28" s="22">
        <f t="shared" si="150"/>
        <v>113.375</v>
      </c>
      <c r="IP28" s="23"/>
      <c r="IQ28" s="24">
        <v>10</v>
      </c>
      <c r="IR28" s="25">
        <v>2.6549999999999998</v>
      </c>
      <c r="IS28" s="25">
        <v>2.6469999999999998</v>
      </c>
      <c r="IT28" s="25">
        <v>2.0920000000000001</v>
      </c>
      <c r="IU28" s="25">
        <v>1.75</v>
      </c>
      <c r="IV28" s="25">
        <v>1</v>
      </c>
      <c r="IW28" s="25">
        <v>1.125</v>
      </c>
      <c r="IX28" s="7"/>
    </row>
    <row r="29" spans="2:258" ht="15.75" thickBot="1" x14ac:dyDescent="0.3">
      <c r="B29" s="79">
        <f t="shared" si="9"/>
        <v>72</v>
      </c>
      <c r="C29" s="148">
        <v>13</v>
      </c>
      <c r="D29" s="487"/>
      <c r="E29" s="468">
        <f t="shared" si="0"/>
        <v>0.4373171296296296</v>
      </c>
      <c r="F29" s="468">
        <f t="shared" si="1"/>
        <v>0.49734104938271606</v>
      </c>
      <c r="G29" s="468">
        <f t="shared" si="2"/>
        <v>0.52735300925925921</v>
      </c>
      <c r="H29" s="468">
        <f t="shared" si="3"/>
        <v>0.54536018518518525</v>
      </c>
      <c r="I29" s="468">
        <f t="shared" si="4"/>
        <v>0.55736496913580247</v>
      </c>
      <c r="J29" s="468">
        <f t="shared" si="5"/>
        <v>0.56593981481481481</v>
      </c>
      <c r="K29" s="468">
        <f t="shared" si="6"/>
        <v>0.57237094907407415</v>
      </c>
      <c r="L29" s="468">
        <f t="shared" si="7"/>
        <v>0.56593981481481481</v>
      </c>
      <c r="M29" s="468">
        <f t="shared" si="8"/>
        <v>0.57108472222222217</v>
      </c>
      <c r="N29" s="488"/>
      <c r="O29" s="488"/>
      <c r="P29" s="488"/>
      <c r="Q29" s="488"/>
      <c r="R29" s="488"/>
      <c r="S29" s="488"/>
      <c r="T29" s="488"/>
      <c r="U29" s="488"/>
      <c r="V29" s="488"/>
      <c r="W29" s="488"/>
      <c r="X29" s="76"/>
      <c r="Y29" s="46"/>
      <c r="AA29" s="61"/>
      <c r="AT29" s="3"/>
      <c r="AU29" s="13">
        <f t="shared" si="151"/>
        <v>54</v>
      </c>
      <c r="AV29" s="11" t="str">
        <f t="shared" si="10"/>
        <v>(1350)</v>
      </c>
      <c r="AW29" s="18"/>
      <c r="AX29" s="19">
        <f t="shared" si="11"/>
        <v>1.2472777777777777</v>
      </c>
      <c r="AY29" s="20" t="str">
        <f t="shared" si="12"/>
        <v>(0.12)</v>
      </c>
      <c r="AZ29" s="21">
        <v>2</v>
      </c>
      <c r="BA29" s="21">
        <f t="shared" si="13"/>
        <v>3.5</v>
      </c>
      <c r="BB29" s="21">
        <v>0</v>
      </c>
      <c r="BC29" s="21">
        <f t="shared" si="14"/>
        <v>0</v>
      </c>
      <c r="BD29" s="21">
        <v>0</v>
      </c>
      <c r="BE29" s="21">
        <f t="shared" si="15"/>
        <v>0</v>
      </c>
      <c r="BF29" s="21">
        <f t="shared" si="16"/>
        <v>3.5</v>
      </c>
      <c r="BG29" s="22">
        <f t="shared" si="17"/>
        <v>5.5</v>
      </c>
      <c r="BH29" s="205">
        <f t="shared" si="18"/>
        <v>1.9276111111111109</v>
      </c>
      <c r="BI29" s="206" t="str">
        <f t="shared" si="19"/>
        <v>(0.18)</v>
      </c>
      <c r="BJ29" s="207">
        <v>2</v>
      </c>
      <c r="BK29" s="207">
        <f t="shared" si="20"/>
        <v>3.5</v>
      </c>
      <c r="BL29" s="207">
        <v>0</v>
      </c>
      <c r="BM29" s="207">
        <f t="shared" si="21"/>
        <v>0</v>
      </c>
      <c r="BN29" s="207">
        <v>0</v>
      </c>
      <c r="BO29" s="207">
        <f t="shared" si="22"/>
        <v>0</v>
      </c>
      <c r="BP29" s="207">
        <f t="shared" si="23"/>
        <v>3.5</v>
      </c>
      <c r="BQ29" s="208">
        <f t="shared" si="24"/>
        <v>8.5</v>
      </c>
      <c r="BR29" s="205">
        <f t="shared" si="25"/>
        <v>3.2882777777777776</v>
      </c>
      <c r="BS29" s="206" t="str">
        <f t="shared" si="26"/>
        <v>(0.31)</v>
      </c>
      <c r="BT29" s="207">
        <v>2</v>
      </c>
      <c r="BU29" s="207">
        <f t="shared" si="27"/>
        <v>3.5</v>
      </c>
      <c r="BV29" s="207">
        <v>0</v>
      </c>
      <c r="BW29" s="207">
        <f t="shared" si="28"/>
        <v>0</v>
      </c>
      <c r="BX29" s="207">
        <v>0</v>
      </c>
      <c r="BY29" s="207">
        <f t="shared" si="29"/>
        <v>0</v>
      </c>
      <c r="BZ29" s="207">
        <f t="shared" si="30"/>
        <v>3.5</v>
      </c>
      <c r="CA29" s="208">
        <f t="shared" si="31"/>
        <v>14.5</v>
      </c>
      <c r="CB29" s="205">
        <f t="shared" si="32"/>
        <v>4.6489444444444441</v>
      </c>
      <c r="CC29" s="206" t="str">
        <f t="shared" si="33"/>
        <v>(0.43)</v>
      </c>
      <c r="CD29" s="207">
        <v>2</v>
      </c>
      <c r="CE29" s="207">
        <f t="shared" si="34"/>
        <v>3.5</v>
      </c>
      <c r="CF29" s="207">
        <v>0</v>
      </c>
      <c r="CG29" s="207">
        <f t="shared" si="35"/>
        <v>0</v>
      </c>
      <c r="CH29" s="207">
        <v>0</v>
      </c>
      <c r="CI29" s="207">
        <f t="shared" si="36"/>
        <v>0</v>
      </c>
      <c r="CJ29" s="207">
        <f t="shared" si="37"/>
        <v>3.5</v>
      </c>
      <c r="CK29" s="208">
        <f t="shared" si="38"/>
        <v>20.5</v>
      </c>
      <c r="CL29" s="205">
        <f t="shared" si="39"/>
        <v>6.009611111111111</v>
      </c>
      <c r="CM29" s="206" t="str">
        <f t="shared" si="40"/>
        <v>(0.56)</v>
      </c>
      <c r="CN29" s="207">
        <v>2</v>
      </c>
      <c r="CO29" s="207">
        <f t="shared" si="41"/>
        <v>3.5</v>
      </c>
      <c r="CP29" s="207">
        <v>0</v>
      </c>
      <c r="CQ29" s="207">
        <f t="shared" si="42"/>
        <v>0</v>
      </c>
      <c r="CR29" s="207">
        <v>0</v>
      </c>
      <c r="CS29" s="207">
        <f t="shared" si="43"/>
        <v>0</v>
      </c>
      <c r="CT29" s="207">
        <f t="shared" si="44"/>
        <v>3.5</v>
      </c>
      <c r="CU29" s="208">
        <f t="shared" si="45"/>
        <v>26.5</v>
      </c>
      <c r="CV29" s="205">
        <f t="shared" si="46"/>
        <v>7.370277777777777</v>
      </c>
      <c r="CW29" s="206" t="str">
        <f t="shared" si="47"/>
        <v>(0.68)</v>
      </c>
      <c r="CX29" s="207">
        <v>2</v>
      </c>
      <c r="CY29" s="207">
        <f t="shared" si="48"/>
        <v>3.5</v>
      </c>
      <c r="CZ29" s="207">
        <v>0</v>
      </c>
      <c r="DA29" s="207">
        <f t="shared" si="49"/>
        <v>0</v>
      </c>
      <c r="DB29" s="207">
        <v>0</v>
      </c>
      <c r="DC29" s="207">
        <f t="shared" si="50"/>
        <v>0</v>
      </c>
      <c r="DD29" s="207">
        <f t="shared" si="51"/>
        <v>3.5</v>
      </c>
      <c r="DE29" s="208">
        <f t="shared" si="52"/>
        <v>32.5</v>
      </c>
      <c r="DF29" s="205">
        <f t="shared" si="53"/>
        <v>8.7309444444444431</v>
      </c>
      <c r="DG29" s="206" t="str">
        <f t="shared" si="54"/>
        <v>(0.81)</v>
      </c>
      <c r="DH29" s="207">
        <v>2</v>
      </c>
      <c r="DI29" s="207">
        <f t="shared" si="55"/>
        <v>3.5</v>
      </c>
      <c r="DJ29" s="207">
        <v>0</v>
      </c>
      <c r="DK29" s="207">
        <f t="shared" si="56"/>
        <v>0</v>
      </c>
      <c r="DL29" s="207">
        <v>0</v>
      </c>
      <c r="DM29" s="207">
        <f t="shared" si="57"/>
        <v>0</v>
      </c>
      <c r="DN29" s="207">
        <f t="shared" si="58"/>
        <v>3.5</v>
      </c>
      <c r="DO29" s="208">
        <f t="shared" si="59"/>
        <v>38.5</v>
      </c>
      <c r="DP29" s="205">
        <f t="shared" si="60"/>
        <v>10.091611111111112</v>
      </c>
      <c r="DQ29" s="206" t="str">
        <f t="shared" si="61"/>
        <v>(0.94)</v>
      </c>
      <c r="DR29" s="207">
        <v>2</v>
      </c>
      <c r="DS29" s="207">
        <f t="shared" si="62"/>
        <v>3.5</v>
      </c>
      <c r="DT29" s="207">
        <v>0</v>
      </c>
      <c r="DU29" s="207">
        <f t="shared" si="63"/>
        <v>0</v>
      </c>
      <c r="DV29" s="207">
        <v>0</v>
      </c>
      <c r="DW29" s="207">
        <f t="shared" si="64"/>
        <v>0</v>
      </c>
      <c r="DX29" s="207">
        <f t="shared" si="65"/>
        <v>3.5</v>
      </c>
      <c r="DY29" s="208">
        <f t="shared" si="66"/>
        <v>44.5</v>
      </c>
      <c r="DZ29" s="205">
        <f t="shared" si="67"/>
        <v>11.2255</v>
      </c>
      <c r="EA29" s="206" t="str">
        <f t="shared" si="68"/>
        <v>(1.04)</v>
      </c>
      <c r="EB29" s="207">
        <v>2</v>
      </c>
      <c r="EC29" s="207">
        <f t="shared" si="69"/>
        <v>3.5</v>
      </c>
      <c r="ED29" s="207">
        <v>0</v>
      </c>
      <c r="EE29" s="207">
        <f t="shared" si="70"/>
        <v>0</v>
      </c>
      <c r="EF29" s="207">
        <v>1</v>
      </c>
      <c r="EG29" s="207">
        <f t="shared" si="71"/>
        <v>1</v>
      </c>
      <c r="EH29" s="207">
        <f t="shared" si="72"/>
        <v>4.5</v>
      </c>
      <c r="EI29" s="208">
        <f t="shared" si="73"/>
        <v>49.5</v>
      </c>
      <c r="EJ29" s="205">
        <f t="shared" si="74"/>
        <v>12.586166666666665</v>
      </c>
      <c r="EK29" s="206" t="str">
        <f t="shared" si="75"/>
        <v>(1.17)</v>
      </c>
      <c r="EL29" s="207">
        <v>2</v>
      </c>
      <c r="EM29" s="207">
        <f t="shared" si="76"/>
        <v>3.5</v>
      </c>
      <c r="EN29" s="207">
        <v>0</v>
      </c>
      <c r="EO29" s="207">
        <f t="shared" si="77"/>
        <v>0</v>
      </c>
      <c r="EP29" s="207">
        <v>1</v>
      </c>
      <c r="EQ29" s="207">
        <f t="shared" si="78"/>
        <v>1</v>
      </c>
      <c r="ER29" s="207">
        <f t="shared" si="79"/>
        <v>4.5</v>
      </c>
      <c r="ES29" s="208">
        <f t="shared" si="80"/>
        <v>55.5</v>
      </c>
      <c r="ET29" s="205">
        <f t="shared" si="81"/>
        <v>13.946833333333332</v>
      </c>
      <c r="EU29" s="206" t="str">
        <f t="shared" si="82"/>
        <v>(1.30)</v>
      </c>
      <c r="EV29" s="207">
        <v>2</v>
      </c>
      <c r="EW29" s="207">
        <f t="shared" si="83"/>
        <v>3.5</v>
      </c>
      <c r="EX29" s="207">
        <v>0</v>
      </c>
      <c r="EY29" s="207">
        <f t="shared" si="84"/>
        <v>0</v>
      </c>
      <c r="EZ29" s="207">
        <v>1</v>
      </c>
      <c r="FA29" s="207">
        <f t="shared" si="85"/>
        <v>1</v>
      </c>
      <c r="FB29" s="207">
        <f t="shared" si="86"/>
        <v>4.5</v>
      </c>
      <c r="FC29" s="208">
        <f t="shared" si="87"/>
        <v>61.5</v>
      </c>
      <c r="FD29" s="205">
        <f t="shared" si="88"/>
        <v>15.534277777777776</v>
      </c>
      <c r="FE29" s="206" t="str">
        <f t="shared" si="89"/>
        <v>(1.44)</v>
      </c>
      <c r="FF29" s="207">
        <v>2</v>
      </c>
      <c r="FG29" s="207">
        <f t="shared" si="90"/>
        <v>3.5</v>
      </c>
      <c r="FH29" s="469">
        <v>0</v>
      </c>
      <c r="FI29" s="207">
        <f t="shared" si="91"/>
        <v>0</v>
      </c>
      <c r="FJ29" s="207">
        <v>0</v>
      </c>
      <c r="FK29" s="207">
        <f t="shared" si="92"/>
        <v>0</v>
      </c>
      <c r="FL29" s="207">
        <f t="shared" si="93"/>
        <v>3.5</v>
      </c>
      <c r="FM29" s="208">
        <f t="shared" si="94"/>
        <v>68.5</v>
      </c>
      <c r="FN29" s="205">
        <f t="shared" si="95"/>
        <v>16.639819444444445</v>
      </c>
      <c r="FO29" s="206" t="str">
        <f t="shared" si="96"/>
        <v>(1.55)</v>
      </c>
      <c r="FP29" s="207">
        <v>2</v>
      </c>
      <c r="FQ29" s="207">
        <f t="shared" si="97"/>
        <v>3.5</v>
      </c>
      <c r="FR29" s="207">
        <v>1</v>
      </c>
      <c r="FS29" s="207">
        <f t="shared" si="98"/>
        <v>1.125</v>
      </c>
      <c r="FT29" s="207">
        <v>0</v>
      </c>
      <c r="FU29" s="207">
        <f t="shared" si="99"/>
        <v>0</v>
      </c>
      <c r="FV29" s="207">
        <f t="shared" si="100"/>
        <v>4.625</v>
      </c>
      <c r="FW29" s="208">
        <f t="shared" si="101"/>
        <v>73.375</v>
      </c>
      <c r="FX29" s="205">
        <f t="shared" si="102"/>
        <v>18.000486111111108</v>
      </c>
      <c r="FY29" s="206" t="str">
        <f t="shared" si="103"/>
        <v>(1.67)</v>
      </c>
      <c r="FZ29" s="207">
        <v>2</v>
      </c>
      <c r="GA29" s="207">
        <f t="shared" si="104"/>
        <v>3.5</v>
      </c>
      <c r="GB29" s="207">
        <v>1</v>
      </c>
      <c r="GC29" s="207">
        <f t="shared" si="105"/>
        <v>1.125</v>
      </c>
      <c r="GD29" s="207">
        <v>0</v>
      </c>
      <c r="GE29" s="207">
        <f t="shared" si="106"/>
        <v>0</v>
      </c>
      <c r="GF29" s="207">
        <f t="shared" si="107"/>
        <v>4.625</v>
      </c>
      <c r="GG29" s="208">
        <f t="shared" si="108"/>
        <v>79.375</v>
      </c>
      <c r="GH29" s="205">
        <f t="shared" si="109"/>
        <v>19.361152777777775</v>
      </c>
      <c r="GI29" s="206" t="str">
        <f t="shared" si="110"/>
        <v>(1.80)</v>
      </c>
      <c r="GJ29" s="207">
        <v>2</v>
      </c>
      <c r="GK29" s="207">
        <f t="shared" si="111"/>
        <v>3.5</v>
      </c>
      <c r="GL29" s="207">
        <v>1</v>
      </c>
      <c r="GM29" s="207">
        <f t="shared" si="112"/>
        <v>1.125</v>
      </c>
      <c r="GN29" s="207">
        <v>0</v>
      </c>
      <c r="GO29" s="207">
        <f t="shared" si="113"/>
        <v>0</v>
      </c>
      <c r="GP29" s="207">
        <f t="shared" si="114"/>
        <v>4.625</v>
      </c>
      <c r="GQ29" s="208">
        <f t="shared" si="115"/>
        <v>85.375</v>
      </c>
      <c r="GR29" s="205">
        <f t="shared" si="116"/>
        <v>20.721819444444446</v>
      </c>
      <c r="GS29" s="206" t="str">
        <f t="shared" si="117"/>
        <v>(1.93)</v>
      </c>
      <c r="GT29" s="207">
        <v>2</v>
      </c>
      <c r="GU29" s="207">
        <f t="shared" si="118"/>
        <v>3.5</v>
      </c>
      <c r="GV29" s="207">
        <v>1</v>
      </c>
      <c r="GW29" s="207">
        <f t="shared" si="119"/>
        <v>1.125</v>
      </c>
      <c r="GX29" s="207">
        <v>0</v>
      </c>
      <c r="GY29" s="207">
        <f t="shared" si="120"/>
        <v>0</v>
      </c>
      <c r="GZ29" s="207">
        <f t="shared" si="121"/>
        <v>4.625</v>
      </c>
      <c r="HA29" s="208">
        <f t="shared" si="122"/>
        <v>91.375</v>
      </c>
      <c r="HB29" s="205">
        <f t="shared" si="123"/>
        <v>22.082486111111109</v>
      </c>
      <c r="HC29" s="206" t="str">
        <f t="shared" si="124"/>
        <v>(2.05)</v>
      </c>
      <c r="HD29" s="207">
        <v>2</v>
      </c>
      <c r="HE29" s="207">
        <f t="shared" si="125"/>
        <v>3.5</v>
      </c>
      <c r="HF29" s="207">
        <v>1</v>
      </c>
      <c r="HG29" s="207">
        <f t="shared" si="126"/>
        <v>1.125</v>
      </c>
      <c r="HH29" s="207">
        <v>0</v>
      </c>
      <c r="HI29" s="207">
        <f t="shared" si="127"/>
        <v>0</v>
      </c>
      <c r="HJ29" s="207">
        <f t="shared" si="128"/>
        <v>4.625</v>
      </c>
      <c r="HK29" s="208">
        <f t="shared" si="129"/>
        <v>97.375</v>
      </c>
      <c r="HL29" s="205">
        <f t="shared" si="130"/>
        <v>22.989597222222223</v>
      </c>
      <c r="HM29" s="206" t="str">
        <f t="shared" si="131"/>
        <v>(2.14)</v>
      </c>
      <c r="HN29" s="207">
        <v>2</v>
      </c>
      <c r="HO29" s="207">
        <f t="shared" si="132"/>
        <v>3.5</v>
      </c>
      <c r="HP29" s="207">
        <v>1</v>
      </c>
      <c r="HQ29" s="207">
        <f t="shared" si="133"/>
        <v>1.125</v>
      </c>
      <c r="HR29" s="207">
        <v>2</v>
      </c>
      <c r="HS29" s="207">
        <f t="shared" si="134"/>
        <v>2</v>
      </c>
      <c r="HT29" s="207">
        <f t="shared" si="135"/>
        <v>6.625</v>
      </c>
      <c r="HU29" s="208">
        <f t="shared" si="136"/>
        <v>101.375</v>
      </c>
      <c r="HV29" s="205">
        <f t="shared" si="137"/>
        <v>24.350263888888886</v>
      </c>
      <c r="HW29" s="206" t="str">
        <f t="shared" si="138"/>
        <v>(2.26)</v>
      </c>
      <c r="HX29" s="207">
        <v>2</v>
      </c>
      <c r="HY29" s="207">
        <f t="shared" si="139"/>
        <v>3.5</v>
      </c>
      <c r="HZ29" s="207">
        <v>1</v>
      </c>
      <c r="IA29" s="207">
        <f t="shared" si="140"/>
        <v>1.125</v>
      </c>
      <c r="IB29" s="207">
        <v>2</v>
      </c>
      <c r="IC29" s="207">
        <f t="shared" si="141"/>
        <v>2</v>
      </c>
      <c r="ID29" s="207">
        <f t="shared" si="142"/>
        <v>6.625</v>
      </c>
      <c r="IE29" s="208">
        <f t="shared" si="143"/>
        <v>107.375</v>
      </c>
      <c r="IF29" s="205">
        <f t="shared" si="144"/>
        <v>25.710930555555553</v>
      </c>
      <c r="IG29" s="206" t="str">
        <f t="shared" si="145"/>
        <v>(2.39)</v>
      </c>
      <c r="IH29" s="21">
        <v>2</v>
      </c>
      <c r="II29" s="21">
        <f t="shared" si="146"/>
        <v>3.5</v>
      </c>
      <c r="IJ29" s="21">
        <v>1</v>
      </c>
      <c r="IK29" s="21">
        <f t="shared" si="147"/>
        <v>1.125</v>
      </c>
      <c r="IL29" s="21">
        <v>2</v>
      </c>
      <c r="IM29" s="21">
        <f t="shared" si="148"/>
        <v>2</v>
      </c>
      <c r="IN29" s="21">
        <f t="shared" si="149"/>
        <v>6.625</v>
      </c>
      <c r="IO29" s="22">
        <f t="shared" si="150"/>
        <v>113.375</v>
      </c>
      <c r="IP29" s="23"/>
      <c r="IQ29" s="24">
        <v>12</v>
      </c>
      <c r="IR29" s="25">
        <v>2.6549999999999998</v>
      </c>
      <c r="IS29" s="25">
        <v>2.6469999999999998</v>
      </c>
      <c r="IT29" s="25">
        <v>0.88400000000000001</v>
      </c>
      <c r="IU29" s="25">
        <v>1.75</v>
      </c>
      <c r="IV29" s="25">
        <v>1</v>
      </c>
      <c r="IW29" s="25">
        <v>1.125</v>
      </c>
      <c r="IX29" s="7"/>
    </row>
    <row r="30" spans="2:258" ht="15.75" thickBot="1" x14ac:dyDescent="0.3">
      <c r="B30" s="79">
        <f t="shared" si="9"/>
        <v>78</v>
      </c>
      <c r="C30" s="147">
        <v>14</v>
      </c>
      <c r="D30" s="487"/>
      <c r="E30" s="488"/>
      <c r="F30" s="488"/>
      <c r="G30" s="488"/>
      <c r="H30" s="488"/>
      <c r="I30" s="488"/>
      <c r="J30" s="488"/>
      <c r="K30" s="488"/>
      <c r="L30" s="488"/>
      <c r="M30" s="488"/>
      <c r="N30" s="488"/>
      <c r="O30" s="488"/>
      <c r="P30" s="488"/>
      <c r="Q30" s="488"/>
      <c r="R30" s="488"/>
      <c r="S30" s="488"/>
      <c r="T30" s="488"/>
      <c r="U30" s="488"/>
      <c r="V30" s="488"/>
      <c r="W30" s="488"/>
      <c r="X30" s="76"/>
      <c r="Y30" s="46"/>
      <c r="AT30" s="3"/>
      <c r="AU30" s="26">
        <f t="shared" si="151"/>
        <v>60</v>
      </c>
      <c r="AV30" s="27" t="str">
        <f t="shared" si="10"/>
        <v>(1500)</v>
      </c>
      <c r="AW30" s="18"/>
      <c r="AX30" s="19">
        <f t="shared" si="11"/>
        <v>1.394517361111111</v>
      </c>
      <c r="AY30" s="28" t="str">
        <f t="shared" si="12"/>
        <v>(0.13)</v>
      </c>
      <c r="AZ30" s="21">
        <v>2</v>
      </c>
      <c r="BA30" s="21">
        <f t="shared" si="13"/>
        <v>3.5</v>
      </c>
      <c r="BB30" s="29">
        <v>0</v>
      </c>
      <c r="BC30" s="21">
        <f t="shared" si="14"/>
        <v>0</v>
      </c>
      <c r="BD30" s="29">
        <v>0</v>
      </c>
      <c r="BE30" s="21">
        <f t="shared" si="15"/>
        <v>0</v>
      </c>
      <c r="BF30" s="21">
        <f t="shared" si="16"/>
        <v>3.5</v>
      </c>
      <c r="BG30" s="22">
        <f t="shared" si="17"/>
        <v>5.5</v>
      </c>
      <c r="BH30" s="205">
        <f t="shared" si="18"/>
        <v>2.155163194444444</v>
      </c>
      <c r="BI30" s="206" t="str">
        <f t="shared" si="19"/>
        <v>(0.20)</v>
      </c>
      <c r="BJ30" s="207">
        <v>2</v>
      </c>
      <c r="BK30" s="207">
        <f t="shared" si="20"/>
        <v>3.5</v>
      </c>
      <c r="BL30" s="207">
        <v>0</v>
      </c>
      <c r="BM30" s="207">
        <f t="shared" si="21"/>
        <v>0</v>
      </c>
      <c r="BN30" s="207">
        <v>0</v>
      </c>
      <c r="BO30" s="207">
        <f t="shared" si="22"/>
        <v>0</v>
      </c>
      <c r="BP30" s="207">
        <f t="shared" si="23"/>
        <v>3.5</v>
      </c>
      <c r="BQ30" s="208">
        <f t="shared" si="24"/>
        <v>8.5</v>
      </c>
      <c r="BR30" s="205">
        <f t="shared" si="25"/>
        <v>3.676454861111111</v>
      </c>
      <c r="BS30" s="206" t="str">
        <f t="shared" si="26"/>
        <v>(0.34)</v>
      </c>
      <c r="BT30" s="207">
        <v>2</v>
      </c>
      <c r="BU30" s="207">
        <f t="shared" si="27"/>
        <v>3.5</v>
      </c>
      <c r="BV30" s="207">
        <v>0</v>
      </c>
      <c r="BW30" s="207">
        <f t="shared" si="28"/>
        <v>0</v>
      </c>
      <c r="BX30" s="207">
        <v>0</v>
      </c>
      <c r="BY30" s="207">
        <f t="shared" si="29"/>
        <v>0</v>
      </c>
      <c r="BZ30" s="207">
        <f t="shared" si="30"/>
        <v>3.5</v>
      </c>
      <c r="CA30" s="208">
        <f t="shared" si="31"/>
        <v>14.5</v>
      </c>
      <c r="CB30" s="205">
        <f t="shared" si="32"/>
        <v>5.1977465277777775</v>
      </c>
      <c r="CC30" s="206" t="str">
        <f t="shared" si="33"/>
        <v>(0.48)</v>
      </c>
      <c r="CD30" s="207">
        <v>2</v>
      </c>
      <c r="CE30" s="207">
        <f t="shared" si="34"/>
        <v>3.5</v>
      </c>
      <c r="CF30" s="207">
        <v>0</v>
      </c>
      <c r="CG30" s="207">
        <f t="shared" si="35"/>
        <v>0</v>
      </c>
      <c r="CH30" s="207">
        <v>0</v>
      </c>
      <c r="CI30" s="207">
        <f t="shared" si="36"/>
        <v>0</v>
      </c>
      <c r="CJ30" s="207">
        <f t="shared" si="37"/>
        <v>3.5</v>
      </c>
      <c r="CK30" s="208">
        <f t="shared" si="38"/>
        <v>20.5</v>
      </c>
      <c r="CL30" s="205">
        <f t="shared" si="39"/>
        <v>6.7190381944444439</v>
      </c>
      <c r="CM30" s="206" t="str">
        <f t="shared" si="40"/>
        <v>(0.62)</v>
      </c>
      <c r="CN30" s="207">
        <v>2</v>
      </c>
      <c r="CO30" s="207">
        <f t="shared" si="41"/>
        <v>3.5</v>
      </c>
      <c r="CP30" s="207">
        <v>0</v>
      </c>
      <c r="CQ30" s="207">
        <f t="shared" si="42"/>
        <v>0</v>
      </c>
      <c r="CR30" s="207">
        <v>0</v>
      </c>
      <c r="CS30" s="207">
        <f t="shared" si="43"/>
        <v>0</v>
      </c>
      <c r="CT30" s="207">
        <f t="shared" si="44"/>
        <v>3.5</v>
      </c>
      <c r="CU30" s="208">
        <f t="shared" si="45"/>
        <v>26.5</v>
      </c>
      <c r="CV30" s="205">
        <f t="shared" si="46"/>
        <v>8.2403298611111104</v>
      </c>
      <c r="CW30" s="206" t="str">
        <f t="shared" si="47"/>
        <v>(0.77)</v>
      </c>
      <c r="CX30" s="207">
        <v>2</v>
      </c>
      <c r="CY30" s="207">
        <f t="shared" si="48"/>
        <v>3.5</v>
      </c>
      <c r="CZ30" s="207">
        <v>0</v>
      </c>
      <c r="DA30" s="207">
        <f t="shared" si="49"/>
        <v>0</v>
      </c>
      <c r="DB30" s="207">
        <v>0</v>
      </c>
      <c r="DC30" s="207">
        <f t="shared" si="50"/>
        <v>0</v>
      </c>
      <c r="DD30" s="207">
        <f t="shared" si="51"/>
        <v>3.5</v>
      </c>
      <c r="DE30" s="208">
        <f t="shared" si="52"/>
        <v>32.5</v>
      </c>
      <c r="DF30" s="205">
        <f t="shared" si="53"/>
        <v>9.7616215277777769</v>
      </c>
      <c r="DG30" s="206" t="str">
        <f t="shared" si="54"/>
        <v>(0.91)</v>
      </c>
      <c r="DH30" s="207">
        <v>2</v>
      </c>
      <c r="DI30" s="207">
        <f t="shared" si="55"/>
        <v>3.5</v>
      </c>
      <c r="DJ30" s="207">
        <v>0</v>
      </c>
      <c r="DK30" s="207">
        <f t="shared" si="56"/>
        <v>0</v>
      </c>
      <c r="DL30" s="207">
        <v>0</v>
      </c>
      <c r="DM30" s="207">
        <f t="shared" si="57"/>
        <v>0</v>
      </c>
      <c r="DN30" s="207">
        <f t="shared" si="58"/>
        <v>3.5</v>
      </c>
      <c r="DO30" s="208">
        <f t="shared" si="59"/>
        <v>38.5</v>
      </c>
      <c r="DP30" s="205">
        <f t="shared" si="60"/>
        <v>11.282913194444443</v>
      </c>
      <c r="DQ30" s="206" t="str">
        <f t="shared" si="61"/>
        <v>(1.05)</v>
      </c>
      <c r="DR30" s="207">
        <v>2</v>
      </c>
      <c r="DS30" s="207">
        <f t="shared" si="62"/>
        <v>3.5</v>
      </c>
      <c r="DT30" s="207">
        <v>0</v>
      </c>
      <c r="DU30" s="207">
        <f t="shared" si="63"/>
        <v>0</v>
      </c>
      <c r="DV30" s="207">
        <v>0</v>
      </c>
      <c r="DW30" s="207">
        <f t="shared" si="64"/>
        <v>0</v>
      </c>
      <c r="DX30" s="207">
        <f t="shared" si="65"/>
        <v>3.5</v>
      </c>
      <c r="DY30" s="208">
        <f t="shared" si="66"/>
        <v>44.5</v>
      </c>
      <c r="DZ30" s="205">
        <f t="shared" si="67"/>
        <v>12.550656249999998</v>
      </c>
      <c r="EA30" s="206" t="str">
        <f t="shared" si="68"/>
        <v>(1.17)</v>
      </c>
      <c r="EB30" s="207">
        <v>2</v>
      </c>
      <c r="EC30" s="207">
        <f t="shared" si="69"/>
        <v>3.5</v>
      </c>
      <c r="ED30" s="207">
        <v>0</v>
      </c>
      <c r="EE30" s="207">
        <f t="shared" si="70"/>
        <v>0</v>
      </c>
      <c r="EF30" s="207">
        <v>1</v>
      </c>
      <c r="EG30" s="207">
        <f t="shared" si="71"/>
        <v>1</v>
      </c>
      <c r="EH30" s="207">
        <f t="shared" si="72"/>
        <v>4.5</v>
      </c>
      <c r="EI30" s="208">
        <f t="shared" si="73"/>
        <v>49.5</v>
      </c>
      <c r="EJ30" s="205">
        <f t="shared" si="74"/>
        <v>14.071947916666666</v>
      </c>
      <c r="EK30" s="206" t="str">
        <f t="shared" si="75"/>
        <v>(1.31)</v>
      </c>
      <c r="EL30" s="207">
        <v>2</v>
      </c>
      <c r="EM30" s="207">
        <f t="shared" si="76"/>
        <v>3.5</v>
      </c>
      <c r="EN30" s="207">
        <v>0</v>
      </c>
      <c r="EO30" s="207">
        <f t="shared" si="77"/>
        <v>0</v>
      </c>
      <c r="EP30" s="207">
        <v>1</v>
      </c>
      <c r="EQ30" s="207">
        <f t="shared" si="78"/>
        <v>1</v>
      </c>
      <c r="ER30" s="207">
        <f t="shared" si="79"/>
        <v>4.5</v>
      </c>
      <c r="ES30" s="208">
        <f t="shared" si="80"/>
        <v>55.5</v>
      </c>
      <c r="ET30" s="205">
        <f t="shared" si="81"/>
        <v>15.593239583333331</v>
      </c>
      <c r="EU30" s="206" t="str">
        <f t="shared" si="82"/>
        <v>(1.45)</v>
      </c>
      <c r="EV30" s="207">
        <v>2</v>
      </c>
      <c r="EW30" s="207">
        <f t="shared" si="83"/>
        <v>3.5</v>
      </c>
      <c r="EX30" s="207">
        <v>0</v>
      </c>
      <c r="EY30" s="207">
        <f t="shared" si="84"/>
        <v>0</v>
      </c>
      <c r="EZ30" s="207">
        <v>1</v>
      </c>
      <c r="FA30" s="207">
        <f t="shared" si="85"/>
        <v>1</v>
      </c>
      <c r="FB30" s="207">
        <f t="shared" si="86"/>
        <v>4.5</v>
      </c>
      <c r="FC30" s="208">
        <f t="shared" si="87"/>
        <v>61.5</v>
      </c>
      <c r="FD30" s="205">
        <f t="shared" si="88"/>
        <v>17.368079861111109</v>
      </c>
      <c r="FE30" s="206" t="str">
        <f t="shared" si="89"/>
        <v>(1.61)</v>
      </c>
      <c r="FF30" s="207">
        <v>2</v>
      </c>
      <c r="FG30" s="207">
        <f t="shared" si="90"/>
        <v>3.5</v>
      </c>
      <c r="FH30" s="469">
        <v>0</v>
      </c>
      <c r="FI30" s="207">
        <f t="shared" si="91"/>
        <v>0</v>
      </c>
      <c r="FJ30" s="207">
        <v>0</v>
      </c>
      <c r="FK30" s="207">
        <f t="shared" si="92"/>
        <v>0</v>
      </c>
      <c r="FL30" s="207">
        <f t="shared" si="93"/>
        <v>3.5</v>
      </c>
      <c r="FM30" s="208">
        <f t="shared" si="94"/>
        <v>68.5</v>
      </c>
      <c r="FN30" s="205">
        <f t="shared" si="95"/>
        <v>18.604129340277776</v>
      </c>
      <c r="FO30" s="206" t="str">
        <f t="shared" si="96"/>
        <v>(1.73)</v>
      </c>
      <c r="FP30" s="207">
        <v>2</v>
      </c>
      <c r="FQ30" s="207">
        <f t="shared" si="97"/>
        <v>3.5</v>
      </c>
      <c r="FR30" s="207">
        <v>1</v>
      </c>
      <c r="FS30" s="207">
        <f t="shared" si="98"/>
        <v>1.125</v>
      </c>
      <c r="FT30" s="207">
        <v>0</v>
      </c>
      <c r="FU30" s="207">
        <f t="shared" si="99"/>
        <v>0</v>
      </c>
      <c r="FV30" s="207">
        <f t="shared" si="100"/>
        <v>4.625</v>
      </c>
      <c r="FW30" s="208">
        <f t="shared" si="101"/>
        <v>73.375</v>
      </c>
      <c r="FX30" s="205">
        <f t="shared" si="102"/>
        <v>20.125421006944443</v>
      </c>
      <c r="FY30" s="206" t="str">
        <f t="shared" si="103"/>
        <v>(1.87)</v>
      </c>
      <c r="FZ30" s="207">
        <v>2</v>
      </c>
      <c r="GA30" s="207">
        <f t="shared" si="104"/>
        <v>3.5</v>
      </c>
      <c r="GB30" s="207">
        <v>1</v>
      </c>
      <c r="GC30" s="207">
        <f t="shared" si="105"/>
        <v>1.125</v>
      </c>
      <c r="GD30" s="207">
        <v>0</v>
      </c>
      <c r="GE30" s="207">
        <f t="shared" si="106"/>
        <v>0</v>
      </c>
      <c r="GF30" s="207">
        <f t="shared" si="107"/>
        <v>4.625</v>
      </c>
      <c r="GG30" s="208">
        <f t="shared" si="108"/>
        <v>79.375</v>
      </c>
      <c r="GH30" s="205">
        <f t="shared" si="109"/>
        <v>21.646712673611106</v>
      </c>
      <c r="GI30" s="206" t="str">
        <f t="shared" si="110"/>
        <v>(2.01)</v>
      </c>
      <c r="GJ30" s="207">
        <v>2</v>
      </c>
      <c r="GK30" s="207">
        <f t="shared" si="111"/>
        <v>3.5</v>
      </c>
      <c r="GL30" s="207">
        <v>1</v>
      </c>
      <c r="GM30" s="207">
        <f t="shared" si="112"/>
        <v>1.125</v>
      </c>
      <c r="GN30" s="207">
        <v>0</v>
      </c>
      <c r="GO30" s="207">
        <f t="shared" si="113"/>
        <v>0</v>
      </c>
      <c r="GP30" s="207">
        <f t="shared" si="114"/>
        <v>4.625</v>
      </c>
      <c r="GQ30" s="208">
        <f t="shared" si="115"/>
        <v>85.375</v>
      </c>
      <c r="GR30" s="205">
        <f t="shared" si="116"/>
        <v>23.168004340277776</v>
      </c>
      <c r="GS30" s="206" t="str">
        <f t="shared" si="117"/>
        <v>(2.15)</v>
      </c>
      <c r="GT30" s="207">
        <v>2</v>
      </c>
      <c r="GU30" s="207">
        <f t="shared" si="118"/>
        <v>3.5</v>
      </c>
      <c r="GV30" s="207">
        <v>1</v>
      </c>
      <c r="GW30" s="207">
        <f t="shared" si="119"/>
        <v>1.125</v>
      </c>
      <c r="GX30" s="207">
        <v>0</v>
      </c>
      <c r="GY30" s="207">
        <f t="shared" si="120"/>
        <v>0</v>
      </c>
      <c r="GZ30" s="207">
        <f t="shared" si="121"/>
        <v>4.625</v>
      </c>
      <c r="HA30" s="208">
        <f t="shared" si="122"/>
        <v>91.375</v>
      </c>
      <c r="HB30" s="205">
        <f t="shared" si="123"/>
        <v>24.689296006944442</v>
      </c>
      <c r="HC30" s="206" t="str">
        <f t="shared" si="124"/>
        <v>(2.29)</v>
      </c>
      <c r="HD30" s="207">
        <v>2</v>
      </c>
      <c r="HE30" s="207">
        <f t="shared" si="125"/>
        <v>3.5</v>
      </c>
      <c r="HF30" s="207">
        <v>1</v>
      </c>
      <c r="HG30" s="207">
        <f t="shared" si="126"/>
        <v>1.125</v>
      </c>
      <c r="HH30" s="207">
        <v>0</v>
      </c>
      <c r="HI30" s="207">
        <f t="shared" si="127"/>
        <v>0</v>
      </c>
      <c r="HJ30" s="207">
        <f t="shared" si="128"/>
        <v>4.625</v>
      </c>
      <c r="HK30" s="208">
        <f t="shared" si="129"/>
        <v>97.375</v>
      </c>
      <c r="HL30" s="205">
        <f t="shared" si="130"/>
        <v>25.703490451388884</v>
      </c>
      <c r="HM30" s="206" t="str">
        <f t="shared" si="131"/>
        <v>(2.39)</v>
      </c>
      <c r="HN30" s="207">
        <v>2</v>
      </c>
      <c r="HO30" s="207">
        <f t="shared" si="132"/>
        <v>3.5</v>
      </c>
      <c r="HP30" s="207">
        <v>1</v>
      </c>
      <c r="HQ30" s="207">
        <f t="shared" si="133"/>
        <v>1.125</v>
      </c>
      <c r="HR30" s="207">
        <v>2</v>
      </c>
      <c r="HS30" s="207">
        <f t="shared" si="134"/>
        <v>2</v>
      </c>
      <c r="HT30" s="207">
        <f t="shared" si="135"/>
        <v>6.625</v>
      </c>
      <c r="HU30" s="208">
        <f t="shared" si="136"/>
        <v>101.375</v>
      </c>
      <c r="HV30" s="205">
        <f t="shared" si="137"/>
        <v>27.224782118055554</v>
      </c>
      <c r="HW30" s="206" t="str">
        <f t="shared" si="138"/>
        <v>(2.53)</v>
      </c>
      <c r="HX30" s="207">
        <v>2</v>
      </c>
      <c r="HY30" s="207">
        <f t="shared" si="139"/>
        <v>3.5</v>
      </c>
      <c r="HZ30" s="207">
        <v>1</v>
      </c>
      <c r="IA30" s="207">
        <f t="shared" si="140"/>
        <v>1.125</v>
      </c>
      <c r="IB30" s="207">
        <v>2</v>
      </c>
      <c r="IC30" s="207">
        <f t="shared" si="141"/>
        <v>2</v>
      </c>
      <c r="ID30" s="207">
        <f t="shared" si="142"/>
        <v>6.625</v>
      </c>
      <c r="IE30" s="208">
        <f t="shared" si="143"/>
        <v>107.375</v>
      </c>
      <c r="IF30" s="205">
        <f t="shared" si="144"/>
        <v>28.746073784722221</v>
      </c>
      <c r="IG30" s="206" t="str">
        <f t="shared" si="145"/>
        <v>(2.67)</v>
      </c>
      <c r="IH30" s="21">
        <v>2</v>
      </c>
      <c r="II30" s="21">
        <f t="shared" si="146"/>
        <v>3.5</v>
      </c>
      <c r="IJ30" s="29">
        <v>1</v>
      </c>
      <c r="IK30" s="21">
        <f t="shared" si="147"/>
        <v>1.125</v>
      </c>
      <c r="IL30" s="21">
        <v>2</v>
      </c>
      <c r="IM30" s="21">
        <f t="shared" si="148"/>
        <v>2</v>
      </c>
      <c r="IN30" s="21">
        <f t="shared" si="149"/>
        <v>6.625</v>
      </c>
      <c r="IO30" s="22">
        <f t="shared" si="150"/>
        <v>113.375</v>
      </c>
      <c r="IP30" s="23"/>
      <c r="IQ30" s="24">
        <v>13</v>
      </c>
      <c r="IR30" s="25">
        <v>2.6549999999999998</v>
      </c>
      <c r="IS30" s="25">
        <v>2.6469999999999998</v>
      </c>
      <c r="IT30" s="25">
        <v>2.0920000000000001</v>
      </c>
      <c r="IU30" s="25">
        <v>1.75</v>
      </c>
      <c r="IV30" s="25">
        <v>1</v>
      </c>
      <c r="IW30" s="25">
        <v>1.125</v>
      </c>
      <c r="IX30" s="7"/>
    </row>
    <row r="31" spans="2:258" ht="15.75" thickBot="1" x14ac:dyDescent="0.3">
      <c r="B31" s="79">
        <f t="shared" si="9"/>
        <v>84</v>
      </c>
      <c r="C31" s="148">
        <v>15</v>
      </c>
      <c r="D31" s="487"/>
      <c r="E31" s="488"/>
      <c r="F31" s="488"/>
      <c r="G31" s="488"/>
      <c r="H31" s="488"/>
      <c r="I31" s="488"/>
      <c r="J31" s="488"/>
      <c r="K31" s="488"/>
      <c r="L31" s="488"/>
      <c r="M31" s="488"/>
      <c r="N31" s="488"/>
      <c r="O31" s="488"/>
      <c r="P31" s="488"/>
      <c r="Q31" s="488"/>
      <c r="R31" s="488"/>
      <c r="S31" s="488"/>
      <c r="T31" s="488"/>
      <c r="U31" s="488"/>
      <c r="V31" s="488"/>
      <c r="W31" s="488"/>
      <c r="X31" s="76"/>
      <c r="Y31" s="46"/>
      <c r="AT31" s="3"/>
      <c r="AU31" s="13">
        <f t="shared" si="151"/>
        <v>66</v>
      </c>
      <c r="AV31" s="11" t="str">
        <f t="shared" si="10"/>
        <v>(1700)</v>
      </c>
      <c r="AW31" s="18"/>
      <c r="AX31" s="19">
        <f t="shared" si="11"/>
        <v>1.5505798611111112</v>
      </c>
      <c r="AY31" s="20" t="str">
        <f t="shared" si="12"/>
        <v>(0.14)</v>
      </c>
      <c r="AZ31" s="21">
        <v>2</v>
      </c>
      <c r="BA31" s="21">
        <f t="shared" si="13"/>
        <v>3.5</v>
      </c>
      <c r="BB31" s="21">
        <v>0</v>
      </c>
      <c r="BC31" s="21">
        <f t="shared" si="14"/>
        <v>0</v>
      </c>
      <c r="BD31" s="21">
        <v>0</v>
      </c>
      <c r="BE31" s="21">
        <f t="shared" si="15"/>
        <v>0</v>
      </c>
      <c r="BF31" s="21">
        <f t="shared" si="16"/>
        <v>3.5</v>
      </c>
      <c r="BG31" s="22">
        <f t="shared" si="17"/>
        <v>5.5</v>
      </c>
      <c r="BH31" s="205">
        <f t="shared" si="18"/>
        <v>2.3963506944444446</v>
      </c>
      <c r="BI31" s="206" t="str">
        <f t="shared" si="19"/>
        <v>(0.22)</v>
      </c>
      <c r="BJ31" s="207">
        <v>2</v>
      </c>
      <c r="BK31" s="207">
        <f t="shared" si="20"/>
        <v>3.5</v>
      </c>
      <c r="BL31" s="207">
        <v>0</v>
      </c>
      <c r="BM31" s="207">
        <f t="shared" si="21"/>
        <v>0</v>
      </c>
      <c r="BN31" s="207">
        <v>0</v>
      </c>
      <c r="BO31" s="207">
        <f t="shared" si="22"/>
        <v>0</v>
      </c>
      <c r="BP31" s="207">
        <f t="shared" si="23"/>
        <v>3.5</v>
      </c>
      <c r="BQ31" s="208">
        <f t="shared" si="24"/>
        <v>8.5</v>
      </c>
      <c r="BR31" s="205">
        <f t="shared" si="25"/>
        <v>4.0878923611111118</v>
      </c>
      <c r="BS31" s="206" t="str">
        <f t="shared" si="26"/>
        <v>(0.38)</v>
      </c>
      <c r="BT31" s="207">
        <v>2</v>
      </c>
      <c r="BU31" s="207">
        <f t="shared" si="27"/>
        <v>3.5</v>
      </c>
      <c r="BV31" s="207">
        <v>0</v>
      </c>
      <c r="BW31" s="207">
        <f t="shared" si="28"/>
        <v>0</v>
      </c>
      <c r="BX31" s="207">
        <v>0</v>
      </c>
      <c r="BY31" s="207">
        <f t="shared" si="29"/>
        <v>0</v>
      </c>
      <c r="BZ31" s="207">
        <f t="shared" si="30"/>
        <v>3.5</v>
      </c>
      <c r="CA31" s="208">
        <f t="shared" si="31"/>
        <v>14.5</v>
      </c>
      <c r="CB31" s="205">
        <f t="shared" si="32"/>
        <v>5.7794340277777785</v>
      </c>
      <c r="CC31" s="206" t="str">
        <f t="shared" si="33"/>
        <v>(0.54)</v>
      </c>
      <c r="CD31" s="207">
        <v>2</v>
      </c>
      <c r="CE31" s="207">
        <f t="shared" si="34"/>
        <v>3.5</v>
      </c>
      <c r="CF31" s="207">
        <v>0</v>
      </c>
      <c r="CG31" s="207">
        <f t="shared" si="35"/>
        <v>0</v>
      </c>
      <c r="CH31" s="207">
        <v>0</v>
      </c>
      <c r="CI31" s="207">
        <f t="shared" si="36"/>
        <v>0</v>
      </c>
      <c r="CJ31" s="207">
        <f t="shared" si="37"/>
        <v>3.5</v>
      </c>
      <c r="CK31" s="208">
        <f t="shared" si="38"/>
        <v>20.5</v>
      </c>
      <c r="CL31" s="205">
        <f t="shared" si="39"/>
        <v>7.4709756944444443</v>
      </c>
      <c r="CM31" s="206" t="str">
        <f t="shared" si="40"/>
        <v>(0.69)</v>
      </c>
      <c r="CN31" s="207">
        <v>2</v>
      </c>
      <c r="CO31" s="207">
        <f t="shared" si="41"/>
        <v>3.5</v>
      </c>
      <c r="CP31" s="207">
        <v>0</v>
      </c>
      <c r="CQ31" s="207">
        <f t="shared" si="42"/>
        <v>0</v>
      </c>
      <c r="CR31" s="207">
        <v>0</v>
      </c>
      <c r="CS31" s="207">
        <f t="shared" si="43"/>
        <v>0</v>
      </c>
      <c r="CT31" s="207">
        <f t="shared" si="44"/>
        <v>3.5</v>
      </c>
      <c r="CU31" s="208">
        <f t="shared" si="45"/>
        <v>26.5</v>
      </c>
      <c r="CV31" s="205">
        <f t="shared" si="46"/>
        <v>9.1625173611111119</v>
      </c>
      <c r="CW31" s="206" t="str">
        <f t="shared" si="47"/>
        <v>(0.85)</v>
      </c>
      <c r="CX31" s="207">
        <v>2</v>
      </c>
      <c r="CY31" s="207">
        <f t="shared" si="48"/>
        <v>3.5</v>
      </c>
      <c r="CZ31" s="207">
        <v>0</v>
      </c>
      <c r="DA31" s="207">
        <f t="shared" si="49"/>
        <v>0</v>
      </c>
      <c r="DB31" s="207">
        <v>0</v>
      </c>
      <c r="DC31" s="207">
        <f t="shared" si="50"/>
        <v>0</v>
      </c>
      <c r="DD31" s="207">
        <f t="shared" si="51"/>
        <v>3.5</v>
      </c>
      <c r="DE31" s="208">
        <f t="shared" si="52"/>
        <v>32.5</v>
      </c>
      <c r="DF31" s="205">
        <f t="shared" si="53"/>
        <v>10.854059027777778</v>
      </c>
      <c r="DG31" s="206" t="str">
        <f t="shared" si="54"/>
        <v>(1.01)</v>
      </c>
      <c r="DH31" s="207">
        <v>2</v>
      </c>
      <c r="DI31" s="207">
        <f t="shared" si="55"/>
        <v>3.5</v>
      </c>
      <c r="DJ31" s="207">
        <v>0</v>
      </c>
      <c r="DK31" s="207">
        <f t="shared" si="56"/>
        <v>0</v>
      </c>
      <c r="DL31" s="207">
        <v>0</v>
      </c>
      <c r="DM31" s="207">
        <f t="shared" si="57"/>
        <v>0</v>
      </c>
      <c r="DN31" s="207">
        <f t="shared" si="58"/>
        <v>3.5</v>
      </c>
      <c r="DO31" s="208">
        <f t="shared" si="59"/>
        <v>38.5</v>
      </c>
      <c r="DP31" s="205">
        <f t="shared" si="60"/>
        <v>12.545600694444445</v>
      </c>
      <c r="DQ31" s="206" t="str">
        <f t="shared" si="61"/>
        <v>(1.17)</v>
      </c>
      <c r="DR31" s="207">
        <v>2</v>
      </c>
      <c r="DS31" s="207">
        <f t="shared" si="62"/>
        <v>3.5</v>
      </c>
      <c r="DT31" s="207">
        <v>0</v>
      </c>
      <c r="DU31" s="207">
        <f t="shared" si="63"/>
        <v>0</v>
      </c>
      <c r="DV31" s="207">
        <v>0</v>
      </c>
      <c r="DW31" s="207">
        <f t="shared" si="64"/>
        <v>0</v>
      </c>
      <c r="DX31" s="207">
        <f t="shared" si="65"/>
        <v>3.5</v>
      </c>
      <c r="DY31" s="208">
        <f t="shared" si="66"/>
        <v>44.5</v>
      </c>
      <c r="DZ31" s="205">
        <f t="shared" si="67"/>
        <v>13.95521875</v>
      </c>
      <c r="EA31" s="206" t="str">
        <f t="shared" si="68"/>
        <v>(1.30)</v>
      </c>
      <c r="EB31" s="207">
        <v>2</v>
      </c>
      <c r="EC31" s="207">
        <f t="shared" si="69"/>
        <v>3.5</v>
      </c>
      <c r="ED31" s="207">
        <v>0</v>
      </c>
      <c r="EE31" s="207">
        <f t="shared" si="70"/>
        <v>0</v>
      </c>
      <c r="EF31" s="207">
        <v>1</v>
      </c>
      <c r="EG31" s="207">
        <f t="shared" si="71"/>
        <v>1</v>
      </c>
      <c r="EH31" s="207">
        <f t="shared" si="72"/>
        <v>4.5</v>
      </c>
      <c r="EI31" s="208">
        <f t="shared" si="73"/>
        <v>49.5</v>
      </c>
      <c r="EJ31" s="205">
        <f t="shared" si="74"/>
        <v>15.646760416666666</v>
      </c>
      <c r="EK31" s="206" t="str">
        <f t="shared" si="75"/>
        <v>(1.45)</v>
      </c>
      <c r="EL31" s="207">
        <v>2</v>
      </c>
      <c r="EM31" s="207">
        <f t="shared" si="76"/>
        <v>3.5</v>
      </c>
      <c r="EN31" s="207">
        <v>0</v>
      </c>
      <c r="EO31" s="207">
        <f t="shared" si="77"/>
        <v>0</v>
      </c>
      <c r="EP31" s="207">
        <v>1</v>
      </c>
      <c r="EQ31" s="207">
        <f t="shared" si="78"/>
        <v>1</v>
      </c>
      <c r="ER31" s="207">
        <f t="shared" si="79"/>
        <v>4.5</v>
      </c>
      <c r="ES31" s="208">
        <f t="shared" si="80"/>
        <v>55.5</v>
      </c>
      <c r="ET31" s="205">
        <f t="shared" si="81"/>
        <v>17.338302083333335</v>
      </c>
      <c r="EU31" s="206" t="str">
        <f t="shared" si="82"/>
        <v>(1.61)</v>
      </c>
      <c r="EV31" s="207">
        <v>2</v>
      </c>
      <c r="EW31" s="207">
        <f t="shared" si="83"/>
        <v>3.5</v>
      </c>
      <c r="EX31" s="207">
        <v>0</v>
      </c>
      <c r="EY31" s="207">
        <f t="shared" si="84"/>
        <v>0</v>
      </c>
      <c r="EZ31" s="207">
        <v>1</v>
      </c>
      <c r="FA31" s="207">
        <f t="shared" si="85"/>
        <v>1</v>
      </c>
      <c r="FB31" s="207">
        <f t="shared" si="86"/>
        <v>4.5</v>
      </c>
      <c r="FC31" s="208">
        <f t="shared" si="87"/>
        <v>61.5</v>
      </c>
      <c r="FD31" s="205">
        <f t="shared" si="88"/>
        <v>19.311767361111109</v>
      </c>
      <c r="FE31" s="206" t="str">
        <f t="shared" si="89"/>
        <v>(1.79)</v>
      </c>
      <c r="FF31" s="207">
        <v>2</v>
      </c>
      <c r="FG31" s="207">
        <f t="shared" si="90"/>
        <v>3.5</v>
      </c>
      <c r="FH31" s="469">
        <v>0</v>
      </c>
      <c r="FI31" s="207">
        <f t="shared" si="91"/>
        <v>0</v>
      </c>
      <c r="FJ31" s="207">
        <v>0</v>
      </c>
      <c r="FK31" s="207">
        <f t="shared" si="92"/>
        <v>0</v>
      </c>
      <c r="FL31" s="207">
        <f t="shared" si="93"/>
        <v>3.5</v>
      </c>
      <c r="FM31" s="208">
        <f t="shared" si="94"/>
        <v>68.5</v>
      </c>
      <c r="FN31" s="205">
        <f t="shared" si="95"/>
        <v>20.68614496527778</v>
      </c>
      <c r="FO31" s="206" t="str">
        <f t="shared" si="96"/>
        <v>(1.92)</v>
      </c>
      <c r="FP31" s="207">
        <v>2</v>
      </c>
      <c r="FQ31" s="207">
        <f t="shared" si="97"/>
        <v>3.5</v>
      </c>
      <c r="FR31" s="207">
        <v>1</v>
      </c>
      <c r="FS31" s="207">
        <f t="shared" si="98"/>
        <v>1.125</v>
      </c>
      <c r="FT31" s="207">
        <v>0</v>
      </c>
      <c r="FU31" s="207">
        <f t="shared" si="99"/>
        <v>0</v>
      </c>
      <c r="FV31" s="207">
        <f t="shared" si="100"/>
        <v>4.625</v>
      </c>
      <c r="FW31" s="208">
        <f t="shared" si="101"/>
        <v>73.375</v>
      </c>
      <c r="FX31" s="205">
        <f t="shared" si="102"/>
        <v>22.377686631944446</v>
      </c>
      <c r="FY31" s="206" t="str">
        <f t="shared" si="103"/>
        <v>(2.08)</v>
      </c>
      <c r="FZ31" s="207">
        <v>2</v>
      </c>
      <c r="GA31" s="207">
        <f t="shared" si="104"/>
        <v>3.5</v>
      </c>
      <c r="GB31" s="207">
        <v>1</v>
      </c>
      <c r="GC31" s="207">
        <f t="shared" si="105"/>
        <v>1.125</v>
      </c>
      <c r="GD31" s="207">
        <v>0</v>
      </c>
      <c r="GE31" s="207">
        <f t="shared" si="106"/>
        <v>0</v>
      </c>
      <c r="GF31" s="207">
        <f t="shared" si="107"/>
        <v>4.625</v>
      </c>
      <c r="GG31" s="208">
        <f t="shared" si="108"/>
        <v>79.375</v>
      </c>
      <c r="GH31" s="205">
        <f t="shared" si="109"/>
        <v>24.069228298611112</v>
      </c>
      <c r="GI31" s="206" t="str">
        <f t="shared" si="110"/>
        <v>(2.24)</v>
      </c>
      <c r="GJ31" s="207">
        <v>2</v>
      </c>
      <c r="GK31" s="207">
        <f t="shared" si="111"/>
        <v>3.5</v>
      </c>
      <c r="GL31" s="207">
        <v>1</v>
      </c>
      <c r="GM31" s="207">
        <f t="shared" si="112"/>
        <v>1.125</v>
      </c>
      <c r="GN31" s="207">
        <v>0</v>
      </c>
      <c r="GO31" s="207">
        <f t="shared" si="113"/>
        <v>0</v>
      </c>
      <c r="GP31" s="207">
        <f t="shared" si="114"/>
        <v>4.625</v>
      </c>
      <c r="GQ31" s="208">
        <f t="shared" si="115"/>
        <v>85.375</v>
      </c>
      <c r="GR31" s="205">
        <f t="shared" si="116"/>
        <v>25.760769965277778</v>
      </c>
      <c r="GS31" s="206" t="str">
        <f t="shared" si="117"/>
        <v>(2.39)</v>
      </c>
      <c r="GT31" s="207">
        <v>2</v>
      </c>
      <c r="GU31" s="207">
        <f t="shared" si="118"/>
        <v>3.5</v>
      </c>
      <c r="GV31" s="207">
        <v>1</v>
      </c>
      <c r="GW31" s="207">
        <f t="shared" si="119"/>
        <v>1.125</v>
      </c>
      <c r="GX31" s="207">
        <v>0</v>
      </c>
      <c r="GY31" s="207">
        <f t="shared" si="120"/>
        <v>0</v>
      </c>
      <c r="GZ31" s="207">
        <f t="shared" si="121"/>
        <v>4.625</v>
      </c>
      <c r="HA31" s="208">
        <f t="shared" si="122"/>
        <v>91.375</v>
      </c>
      <c r="HB31" s="205">
        <f t="shared" si="123"/>
        <v>27.452311631944447</v>
      </c>
      <c r="HC31" s="206" t="str">
        <f t="shared" si="124"/>
        <v>(2.55)</v>
      </c>
      <c r="HD31" s="207">
        <v>2</v>
      </c>
      <c r="HE31" s="207">
        <f t="shared" si="125"/>
        <v>3.5</v>
      </c>
      <c r="HF31" s="207">
        <v>1</v>
      </c>
      <c r="HG31" s="207">
        <f t="shared" si="126"/>
        <v>1.125</v>
      </c>
      <c r="HH31" s="207">
        <v>0</v>
      </c>
      <c r="HI31" s="207">
        <f t="shared" si="127"/>
        <v>0</v>
      </c>
      <c r="HJ31" s="207">
        <f t="shared" si="128"/>
        <v>4.625</v>
      </c>
      <c r="HK31" s="208">
        <f t="shared" si="129"/>
        <v>97.375</v>
      </c>
      <c r="HL31" s="205">
        <f t="shared" si="130"/>
        <v>28.580006076388891</v>
      </c>
      <c r="HM31" s="206" t="str">
        <f t="shared" si="131"/>
        <v>(2.66)</v>
      </c>
      <c r="HN31" s="207">
        <v>2</v>
      </c>
      <c r="HO31" s="207">
        <f t="shared" si="132"/>
        <v>3.5</v>
      </c>
      <c r="HP31" s="207">
        <v>1</v>
      </c>
      <c r="HQ31" s="207">
        <f t="shared" si="133"/>
        <v>1.125</v>
      </c>
      <c r="HR31" s="207">
        <v>2</v>
      </c>
      <c r="HS31" s="207">
        <f t="shared" si="134"/>
        <v>2</v>
      </c>
      <c r="HT31" s="207">
        <f t="shared" si="135"/>
        <v>6.625</v>
      </c>
      <c r="HU31" s="208">
        <f t="shared" si="136"/>
        <v>101.375</v>
      </c>
      <c r="HV31" s="205">
        <f t="shared" si="137"/>
        <v>30.27154774305556</v>
      </c>
      <c r="HW31" s="206" t="str">
        <f t="shared" si="138"/>
        <v>(2.81)</v>
      </c>
      <c r="HX31" s="207">
        <v>2</v>
      </c>
      <c r="HY31" s="207">
        <f t="shared" si="139"/>
        <v>3.5</v>
      </c>
      <c r="HZ31" s="207">
        <v>1</v>
      </c>
      <c r="IA31" s="207">
        <f t="shared" si="140"/>
        <v>1.125</v>
      </c>
      <c r="IB31" s="207">
        <v>2</v>
      </c>
      <c r="IC31" s="207">
        <f t="shared" si="141"/>
        <v>2</v>
      </c>
      <c r="ID31" s="207">
        <f t="shared" si="142"/>
        <v>6.625</v>
      </c>
      <c r="IE31" s="208">
        <f t="shared" si="143"/>
        <v>107.375</v>
      </c>
      <c r="IF31" s="205">
        <f t="shared" si="144"/>
        <v>31.963089409722222</v>
      </c>
      <c r="IG31" s="206" t="str">
        <f t="shared" si="145"/>
        <v>(2.97)</v>
      </c>
      <c r="IH31" s="21">
        <v>2</v>
      </c>
      <c r="II31" s="21">
        <f t="shared" si="146"/>
        <v>3.5</v>
      </c>
      <c r="IJ31" s="21">
        <v>1</v>
      </c>
      <c r="IK31" s="21">
        <f t="shared" si="147"/>
        <v>1.125</v>
      </c>
      <c r="IL31" s="21">
        <v>2</v>
      </c>
      <c r="IM31" s="21">
        <f t="shared" si="148"/>
        <v>2</v>
      </c>
      <c r="IN31" s="21">
        <f t="shared" si="149"/>
        <v>6.625</v>
      </c>
      <c r="IO31" s="22">
        <f t="shared" si="150"/>
        <v>113.375</v>
      </c>
      <c r="IP31" s="23"/>
      <c r="IQ31" s="24">
        <v>15</v>
      </c>
      <c r="IR31" s="25">
        <v>2.6549999999999998</v>
      </c>
      <c r="IS31" s="25">
        <v>2.6469999999999998</v>
      </c>
      <c r="IT31" s="25">
        <v>0.88400000000000001</v>
      </c>
      <c r="IU31" s="25">
        <v>1.75</v>
      </c>
      <c r="IV31" s="25">
        <v>1</v>
      </c>
      <c r="IW31" s="25">
        <v>1.125</v>
      </c>
      <c r="IX31" s="7"/>
    </row>
    <row r="32" spans="2:258" ht="15.75" thickBot="1" x14ac:dyDescent="0.3">
      <c r="B32" s="79">
        <f t="shared" si="9"/>
        <v>90</v>
      </c>
      <c r="C32" s="147">
        <v>16</v>
      </c>
      <c r="D32" s="487"/>
      <c r="E32" s="488"/>
      <c r="F32" s="488"/>
      <c r="G32" s="488"/>
      <c r="H32" s="488"/>
      <c r="I32" s="488"/>
      <c r="J32" s="488"/>
      <c r="K32" s="488"/>
      <c r="L32" s="488"/>
      <c r="M32" s="488"/>
      <c r="N32" s="488"/>
      <c r="O32" s="488"/>
      <c r="P32" s="488"/>
      <c r="Q32" s="488"/>
      <c r="R32" s="488"/>
      <c r="S32" s="488"/>
      <c r="T32" s="488"/>
      <c r="U32" s="488"/>
      <c r="V32" s="488"/>
      <c r="W32" s="488"/>
      <c r="X32" s="76"/>
      <c r="Y32" s="46"/>
      <c r="AT32" s="3"/>
      <c r="AU32" s="13">
        <f t="shared" si="151"/>
        <v>72</v>
      </c>
      <c r="AV32" s="11" t="str">
        <f t="shared" si="10"/>
        <v>(1850)</v>
      </c>
      <c r="AW32" s="18"/>
      <c r="AX32" s="19">
        <f t="shared" si="11"/>
        <v>1.6978194444444443</v>
      </c>
      <c r="AY32" s="20" t="str">
        <f t="shared" si="12"/>
        <v>(0.16)</v>
      </c>
      <c r="AZ32" s="21">
        <v>2</v>
      </c>
      <c r="BA32" s="21">
        <f t="shared" si="13"/>
        <v>3.5</v>
      </c>
      <c r="BB32" s="21">
        <v>0</v>
      </c>
      <c r="BC32" s="21">
        <f t="shared" si="14"/>
        <v>0</v>
      </c>
      <c r="BD32" s="21">
        <v>0</v>
      </c>
      <c r="BE32" s="21">
        <f t="shared" si="15"/>
        <v>0</v>
      </c>
      <c r="BF32" s="21">
        <f t="shared" si="16"/>
        <v>3.5</v>
      </c>
      <c r="BG32" s="22">
        <f t="shared" si="17"/>
        <v>5.5</v>
      </c>
      <c r="BH32" s="205">
        <f t="shared" si="18"/>
        <v>2.6239027777777775</v>
      </c>
      <c r="BI32" s="206" t="str">
        <f t="shared" si="19"/>
        <v>(0.24)</v>
      </c>
      <c r="BJ32" s="207">
        <v>2</v>
      </c>
      <c r="BK32" s="207">
        <f t="shared" si="20"/>
        <v>3.5</v>
      </c>
      <c r="BL32" s="207">
        <v>0</v>
      </c>
      <c r="BM32" s="207">
        <f t="shared" si="21"/>
        <v>0</v>
      </c>
      <c r="BN32" s="207">
        <v>0</v>
      </c>
      <c r="BO32" s="207">
        <f t="shared" si="22"/>
        <v>0</v>
      </c>
      <c r="BP32" s="207">
        <f t="shared" si="23"/>
        <v>3.5</v>
      </c>
      <c r="BQ32" s="208">
        <f t="shared" si="24"/>
        <v>8.5</v>
      </c>
      <c r="BR32" s="205">
        <f t="shared" si="25"/>
        <v>4.4760694444444447</v>
      </c>
      <c r="BS32" s="206" t="str">
        <f t="shared" si="26"/>
        <v>(0.42)</v>
      </c>
      <c r="BT32" s="207">
        <v>2</v>
      </c>
      <c r="BU32" s="207">
        <f t="shared" si="27"/>
        <v>3.5</v>
      </c>
      <c r="BV32" s="207">
        <v>0</v>
      </c>
      <c r="BW32" s="207">
        <f t="shared" si="28"/>
        <v>0</v>
      </c>
      <c r="BX32" s="207">
        <v>0</v>
      </c>
      <c r="BY32" s="207">
        <f t="shared" si="29"/>
        <v>0</v>
      </c>
      <c r="BZ32" s="207">
        <f t="shared" si="30"/>
        <v>3.5</v>
      </c>
      <c r="CA32" s="208">
        <f t="shared" si="31"/>
        <v>14.5</v>
      </c>
      <c r="CB32" s="205">
        <f t="shared" si="32"/>
        <v>6.328236111111111</v>
      </c>
      <c r="CC32" s="206" t="str">
        <f t="shared" si="33"/>
        <v>(0.59)</v>
      </c>
      <c r="CD32" s="207">
        <v>2</v>
      </c>
      <c r="CE32" s="207">
        <f t="shared" si="34"/>
        <v>3.5</v>
      </c>
      <c r="CF32" s="207">
        <v>0</v>
      </c>
      <c r="CG32" s="207">
        <f t="shared" si="35"/>
        <v>0</v>
      </c>
      <c r="CH32" s="207">
        <v>0</v>
      </c>
      <c r="CI32" s="207">
        <f t="shared" si="36"/>
        <v>0</v>
      </c>
      <c r="CJ32" s="207">
        <f t="shared" si="37"/>
        <v>3.5</v>
      </c>
      <c r="CK32" s="208">
        <f t="shared" si="38"/>
        <v>20.5</v>
      </c>
      <c r="CL32" s="205">
        <f t="shared" si="39"/>
        <v>8.180402777777779</v>
      </c>
      <c r="CM32" s="206" t="str">
        <f t="shared" si="40"/>
        <v>(0.76)</v>
      </c>
      <c r="CN32" s="207">
        <v>2</v>
      </c>
      <c r="CO32" s="207">
        <f t="shared" si="41"/>
        <v>3.5</v>
      </c>
      <c r="CP32" s="207">
        <v>0</v>
      </c>
      <c r="CQ32" s="207">
        <f t="shared" si="42"/>
        <v>0</v>
      </c>
      <c r="CR32" s="207">
        <v>0</v>
      </c>
      <c r="CS32" s="207">
        <f t="shared" si="43"/>
        <v>0</v>
      </c>
      <c r="CT32" s="207">
        <f t="shared" si="44"/>
        <v>3.5</v>
      </c>
      <c r="CU32" s="208">
        <f t="shared" si="45"/>
        <v>26.5</v>
      </c>
      <c r="CV32" s="205">
        <f t="shared" si="46"/>
        <v>10.032569444444444</v>
      </c>
      <c r="CW32" s="206" t="str">
        <f t="shared" si="47"/>
        <v>(0.93)</v>
      </c>
      <c r="CX32" s="207">
        <v>2</v>
      </c>
      <c r="CY32" s="207">
        <f t="shared" si="48"/>
        <v>3.5</v>
      </c>
      <c r="CZ32" s="207">
        <v>0</v>
      </c>
      <c r="DA32" s="207">
        <f t="shared" si="49"/>
        <v>0</v>
      </c>
      <c r="DB32" s="207">
        <v>0</v>
      </c>
      <c r="DC32" s="207">
        <f t="shared" si="50"/>
        <v>0</v>
      </c>
      <c r="DD32" s="207">
        <f t="shared" si="51"/>
        <v>3.5</v>
      </c>
      <c r="DE32" s="208">
        <f t="shared" si="52"/>
        <v>32.5</v>
      </c>
      <c r="DF32" s="205">
        <f t="shared" si="53"/>
        <v>11.884736111111112</v>
      </c>
      <c r="DG32" s="206" t="str">
        <f t="shared" si="54"/>
        <v>(1.1)</v>
      </c>
      <c r="DH32" s="207">
        <v>2</v>
      </c>
      <c r="DI32" s="207">
        <f t="shared" si="55"/>
        <v>3.5</v>
      </c>
      <c r="DJ32" s="207">
        <v>0</v>
      </c>
      <c r="DK32" s="207">
        <f t="shared" si="56"/>
        <v>0</v>
      </c>
      <c r="DL32" s="207">
        <v>0</v>
      </c>
      <c r="DM32" s="207">
        <f t="shared" si="57"/>
        <v>0</v>
      </c>
      <c r="DN32" s="207">
        <f t="shared" si="58"/>
        <v>3.5</v>
      </c>
      <c r="DO32" s="208">
        <f t="shared" si="59"/>
        <v>38.5</v>
      </c>
      <c r="DP32" s="205">
        <f t="shared" si="60"/>
        <v>13.736902777777779</v>
      </c>
      <c r="DQ32" s="206" t="str">
        <f t="shared" si="61"/>
        <v>(1.28)</v>
      </c>
      <c r="DR32" s="207">
        <v>2</v>
      </c>
      <c r="DS32" s="207">
        <f t="shared" si="62"/>
        <v>3.5</v>
      </c>
      <c r="DT32" s="207">
        <v>0</v>
      </c>
      <c r="DU32" s="207">
        <f t="shared" si="63"/>
        <v>0</v>
      </c>
      <c r="DV32" s="207">
        <v>0</v>
      </c>
      <c r="DW32" s="207">
        <f t="shared" si="64"/>
        <v>0</v>
      </c>
      <c r="DX32" s="207">
        <f t="shared" si="65"/>
        <v>3.5</v>
      </c>
      <c r="DY32" s="208">
        <f t="shared" si="66"/>
        <v>44.5</v>
      </c>
      <c r="DZ32" s="205">
        <f t="shared" si="67"/>
        <v>15.280374999999999</v>
      </c>
      <c r="EA32" s="206" t="str">
        <f t="shared" si="68"/>
        <v>(1.42)</v>
      </c>
      <c r="EB32" s="207">
        <v>2</v>
      </c>
      <c r="EC32" s="207">
        <f t="shared" si="69"/>
        <v>3.5</v>
      </c>
      <c r="ED32" s="207">
        <v>0</v>
      </c>
      <c r="EE32" s="207">
        <f t="shared" si="70"/>
        <v>0</v>
      </c>
      <c r="EF32" s="207">
        <v>1</v>
      </c>
      <c r="EG32" s="207">
        <f t="shared" si="71"/>
        <v>1</v>
      </c>
      <c r="EH32" s="207">
        <f t="shared" si="72"/>
        <v>4.5</v>
      </c>
      <c r="EI32" s="208">
        <f t="shared" si="73"/>
        <v>49.5</v>
      </c>
      <c r="EJ32" s="205">
        <f t="shared" si="74"/>
        <v>17.132541666666665</v>
      </c>
      <c r="EK32" s="206" t="str">
        <f t="shared" si="75"/>
        <v>(1.59)</v>
      </c>
      <c r="EL32" s="207">
        <v>2</v>
      </c>
      <c r="EM32" s="207">
        <f t="shared" si="76"/>
        <v>3.5</v>
      </c>
      <c r="EN32" s="207">
        <v>0</v>
      </c>
      <c r="EO32" s="207">
        <f t="shared" si="77"/>
        <v>0</v>
      </c>
      <c r="EP32" s="207">
        <v>1</v>
      </c>
      <c r="EQ32" s="207">
        <f t="shared" si="78"/>
        <v>1</v>
      </c>
      <c r="ER32" s="207">
        <f t="shared" si="79"/>
        <v>4.5</v>
      </c>
      <c r="ES32" s="208">
        <f t="shared" si="80"/>
        <v>55.5</v>
      </c>
      <c r="ET32" s="205">
        <f t="shared" si="81"/>
        <v>18.98470833333333</v>
      </c>
      <c r="EU32" s="206" t="str">
        <f t="shared" si="82"/>
        <v>(1.76)</v>
      </c>
      <c r="EV32" s="207">
        <v>2</v>
      </c>
      <c r="EW32" s="207">
        <f t="shared" si="83"/>
        <v>3.5</v>
      </c>
      <c r="EX32" s="207">
        <v>0</v>
      </c>
      <c r="EY32" s="207">
        <f t="shared" si="84"/>
        <v>0</v>
      </c>
      <c r="EZ32" s="207">
        <v>1</v>
      </c>
      <c r="FA32" s="207">
        <f t="shared" si="85"/>
        <v>1</v>
      </c>
      <c r="FB32" s="207">
        <f t="shared" si="86"/>
        <v>4.5</v>
      </c>
      <c r="FC32" s="208">
        <f t="shared" si="87"/>
        <v>61.5</v>
      </c>
      <c r="FD32" s="205">
        <f t="shared" si="88"/>
        <v>21.145569444444444</v>
      </c>
      <c r="FE32" s="206" t="str">
        <f t="shared" si="89"/>
        <v>(1.96)</v>
      </c>
      <c r="FF32" s="207">
        <v>2</v>
      </c>
      <c r="FG32" s="207">
        <f t="shared" si="90"/>
        <v>3.5</v>
      </c>
      <c r="FH32" s="469">
        <v>0</v>
      </c>
      <c r="FI32" s="207">
        <f t="shared" si="91"/>
        <v>0</v>
      </c>
      <c r="FJ32" s="207">
        <v>0</v>
      </c>
      <c r="FK32" s="207">
        <f t="shared" si="92"/>
        <v>0</v>
      </c>
      <c r="FL32" s="207">
        <f t="shared" si="93"/>
        <v>3.5</v>
      </c>
      <c r="FM32" s="208">
        <f t="shared" si="94"/>
        <v>68.5</v>
      </c>
      <c r="FN32" s="205">
        <f t="shared" si="95"/>
        <v>22.650454861111111</v>
      </c>
      <c r="FO32" s="206" t="str">
        <f t="shared" si="96"/>
        <v>(2.10)</v>
      </c>
      <c r="FP32" s="207">
        <v>2</v>
      </c>
      <c r="FQ32" s="207">
        <f t="shared" si="97"/>
        <v>3.5</v>
      </c>
      <c r="FR32" s="207">
        <v>1</v>
      </c>
      <c r="FS32" s="207">
        <f t="shared" si="98"/>
        <v>1.125</v>
      </c>
      <c r="FT32" s="207">
        <v>0</v>
      </c>
      <c r="FU32" s="207">
        <f t="shared" si="99"/>
        <v>0</v>
      </c>
      <c r="FV32" s="207">
        <f t="shared" si="100"/>
        <v>4.625</v>
      </c>
      <c r="FW32" s="208">
        <f t="shared" si="101"/>
        <v>73.375</v>
      </c>
      <c r="FX32" s="205">
        <f t="shared" si="102"/>
        <v>24.502621527777777</v>
      </c>
      <c r="FY32" s="206" t="str">
        <f t="shared" si="103"/>
        <v>(2.28)</v>
      </c>
      <c r="FZ32" s="207">
        <v>2</v>
      </c>
      <c r="GA32" s="207">
        <f t="shared" si="104"/>
        <v>3.5</v>
      </c>
      <c r="GB32" s="207">
        <v>1</v>
      </c>
      <c r="GC32" s="207">
        <f t="shared" si="105"/>
        <v>1.125</v>
      </c>
      <c r="GD32" s="207">
        <v>0</v>
      </c>
      <c r="GE32" s="207">
        <f t="shared" si="106"/>
        <v>0</v>
      </c>
      <c r="GF32" s="207">
        <f t="shared" si="107"/>
        <v>4.625</v>
      </c>
      <c r="GG32" s="208">
        <f t="shared" si="108"/>
        <v>79.375</v>
      </c>
      <c r="GH32" s="205">
        <f t="shared" si="109"/>
        <v>26.354788194444446</v>
      </c>
      <c r="GI32" s="206" t="str">
        <f t="shared" si="110"/>
        <v>(2.45)</v>
      </c>
      <c r="GJ32" s="207">
        <v>2</v>
      </c>
      <c r="GK32" s="207">
        <f t="shared" si="111"/>
        <v>3.5</v>
      </c>
      <c r="GL32" s="207">
        <v>1</v>
      </c>
      <c r="GM32" s="207">
        <f t="shared" si="112"/>
        <v>1.125</v>
      </c>
      <c r="GN32" s="207">
        <v>0</v>
      </c>
      <c r="GO32" s="207">
        <f t="shared" si="113"/>
        <v>0</v>
      </c>
      <c r="GP32" s="207">
        <f t="shared" si="114"/>
        <v>4.625</v>
      </c>
      <c r="GQ32" s="208">
        <f t="shared" si="115"/>
        <v>85.375</v>
      </c>
      <c r="GR32" s="205">
        <f t="shared" si="116"/>
        <v>28.206954861111111</v>
      </c>
      <c r="GS32" s="206" t="str">
        <f t="shared" si="117"/>
        <v>(2.62)</v>
      </c>
      <c r="GT32" s="207">
        <v>2</v>
      </c>
      <c r="GU32" s="207">
        <f t="shared" si="118"/>
        <v>3.5</v>
      </c>
      <c r="GV32" s="207">
        <v>1</v>
      </c>
      <c r="GW32" s="207">
        <f t="shared" si="119"/>
        <v>1.125</v>
      </c>
      <c r="GX32" s="207">
        <v>0</v>
      </c>
      <c r="GY32" s="207">
        <f t="shared" si="120"/>
        <v>0</v>
      </c>
      <c r="GZ32" s="207">
        <f t="shared" si="121"/>
        <v>4.625</v>
      </c>
      <c r="HA32" s="208">
        <f t="shared" si="122"/>
        <v>91.375</v>
      </c>
      <c r="HB32" s="205">
        <f t="shared" si="123"/>
        <v>30.059121527777776</v>
      </c>
      <c r="HC32" s="206" t="str">
        <f t="shared" si="124"/>
        <v>(2.79)</v>
      </c>
      <c r="HD32" s="207">
        <v>2</v>
      </c>
      <c r="HE32" s="207">
        <f t="shared" si="125"/>
        <v>3.5</v>
      </c>
      <c r="HF32" s="207">
        <v>1</v>
      </c>
      <c r="HG32" s="207">
        <f t="shared" si="126"/>
        <v>1.125</v>
      </c>
      <c r="HH32" s="207">
        <v>0</v>
      </c>
      <c r="HI32" s="207">
        <f t="shared" si="127"/>
        <v>0</v>
      </c>
      <c r="HJ32" s="207">
        <f t="shared" si="128"/>
        <v>4.625</v>
      </c>
      <c r="HK32" s="208">
        <f t="shared" si="129"/>
        <v>97.375</v>
      </c>
      <c r="HL32" s="205">
        <f t="shared" si="130"/>
        <v>31.293899305555556</v>
      </c>
      <c r="HM32" s="206" t="str">
        <f t="shared" si="131"/>
        <v>(2.91)</v>
      </c>
      <c r="HN32" s="207">
        <v>2</v>
      </c>
      <c r="HO32" s="207">
        <f t="shared" si="132"/>
        <v>3.5</v>
      </c>
      <c r="HP32" s="207">
        <v>1</v>
      </c>
      <c r="HQ32" s="207">
        <f t="shared" si="133"/>
        <v>1.125</v>
      </c>
      <c r="HR32" s="207">
        <v>2</v>
      </c>
      <c r="HS32" s="207">
        <f t="shared" si="134"/>
        <v>2</v>
      </c>
      <c r="HT32" s="207">
        <f t="shared" si="135"/>
        <v>6.625</v>
      </c>
      <c r="HU32" s="208">
        <f t="shared" si="136"/>
        <v>101.375</v>
      </c>
      <c r="HV32" s="205">
        <f t="shared" si="137"/>
        <v>33.146065972222218</v>
      </c>
      <c r="HW32" s="206" t="str">
        <f t="shared" si="138"/>
        <v>(3.08)</v>
      </c>
      <c r="HX32" s="207">
        <v>2</v>
      </c>
      <c r="HY32" s="207">
        <f t="shared" si="139"/>
        <v>3.5</v>
      </c>
      <c r="HZ32" s="207">
        <v>1</v>
      </c>
      <c r="IA32" s="207">
        <f t="shared" si="140"/>
        <v>1.125</v>
      </c>
      <c r="IB32" s="207">
        <v>2</v>
      </c>
      <c r="IC32" s="207">
        <f t="shared" si="141"/>
        <v>2</v>
      </c>
      <c r="ID32" s="207">
        <f t="shared" si="142"/>
        <v>6.625</v>
      </c>
      <c r="IE32" s="208">
        <f t="shared" si="143"/>
        <v>107.375</v>
      </c>
      <c r="IF32" s="205">
        <f t="shared" si="144"/>
        <v>34.998232638888886</v>
      </c>
      <c r="IG32" s="206" t="str">
        <f t="shared" si="145"/>
        <v>(3.25)</v>
      </c>
      <c r="IH32" s="21">
        <v>2</v>
      </c>
      <c r="II32" s="21">
        <f t="shared" si="146"/>
        <v>3.5</v>
      </c>
      <c r="IJ32" s="21">
        <v>1</v>
      </c>
      <c r="IK32" s="21">
        <f t="shared" si="147"/>
        <v>1.125</v>
      </c>
      <c r="IL32" s="21">
        <v>2</v>
      </c>
      <c r="IM32" s="21">
        <f t="shared" si="148"/>
        <v>2</v>
      </c>
      <c r="IN32" s="21">
        <f t="shared" si="149"/>
        <v>6.625</v>
      </c>
      <c r="IO32" s="22">
        <f t="shared" si="150"/>
        <v>113.375</v>
      </c>
      <c r="IP32" s="23"/>
      <c r="IQ32" s="24">
        <v>16</v>
      </c>
      <c r="IR32" s="25">
        <v>2.6549999999999998</v>
      </c>
      <c r="IS32" s="25">
        <v>2.6469999999999998</v>
      </c>
      <c r="IT32" s="25">
        <v>2.0920000000000001</v>
      </c>
      <c r="IU32" s="25">
        <v>1.75</v>
      </c>
      <c r="IV32" s="25">
        <v>1</v>
      </c>
      <c r="IW32" s="25">
        <v>1.125</v>
      </c>
      <c r="IX32" s="7"/>
    </row>
    <row r="33" spans="2:258" ht="15.75" thickBot="1" x14ac:dyDescent="0.3">
      <c r="B33" s="79">
        <f t="shared" si="9"/>
        <v>96</v>
      </c>
      <c r="C33" s="148">
        <v>17</v>
      </c>
      <c r="D33" s="487"/>
      <c r="E33" s="488"/>
      <c r="F33" s="488"/>
      <c r="G33" s="488"/>
      <c r="H33" s="488"/>
      <c r="I33" s="488"/>
      <c r="J33" s="488"/>
      <c r="K33" s="488"/>
      <c r="L33" s="488"/>
      <c r="M33" s="488"/>
      <c r="N33" s="488"/>
      <c r="O33" s="488"/>
      <c r="P33" s="488"/>
      <c r="Q33" s="488"/>
      <c r="R33" s="488"/>
      <c r="S33" s="488"/>
      <c r="T33" s="488"/>
      <c r="U33" s="488"/>
      <c r="V33" s="488"/>
      <c r="W33" s="488"/>
      <c r="X33" s="76"/>
      <c r="Y33" s="46"/>
      <c r="AT33" s="3"/>
      <c r="AU33" s="13">
        <f t="shared" si="151"/>
        <v>78</v>
      </c>
      <c r="AV33" s="11" t="str">
        <f t="shared" si="10"/>
        <v>(2000)</v>
      </c>
      <c r="AW33" s="18"/>
      <c r="AX33" s="19">
        <f t="shared" si="11"/>
        <v>1.8538819444444445</v>
      </c>
      <c r="AY33" s="20" t="str">
        <f t="shared" si="12"/>
        <v>(0.17)</v>
      </c>
      <c r="AZ33" s="21">
        <v>2</v>
      </c>
      <c r="BA33" s="21">
        <f t="shared" si="13"/>
        <v>3.5</v>
      </c>
      <c r="BB33" s="21">
        <v>0</v>
      </c>
      <c r="BC33" s="21">
        <f t="shared" si="14"/>
        <v>0</v>
      </c>
      <c r="BD33" s="21">
        <v>0</v>
      </c>
      <c r="BE33" s="21">
        <f t="shared" si="15"/>
        <v>0</v>
      </c>
      <c r="BF33" s="21">
        <f t="shared" si="16"/>
        <v>3.5</v>
      </c>
      <c r="BG33" s="22">
        <f t="shared" si="17"/>
        <v>5.5</v>
      </c>
      <c r="BH33" s="205">
        <f t="shared" si="18"/>
        <v>2.8650902777777776</v>
      </c>
      <c r="BI33" s="206" t="str">
        <f t="shared" si="19"/>
        <v>(0.27)</v>
      </c>
      <c r="BJ33" s="207">
        <v>2</v>
      </c>
      <c r="BK33" s="207">
        <f t="shared" si="20"/>
        <v>3.5</v>
      </c>
      <c r="BL33" s="207">
        <v>0</v>
      </c>
      <c r="BM33" s="207">
        <f t="shared" si="21"/>
        <v>0</v>
      </c>
      <c r="BN33" s="207">
        <v>0</v>
      </c>
      <c r="BO33" s="207">
        <f t="shared" si="22"/>
        <v>0</v>
      </c>
      <c r="BP33" s="207">
        <f t="shared" si="23"/>
        <v>3.5</v>
      </c>
      <c r="BQ33" s="208">
        <f t="shared" si="24"/>
        <v>8.5</v>
      </c>
      <c r="BR33" s="205">
        <f t="shared" si="25"/>
        <v>4.8875069444444437</v>
      </c>
      <c r="BS33" s="206" t="str">
        <f t="shared" si="26"/>
        <v>(0.45)</v>
      </c>
      <c r="BT33" s="207">
        <v>2</v>
      </c>
      <c r="BU33" s="207">
        <f t="shared" si="27"/>
        <v>3.5</v>
      </c>
      <c r="BV33" s="207">
        <v>0</v>
      </c>
      <c r="BW33" s="207">
        <f t="shared" si="28"/>
        <v>0</v>
      </c>
      <c r="BX33" s="207">
        <v>0</v>
      </c>
      <c r="BY33" s="207">
        <f t="shared" si="29"/>
        <v>0</v>
      </c>
      <c r="BZ33" s="207">
        <f t="shared" si="30"/>
        <v>3.5</v>
      </c>
      <c r="CA33" s="208">
        <f t="shared" si="31"/>
        <v>14.5</v>
      </c>
      <c r="CB33" s="205">
        <f t="shared" si="32"/>
        <v>6.9099236111111102</v>
      </c>
      <c r="CC33" s="206" t="str">
        <f t="shared" si="33"/>
        <v>(0.64)</v>
      </c>
      <c r="CD33" s="207">
        <v>2</v>
      </c>
      <c r="CE33" s="207">
        <f t="shared" si="34"/>
        <v>3.5</v>
      </c>
      <c r="CF33" s="207">
        <v>0</v>
      </c>
      <c r="CG33" s="207">
        <f t="shared" si="35"/>
        <v>0</v>
      </c>
      <c r="CH33" s="207">
        <v>0</v>
      </c>
      <c r="CI33" s="207">
        <f t="shared" si="36"/>
        <v>0</v>
      </c>
      <c r="CJ33" s="207">
        <f t="shared" si="37"/>
        <v>3.5</v>
      </c>
      <c r="CK33" s="208">
        <f t="shared" si="38"/>
        <v>20.5</v>
      </c>
      <c r="CL33" s="205">
        <f t="shared" si="39"/>
        <v>8.9323402777777758</v>
      </c>
      <c r="CM33" s="206" t="str">
        <f t="shared" si="40"/>
        <v>(0.83)</v>
      </c>
      <c r="CN33" s="207">
        <v>2</v>
      </c>
      <c r="CO33" s="207">
        <f t="shared" si="41"/>
        <v>3.5</v>
      </c>
      <c r="CP33" s="207">
        <v>0</v>
      </c>
      <c r="CQ33" s="207">
        <f t="shared" si="42"/>
        <v>0</v>
      </c>
      <c r="CR33" s="207">
        <v>0</v>
      </c>
      <c r="CS33" s="207">
        <f t="shared" si="43"/>
        <v>0</v>
      </c>
      <c r="CT33" s="207">
        <f t="shared" si="44"/>
        <v>3.5</v>
      </c>
      <c r="CU33" s="208">
        <f t="shared" si="45"/>
        <v>26.5</v>
      </c>
      <c r="CV33" s="205">
        <f t="shared" si="46"/>
        <v>10.954756944444444</v>
      </c>
      <c r="CW33" s="206" t="str">
        <f t="shared" si="47"/>
        <v>(1.02)</v>
      </c>
      <c r="CX33" s="207">
        <v>2</v>
      </c>
      <c r="CY33" s="207">
        <f t="shared" si="48"/>
        <v>3.5</v>
      </c>
      <c r="CZ33" s="207">
        <v>0</v>
      </c>
      <c r="DA33" s="207">
        <f t="shared" si="49"/>
        <v>0</v>
      </c>
      <c r="DB33" s="207">
        <v>0</v>
      </c>
      <c r="DC33" s="207">
        <f t="shared" si="50"/>
        <v>0</v>
      </c>
      <c r="DD33" s="207">
        <f t="shared" si="51"/>
        <v>3.5</v>
      </c>
      <c r="DE33" s="208">
        <f t="shared" si="52"/>
        <v>32.5</v>
      </c>
      <c r="DF33" s="205">
        <f t="shared" si="53"/>
        <v>12.977173611111111</v>
      </c>
      <c r="DG33" s="206" t="str">
        <f t="shared" si="54"/>
        <v>(1.21)</v>
      </c>
      <c r="DH33" s="207">
        <v>2</v>
      </c>
      <c r="DI33" s="207">
        <f t="shared" si="55"/>
        <v>3.5</v>
      </c>
      <c r="DJ33" s="207">
        <v>0</v>
      </c>
      <c r="DK33" s="207">
        <f t="shared" si="56"/>
        <v>0</v>
      </c>
      <c r="DL33" s="207">
        <v>0</v>
      </c>
      <c r="DM33" s="207">
        <f t="shared" si="57"/>
        <v>0</v>
      </c>
      <c r="DN33" s="207">
        <f t="shared" si="58"/>
        <v>3.5</v>
      </c>
      <c r="DO33" s="208">
        <f t="shared" si="59"/>
        <v>38.5</v>
      </c>
      <c r="DP33" s="205">
        <f t="shared" si="60"/>
        <v>14.999590277777777</v>
      </c>
      <c r="DQ33" s="206" t="str">
        <f t="shared" si="61"/>
        <v>(1.39)</v>
      </c>
      <c r="DR33" s="207">
        <v>2</v>
      </c>
      <c r="DS33" s="207">
        <f t="shared" si="62"/>
        <v>3.5</v>
      </c>
      <c r="DT33" s="207">
        <v>0</v>
      </c>
      <c r="DU33" s="207">
        <f t="shared" si="63"/>
        <v>0</v>
      </c>
      <c r="DV33" s="207">
        <v>0</v>
      </c>
      <c r="DW33" s="207">
        <f t="shared" si="64"/>
        <v>0</v>
      </c>
      <c r="DX33" s="207">
        <f t="shared" si="65"/>
        <v>3.5</v>
      </c>
      <c r="DY33" s="208">
        <f t="shared" si="66"/>
        <v>44.5</v>
      </c>
      <c r="DZ33" s="205">
        <f t="shared" si="67"/>
        <v>16.6849375</v>
      </c>
      <c r="EA33" s="206" t="str">
        <f t="shared" si="68"/>
        <v>(1.55)</v>
      </c>
      <c r="EB33" s="207">
        <v>2</v>
      </c>
      <c r="EC33" s="207">
        <f t="shared" si="69"/>
        <v>3.5</v>
      </c>
      <c r="ED33" s="207">
        <v>0</v>
      </c>
      <c r="EE33" s="207">
        <f t="shared" si="70"/>
        <v>0</v>
      </c>
      <c r="EF33" s="207">
        <v>1</v>
      </c>
      <c r="EG33" s="207">
        <f t="shared" si="71"/>
        <v>1</v>
      </c>
      <c r="EH33" s="207">
        <f t="shared" si="72"/>
        <v>4.5</v>
      </c>
      <c r="EI33" s="208">
        <f t="shared" si="73"/>
        <v>49.5</v>
      </c>
      <c r="EJ33" s="205">
        <f t="shared" si="74"/>
        <v>18.707354166666665</v>
      </c>
      <c r="EK33" s="206" t="str">
        <f t="shared" si="75"/>
        <v>(1.74)</v>
      </c>
      <c r="EL33" s="207">
        <v>2</v>
      </c>
      <c r="EM33" s="207">
        <f t="shared" si="76"/>
        <v>3.5</v>
      </c>
      <c r="EN33" s="207">
        <v>0</v>
      </c>
      <c r="EO33" s="207">
        <f t="shared" si="77"/>
        <v>0</v>
      </c>
      <c r="EP33" s="207">
        <v>1</v>
      </c>
      <c r="EQ33" s="207">
        <f t="shared" si="78"/>
        <v>1</v>
      </c>
      <c r="ER33" s="207">
        <f t="shared" si="79"/>
        <v>4.5</v>
      </c>
      <c r="ES33" s="208">
        <f t="shared" si="80"/>
        <v>55.5</v>
      </c>
      <c r="ET33" s="205">
        <f t="shared" si="81"/>
        <v>20.729770833333333</v>
      </c>
      <c r="EU33" s="206" t="str">
        <f t="shared" si="82"/>
        <v>(1.93)</v>
      </c>
      <c r="EV33" s="207">
        <v>2</v>
      </c>
      <c r="EW33" s="207">
        <f t="shared" si="83"/>
        <v>3.5</v>
      </c>
      <c r="EX33" s="207">
        <v>0</v>
      </c>
      <c r="EY33" s="207">
        <f t="shared" si="84"/>
        <v>0</v>
      </c>
      <c r="EZ33" s="207">
        <v>1</v>
      </c>
      <c r="FA33" s="207">
        <f t="shared" si="85"/>
        <v>1</v>
      </c>
      <c r="FB33" s="207">
        <f t="shared" si="86"/>
        <v>4.5</v>
      </c>
      <c r="FC33" s="208">
        <f t="shared" si="87"/>
        <v>61.5</v>
      </c>
      <c r="FD33" s="205">
        <f t="shared" si="88"/>
        <v>23.089256944444443</v>
      </c>
      <c r="FE33" s="206" t="str">
        <f t="shared" si="89"/>
        <v>(2.15)</v>
      </c>
      <c r="FF33" s="207">
        <v>2</v>
      </c>
      <c r="FG33" s="207">
        <f t="shared" si="90"/>
        <v>3.5</v>
      </c>
      <c r="FH33" s="469">
        <v>0</v>
      </c>
      <c r="FI33" s="207">
        <f t="shared" si="91"/>
        <v>0</v>
      </c>
      <c r="FJ33" s="207">
        <v>0</v>
      </c>
      <c r="FK33" s="207">
        <f t="shared" si="92"/>
        <v>0</v>
      </c>
      <c r="FL33" s="207">
        <f t="shared" si="93"/>
        <v>3.5</v>
      </c>
      <c r="FM33" s="208">
        <f t="shared" si="94"/>
        <v>68.5</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1"/>
      <c r="GO33" s="31"/>
      <c r="GP33" s="31"/>
      <c r="GQ33" s="31"/>
      <c r="GR33" s="30"/>
      <c r="GS33" s="30"/>
      <c r="GT33" s="31"/>
      <c r="GU33" s="31"/>
      <c r="GV33" s="31"/>
      <c r="GW33" s="31"/>
      <c r="GX33" s="31"/>
      <c r="GY33" s="31"/>
      <c r="GZ33" s="31"/>
      <c r="HA33" s="31"/>
      <c r="HB33" s="30"/>
      <c r="HC33" s="30"/>
      <c r="HD33" s="31"/>
      <c r="HE33" s="31"/>
      <c r="HF33" s="31"/>
      <c r="HG33" s="31"/>
      <c r="HH33" s="31"/>
      <c r="HI33" s="31"/>
      <c r="HJ33" s="31"/>
      <c r="HK33" s="31"/>
      <c r="HL33" s="30"/>
      <c r="HM33" s="30"/>
      <c r="HN33" s="31"/>
      <c r="HO33" s="31"/>
      <c r="HP33" s="31"/>
      <c r="HQ33" s="31"/>
      <c r="HR33" s="31"/>
      <c r="HS33" s="31"/>
      <c r="HT33" s="31"/>
      <c r="HU33" s="31"/>
      <c r="HV33" s="30"/>
      <c r="HW33" s="30"/>
      <c r="HX33" s="31"/>
      <c r="HY33" s="31"/>
      <c r="HZ33" s="31"/>
      <c r="IA33" s="31"/>
      <c r="IB33" s="31"/>
      <c r="IC33" s="31"/>
      <c r="ID33" s="31"/>
      <c r="IE33" s="31"/>
      <c r="IF33" s="30"/>
      <c r="IG33" s="30"/>
      <c r="IH33" s="31"/>
      <c r="II33" s="31"/>
      <c r="IJ33" s="31"/>
      <c r="IK33" s="31"/>
      <c r="IL33" s="31"/>
      <c r="IM33" s="31"/>
      <c r="IN33" s="32"/>
      <c r="IO33" s="32"/>
      <c r="IP33" s="32"/>
      <c r="IQ33" s="24">
        <v>18</v>
      </c>
      <c r="IR33" s="25">
        <v>2.6549999999999998</v>
      </c>
      <c r="IS33" s="25">
        <v>2.6469999999999998</v>
      </c>
      <c r="IT33" s="25">
        <v>0.88400000000000001</v>
      </c>
      <c r="IU33" s="25">
        <v>1.75</v>
      </c>
      <c r="IV33" s="25">
        <v>1</v>
      </c>
      <c r="IW33" s="25">
        <v>1.125</v>
      </c>
      <c r="IX33" s="7"/>
    </row>
    <row r="34" spans="2:258" ht="15.75" thickBot="1" x14ac:dyDescent="0.3">
      <c r="B34" s="79">
        <f t="shared" si="9"/>
        <v>102</v>
      </c>
      <c r="C34" s="147">
        <v>18</v>
      </c>
      <c r="D34" s="487"/>
      <c r="E34" s="488"/>
      <c r="F34" s="488"/>
      <c r="G34" s="488"/>
      <c r="H34" s="488"/>
      <c r="I34" s="488"/>
      <c r="J34" s="488"/>
      <c r="K34" s="488"/>
      <c r="L34" s="488"/>
      <c r="M34" s="488"/>
      <c r="N34" s="488"/>
      <c r="O34" s="488"/>
      <c r="P34" s="488"/>
      <c r="Q34" s="488"/>
      <c r="R34" s="488"/>
      <c r="S34" s="488"/>
      <c r="T34" s="488"/>
      <c r="U34" s="488"/>
      <c r="V34" s="488"/>
      <c r="W34" s="488"/>
      <c r="X34" s="76"/>
      <c r="Y34" s="46"/>
      <c r="AT34" s="3"/>
      <c r="AU34" s="13">
        <f t="shared" si="151"/>
        <v>84</v>
      </c>
      <c r="AV34" s="11" t="str">
        <f t="shared" si="10"/>
        <v>(2150)</v>
      </c>
      <c r="AW34" s="18"/>
      <c r="AX34" s="19">
        <f t="shared" si="11"/>
        <v>2.0011215277777779</v>
      </c>
      <c r="AY34" s="20" t="str">
        <f t="shared" si="12"/>
        <v>(0.19)</v>
      </c>
      <c r="AZ34" s="21">
        <v>2</v>
      </c>
      <c r="BA34" s="21">
        <f t="shared" si="13"/>
        <v>3.5</v>
      </c>
      <c r="BB34" s="21">
        <v>0</v>
      </c>
      <c r="BC34" s="21">
        <f t="shared" si="14"/>
        <v>0</v>
      </c>
      <c r="BD34" s="21">
        <v>0</v>
      </c>
      <c r="BE34" s="21">
        <f t="shared" si="15"/>
        <v>0</v>
      </c>
      <c r="BF34" s="21">
        <f t="shared" si="16"/>
        <v>3.5</v>
      </c>
      <c r="BG34" s="22">
        <f t="shared" si="17"/>
        <v>5.5</v>
      </c>
      <c r="BH34" s="205">
        <f t="shared" si="18"/>
        <v>3.0926423611111109</v>
      </c>
      <c r="BI34" s="206" t="str">
        <f t="shared" si="19"/>
        <v>(0.29)</v>
      </c>
      <c r="BJ34" s="207">
        <v>2</v>
      </c>
      <c r="BK34" s="207">
        <f t="shared" si="20"/>
        <v>3.5</v>
      </c>
      <c r="BL34" s="207">
        <v>0</v>
      </c>
      <c r="BM34" s="207">
        <f t="shared" si="21"/>
        <v>0</v>
      </c>
      <c r="BN34" s="207">
        <v>0</v>
      </c>
      <c r="BO34" s="207">
        <f t="shared" si="22"/>
        <v>0</v>
      </c>
      <c r="BP34" s="207">
        <f t="shared" si="23"/>
        <v>3.5</v>
      </c>
      <c r="BQ34" s="208">
        <f t="shared" si="24"/>
        <v>8.5</v>
      </c>
      <c r="BR34" s="205">
        <f t="shared" si="25"/>
        <v>5.2756840277777766</v>
      </c>
      <c r="BS34" s="206" t="str">
        <f t="shared" si="26"/>
        <v>(0.49)</v>
      </c>
      <c r="BT34" s="207">
        <v>2</v>
      </c>
      <c r="BU34" s="207">
        <f t="shared" si="27"/>
        <v>3.5</v>
      </c>
      <c r="BV34" s="207">
        <v>0</v>
      </c>
      <c r="BW34" s="207">
        <f t="shared" si="28"/>
        <v>0</v>
      </c>
      <c r="BX34" s="207">
        <v>0</v>
      </c>
      <c r="BY34" s="207">
        <f t="shared" si="29"/>
        <v>0</v>
      </c>
      <c r="BZ34" s="207">
        <f t="shared" si="30"/>
        <v>3.5</v>
      </c>
      <c r="CA34" s="208">
        <f t="shared" si="31"/>
        <v>14.5</v>
      </c>
      <c r="CB34" s="205">
        <f t="shared" si="32"/>
        <v>7.4587256944444436</v>
      </c>
      <c r="CC34" s="206" t="str">
        <f t="shared" si="33"/>
        <v>(0.69)</v>
      </c>
      <c r="CD34" s="207">
        <v>2</v>
      </c>
      <c r="CE34" s="207">
        <f t="shared" si="34"/>
        <v>3.5</v>
      </c>
      <c r="CF34" s="207">
        <v>0</v>
      </c>
      <c r="CG34" s="207">
        <f t="shared" si="35"/>
        <v>0</v>
      </c>
      <c r="CH34" s="207">
        <v>0</v>
      </c>
      <c r="CI34" s="207">
        <f t="shared" si="36"/>
        <v>0</v>
      </c>
      <c r="CJ34" s="207">
        <f t="shared" si="37"/>
        <v>3.5</v>
      </c>
      <c r="CK34" s="208">
        <f t="shared" si="38"/>
        <v>20.5</v>
      </c>
      <c r="CL34" s="205">
        <f t="shared" si="39"/>
        <v>9.6417673611111105</v>
      </c>
      <c r="CM34" s="206" t="str">
        <f t="shared" si="40"/>
        <v>(0.9)</v>
      </c>
      <c r="CN34" s="207">
        <v>2</v>
      </c>
      <c r="CO34" s="207">
        <f t="shared" si="41"/>
        <v>3.5</v>
      </c>
      <c r="CP34" s="207">
        <v>0</v>
      </c>
      <c r="CQ34" s="207">
        <f t="shared" si="42"/>
        <v>0</v>
      </c>
      <c r="CR34" s="207">
        <v>0</v>
      </c>
      <c r="CS34" s="207">
        <f t="shared" si="43"/>
        <v>0</v>
      </c>
      <c r="CT34" s="207">
        <f t="shared" si="44"/>
        <v>3.5</v>
      </c>
      <c r="CU34" s="208">
        <f t="shared" si="45"/>
        <v>26.5</v>
      </c>
      <c r="CV34" s="205">
        <f t="shared" si="46"/>
        <v>11.824809027777777</v>
      </c>
      <c r="CW34" s="206" t="str">
        <f t="shared" si="47"/>
        <v>(1.1)</v>
      </c>
      <c r="CX34" s="207">
        <v>2</v>
      </c>
      <c r="CY34" s="207">
        <f t="shared" si="48"/>
        <v>3.5</v>
      </c>
      <c r="CZ34" s="207">
        <v>0</v>
      </c>
      <c r="DA34" s="207">
        <f t="shared" si="49"/>
        <v>0</v>
      </c>
      <c r="DB34" s="207">
        <v>0</v>
      </c>
      <c r="DC34" s="207">
        <f t="shared" si="50"/>
        <v>0</v>
      </c>
      <c r="DD34" s="207">
        <f t="shared" si="51"/>
        <v>3.5</v>
      </c>
      <c r="DE34" s="208">
        <f t="shared" si="52"/>
        <v>32.5</v>
      </c>
      <c r="DF34" s="205">
        <f t="shared" si="53"/>
        <v>14.007850694444443</v>
      </c>
      <c r="DG34" s="206" t="str">
        <f t="shared" si="54"/>
        <v>(1.3)</v>
      </c>
      <c r="DH34" s="207">
        <v>2</v>
      </c>
      <c r="DI34" s="207">
        <f t="shared" si="55"/>
        <v>3.5</v>
      </c>
      <c r="DJ34" s="207">
        <v>0</v>
      </c>
      <c r="DK34" s="207">
        <f t="shared" si="56"/>
        <v>0</v>
      </c>
      <c r="DL34" s="207">
        <v>0</v>
      </c>
      <c r="DM34" s="207">
        <f t="shared" si="57"/>
        <v>0</v>
      </c>
      <c r="DN34" s="207">
        <f t="shared" si="58"/>
        <v>3.5</v>
      </c>
      <c r="DO34" s="208">
        <f t="shared" si="59"/>
        <v>38.5</v>
      </c>
      <c r="DP34" s="205">
        <f t="shared" si="60"/>
        <v>16.190892361111111</v>
      </c>
      <c r="DQ34" s="206" t="str">
        <f t="shared" si="61"/>
        <v>(1.5)</v>
      </c>
      <c r="DR34" s="207">
        <v>2</v>
      </c>
      <c r="DS34" s="207">
        <f t="shared" si="62"/>
        <v>3.5</v>
      </c>
      <c r="DT34" s="207">
        <v>0</v>
      </c>
      <c r="DU34" s="207">
        <f t="shared" si="63"/>
        <v>0</v>
      </c>
      <c r="DV34" s="207">
        <v>0</v>
      </c>
      <c r="DW34" s="207">
        <f t="shared" si="64"/>
        <v>0</v>
      </c>
      <c r="DX34" s="207">
        <f t="shared" si="65"/>
        <v>3.5</v>
      </c>
      <c r="DY34" s="208">
        <f t="shared" si="66"/>
        <v>44.5</v>
      </c>
      <c r="DZ34" s="205">
        <f t="shared" si="67"/>
        <v>18.010093749999996</v>
      </c>
      <c r="EA34" s="206" t="str">
        <f t="shared" si="68"/>
        <v>(1.67)</v>
      </c>
      <c r="EB34" s="207">
        <v>2</v>
      </c>
      <c r="EC34" s="207">
        <f t="shared" si="69"/>
        <v>3.5</v>
      </c>
      <c r="ED34" s="207">
        <v>0</v>
      </c>
      <c r="EE34" s="207">
        <f t="shared" si="70"/>
        <v>0</v>
      </c>
      <c r="EF34" s="207">
        <v>1</v>
      </c>
      <c r="EG34" s="207">
        <f t="shared" si="71"/>
        <v>1</v>
      </c>
      <c r="EH34" s="207">
        <f t="shared" si="72"/>
        <v>4.5</v>
      </c>
      <c r="EI34" s="208">
        <f t="shared" si="73"/>
        <v>49.5</v>
      </c>
      <c r="EJ34" s="205">
        <f t="shared" si="74"/>
        <v>20.193135416666664</v>
      </c>
      <c r="EK34" s="206" t="str">
        <f t="shared" si="75"/>
        <v>(1.88)</v>
      </c>
      <c r="EL34" s="207">
        <v>2</v>
      </c>
      <c r="EM34" s="207">
        <f t="shared" si="76"/>
        <v>3.5</v>
      </c>
      <c r="EN34" s="207">
        <v>0</v>
      </c>
      <c r="EO34" s="207">
        <f t="shared" si="77"/>
        <v>0</v>
      </c>
      <c r="EP34" s="207">
        <v>1</v>
      </c>
      <c r="EQ34" s="207">
        <f t="shared" si="78"/>
        <v>1</v>
      </c>
      <c r="ER34" s="207">
        <f t="shared" si="79"/>
        <v>4.5</v>
      </c>
      <c r="ES34" s="208">
        <f t="shared" si="80"/>
        <v>55.5</v>
      </c>
      <c r="ET34" s="205">
        <f t="shared" si="81"/>
        <v>22.376177083333332</v>
      </c>
      <c r="EU34" s="206" t="str">
        <f t="shared" si="82"/>
        <v>(2.08)</v>
      </c>
      <c r="EV34" s="207">
        <v>2</v>
      </c>
      <c r="EW34" s="207">
        <f t="shared" si="83"/>
        <v>3.5</v>
      </c>
      <c r="EX34" s="207">
        <v>0</v>
      </c>
      <c r="EY34" s="207">
        <f t="shared" si="84"/>
        <v>0</v>
      </c>
      <c r="EZ34" s="207">
        <v>1</v>
      </c>
      <c r="FA34" s="207">
        <f t="shared" si="85"/>
        <v>1</v>
      </c>
      <c r="FB34" s="207">
        <f t="shared" si="86"/>
        <v>4.5</v>
      </c>
      <c r="FC34" s="208">
        <f t="shared" si="87"/>
        <v>61.5</v>
      </c>
      <c r="FD34" s="205">
        <f t="shared" si="88"/>
        <v>24.923059027777775</v>
      </c>
      <c r="FE34" s="206" t="str">
        <f t="shared" si="89"/>
        <v>(2.32)</v>
      </c>
      <c r="FF34" s="207">
        <v>2</v>
      </c>
      <c r="FG34" s="207">
        <f t="shared" si="90"/>
        <v>3.5</v>
      </c>
      <c r="FH34" s="469">
        <v>0</v>
      </c>
      <c r="FI34" s="207">
        <f t="shared" si="91"/>
        <v>0</v>
      </c>
      <c r="FJ34" s="207">
        <v>0</v>
      </c>
      <c r="FK34" s="207">
        <f t="shared" si="92"/>
        <v>0</v>
      </c>
      <c r="FL34" s="207">
        <f t="shared" si="93"/>
        <v>3.5</v>
      </c>
      <c r="FM34" s="208">
        <f t="shared" si="94"/>
        <v>68.5</v>
      </c>
      <c r="FN34" s="30"/>
      <c r="FO34" s="30"/>
      <c r="FP34" s="31"/>
      <c r="FQ34" s="31"/>
      <c r="FR34" s="31"/>
      <c r="FS34" s="31"/>
      <c r="FT34" s="31"/>
      <c r="FU34" s="31"/>
      <c r="FV34" s="31"/>
      <c r="FW34" s="31"/>
      <c r="FX34" s="30"/>
      <c r="FY34" s="30"/>
      <c r="FZ34" s="31"/>
      <c r="GA34" s="31"/>
      <c r="GB34" s="31"/>
      <c r="GC34" s="31"/>
      <c r="GD34" s="31"/>
      <c r="GE34" s="31"/>
      <c r="GF34" s="31"/>
      <c r="GG34" s="31"/>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1"/>
      <c r="IK34" s="31"/>
      <c r="IL34" s="31"/>
      <c r="IM34" s="31"/>
      <c r="IN34" s="32"/>
      <c r="IO34" s="32"/>
      <c r="IP34" s="32"/>
      <c r="IQ34" s="24">
        <v>19</v>
      </c>
      <c r="IR34" s="25">
        <v>2.6549999999999998</v>
      </c>
      <c r="IS34" s="25">
        <v>2.6469999999999998</v>
      </c>
      <c r="IT34" s="25">
        <v>2.0920000000000001</v>
      </c>
      <c r="IU34" s="25">
        <v>1.75</v>
      </c>
      <c r="IV34" s="25">
        <v>1</v>
      </c>
      <c r="IW34" s="25">
        <v>1.125</v>
      </c>
      <c r="IX34" s="7"/>
    </row>
    <row r="35" spans="2:258" ht="15.75" thickBot="1" x14ac:dyDescent="0.3">
      <c r="B35" s="79">
        <f t="shared" si="9"/>
        <v>108</v>
      </c>
      <c r="C35" s="148">
        <v>19</v>
      </c>
      <c r="D35" s="487"/>
      <c r="E35" s="488"/>
      <c r="F35" s="488"/>
      <c r="G35" s="488"/>
      <c r="H35" s="488"/>
      <c r="I35" s="488"/>
      <c r="J35" s="488"/>
      <c r="K35" s="488"/>
      <c r="L35" s="488"/>
      <c r="M35" s="488"/>
      <c r="N35" s="488"/>
      <c r="O35" s="488"/>
      <c r="P35" s="488"/>
      <c r="Q35" s="488"/>
      <c r="R35" s="488"/>
      <c r="S35" s="488"/>
      <c r="T35" s="488"/>
      <c r="U35" s="488"/>
      <c r="V35" s="488"/>
      <c r="W35" s="488"/>
      <c r="X35" s="76"/>
      <c r="Y35" s="46"/>
      <c r="AT35" s="3"/>
      <c r="AU35" s="26">
        <f t="shared" si="151"/>
        <v>90</v>
      </c>
      <c r="AV35" s="27" t="str">
        <f t="shared" si="10"/>
        <v>(2300)</v>
      </c>
      <c r="AW35" s="18"/>
      <c r="AX35" s="19">
        <f t="shared" si="11"/>
        <v>2.1571840277777778</v>
      </c>
      <c r="AY35" s="28" t="str">
        <f t="shared" si="12"/>
        <v>(0.20)</v>
      </c>
      <c r="AZ35" s="21">
        <v>2</v>
      </c>
      <c r="BA35" s="21">
        <f t="shared" si="13"/>
        <v>3.5</v>
      </c>
      <c r="BB35" s="29">
        <v>0</v>
      </c>
      <c r="BC35" s="21">
        <f t="shared" si="14"/>
        <v>0</v>
      </c>
      <c r="BD35" s="29">
        <v>0</v>
      </c>
      <c r="BE35" s="21">
        <f t="shared" si="15"/>
        <v>0</v>
      </c>
      <c r="BF35" s="21">
        <f t="shared" si="16"/>
        <v>3.5</v>
      </c>
      <c r="BG35" s="22">
        <f t="shared" si="17"/>
        <v>5.5</v>
      </c>
      <c r="BH35" s="205">
        <f t="shared" si="18"/>
        <v>3.333829861111111</v>
      </c>
      <c r="BI35" s="206" t="str">
        <f t="shared" si="19"/>
        <v>(0.31)</v>
      </c>
      <c r="BJ35" s="207">
        <v>2</v>
      </c>
      <c r="BK35" s="207">
        <f t="shared" si="20"/>
        <v>3.5</v>
      </c>
      <c r="BL35" s="207">
        <v>0</v>
      </c>
      <c r="BM35" s="207">
        <f t="shared" si="21"/>
        <v>0</v>
      </c>
      <c r="BN35" s="207">
        <v>0</v>
      </c>
      <c r="BO35" s="207">
        <f t="shared" si="22"/>
        <v>0</v>
      </c>
      <c r="BP35" s="207">
        <f t="shared" si="23"/>
        <v>3.5</v>
      </c>
      <c r="BQ35" s="208">
        <f t="shared" si="24"/>
        <v>8.5</v>
      </c>
      <c r="BR35" s="205">
        <f t="shared" si="25"/>
        <v>5.6871215277777782</v>
      </c>
      <c r="BS35" s="206" t="str">
        <f t="shared" si="26"/>
        <v>(0.53)</v>
      </c>
      <c r="BT35" s="207">
        <v>2</v>
      </c>
      <c r="BU35" s="207">
        <f t="shared" si="27"/>
        <v>3.5</v>
      </c>
      <c r="BV35" s="207">
        <v>0</v>
      </c>
      <c r="BW35" s="207">
        <f t="shared" si="28"/>
        <v>0</v>
      </c>
      <c r="BX35" s="207">
        <v>0</v>
      </c>
      <c r="BY35" s="207">
        <f t="shared" si="29"/>
        <v>0</v>
      </c>
      <c r="BZ35" s="207">
        <f t="shared" si="30"/>
        <v>3.5</v>
      </c>
      <c r="CA35" s="208">
        <f t="shared" si="31"/>
        <v>14.5</v>
      </c>
      <c r="CB35" s="205">
        <f t="shared" si="32"/>
        <v>8.0404131944444455</v>
      </c>
      <c r="CC35" s="206" t="str">
        <f t="shared" si="33"/>
        <v>(0.75)</v>
      </c>
      <c r="CD35" s="207">
        <v>2</v>
      </c>
      <c r="CE35" s="207">
        <f t="shared" si="34"/>
        <v>3.5</v>
      </c>
      <c r="CF35" s="207">
        <v>0</v>
      </c>
      <c r="CG35" s="207">
        <f t="shared" si="35"/>
        <v>0</v>
      </c>
      <c r="CH35" s="207">
        <v>0</v>
      </c>
      <c r="CI35" s="207">
        <f t="shared" si="36"/>
        <v>0</v>
      </c>
      <c r="CJ35" s="207">
        <f t="shared" si="37"/>
        <v>3.5</v>
      </c>
      <c r="CK35" s="208">
        <f t="shared" si="38"/>
        <v>20.5</v>
      </c>
      <c r="CL35" s="205">
        <f t="shared" si="39"/>
        <v>10.393704861111111</v>
      </c>
      <c r="CM35" s="206" t="str">
        <f t="shared" si="40"/>
        <v>(0.97)</v>
      </c>
      <c r="CN35" s="207">
        <v>2</v>
      </c>
      <c r="CO35" s="207">
        <f t="shared" si="41"/>
        <v>3.5</v>
      </c>
      <c r="CP35" s="207">
        <v>0</v>
      </c>
      <c r="CQ35" s="207">
        <f t="shared" si="42"/>
        <v>0</v>
      </c>
      <c r="CR35" s="207">
        <v>0</v>
      </c>
      <c r="CS35" s="207">
        <f t="shared" si="43"/>
        <v>0</v>
      </c>
      <c r="CT35" s="207">
        <f t="shared" si="44"/>
        <v>3.5</v>
      </c>
      <c r="CU35" s="208">
        <f t="shared" si="45"/>
        <v>26.5</v>
      </c>
      <c r="CV35" s="205">
        <f t="shared" si="46"/>
        <v>12.746996527777776</v>
      </c>
      <c r="CW35" s="206" t="str">
        <f t="shared" si="47"/>
        <v>(1.18)</v>
      </c>
      <c r="CX35" s="207">
        <v>2</v>
      </c>
      <c r="CY35" s="207">
        <f t="shared" si="48"/>
        <v>3.5</v>
      </c>
      <c r="CZ35" s="207">
        <v>0</v>
      </c>
      <c r="DA35" s="207">
        <f t="shared" si="49"/>
        <v>0</v>
      </c>
      <c r="DB35" s="207">
        <v>0</v>
      </c>
      <c r="DC35" s="207">
        <f t="shared" si="50"/>
        <v>0</v>
      </c>
      <c r="DD35" s="207">
        <f t="shared" si="51"/>
        <v>3.5</v>
      </c>
      <c r="DE35" s="208">
        <f t="shared" si="52"/>
        <v>32.5</v>
      </c>
      <c r="DF35" s="205">
        <f t="shared" si="53"/>
        <v>15.100288194444444</v>
      </c>
      <c r="DG35" s="206" t="str">
        <f t="shared" si="54"/>
        <v>(1.4)</v>
      </c>
      <c r="DH35" s="207">
        <v>2</v>
      </c>
      <c r="DI35" s="207">
        <f t="shared" si="55"/>
        <v>3.5</v>
      </c>
      <c r="DJ35" s="207">
        <v>0</v>
      </c>
      <c r="DK35" s="207">
        <f t="shared" si="56"/>
        <v>0</v>
      </c>
      <c r="DL35" s="207">
        <v>0</v>
      </c>
      <c r="DM35" s="207">
        <f t="shared" si="57"/>
        <v>0</v>
      </c>
      <c r="DN35" s="207">
        <f t="shared" si="58"/>
        <v>3.5</v>
      </c>
      <c r="DO35" s="208">
        <f t="shared" si="59"/>
        <v>38.5</v>
      </c>
      <c r="DP35" s="205">
        <f t="shared" si="60"/>
        <v>17.453579861111113</v>
      </c>
      <c r="DQ35" s="206" t="str">
        <f t="shared" si="61"/>
        <v>(1.62)</v>
      </c>
      <c r="DR35" s="207">
        <v>2</v>
      </c>
      <c r="DS35" s="207">
        <f t="shared" si="62"/>
        <v>3.5</v>
      </c>
      <c r="DT35" s="207">
        <v>0</v>
      </c>
      <c r="DU35" s="207">
        <f t="shared" si="63"/>
        <v>0</v>
      </c>
      <c r="DV35" s="207">
        <v>0</v>
      </c>
      <c r="DW35" s="207">
        <f t="shared" si="64"/>
        <v>0</v>
      </c>
      <c r="DX35" s="207">
        <f t="shared" si="65"/>
        <v>3.5</v>
      </c>
      <c r="DY35" s="208">
        <f t="shared" si="66"/>
        <v>44.5</v>
      </c>
      <c r="DZ35" s="205">
        <f t="shared" si="67"/>
        <v>19.41465625</v>
      </c>
      <c r="EA35" s="206" t="str">
        <f t="shared" si="68"/>
        <v>(1.80)</v>
      </c>
      <c r="EB35" s="207">
        <v>2</v>
      </c>
      <c r="EC35" s="207">
        <f t="shared" si="69"/>
        <v>3.5</v>
      </c>
      <c r="ED35" s="207">
        <v>0</v>
      </c>
      <c r="EE35" s="207">
        <f t="shared" si="70"/>
        <v>0</v>
      </c>
      <c r="EF35" s="207">
        <v>1</v>
      </c>
      <c r="EG35" s="207">
        <f t="shared" si="71"/>
        <v>1</v>
      </c>
      <c r="EH35" s="207">
        <f t="shared" si="72"/>
        <v>4.5</v>
      </c>
      <c r="EI35" s="208">
        <f t="shared" si="73"/>
        <v>49.5</v>
      </c>
      <c r="EJ35" s="205">
        <f t="shared" si="74"/>
        <v>21.767947916666667</v>
      </c>
      <c r="EK35" s="206" t="str">
        <f t="shared" si="75"/>
        <v>(2.02)</v>
      </c>
      <c r="EL35" s="207">
        <v>2</v>
      </c>
      <c r="EM35" s="207">
        <f t="shared" si="76"/>
        <v>3.5</v>
      </c>
      <c r="EN35" s="207">
        <v>0</v>
      </c>
      <c r="EO35" s="207">
        <f t="shared" si="77"/>
        <v>0</v>
      </c>
      <c r="EP35" s="207">
        <v>1</v>
      </c>
      <c r="EQ35" s="207">
        <f t="shared" si="78"/>
        <v>1</v>
      </c>
      <c r="ER35" s="207">
        <f t="shared" si="79"/>
        <v>4.5</v>
      </c>
      <c r="ES35" s="208">
        <f t="shared" si="80"/>
        <v>55.5</v>
      </c>
      <c r="ET35" s="205">
        <f t="shared" si="81"/>
        <v>24.121239583333331</v>
      </c>
      <c r="EU35" s="206" t="str">
        <f t="shared" si="82"/>
        <v>(2.24)</v>
      </c>
      <c r="EV35" s="207">
        <v>2</v>
      </c>
      <c r="EW35" s="207">
        <f t="shared" si="83"/>
        <v>3.5</v>
      </c>
      <c r="EX35" s="207">
        <v>0</v>
      </c>
      <c r="EY35" s="207">
        <f t="shared" si="84"/>
        <v>0</v>
      </c>
      <c r="EZ35" s="207">
        <v>1</v>
      </c>
      <c r="FA35" s="207">
        <f t="shared" si="85"/>
        <v>1</v>
      </c>
      <c r="FB35" s="207">
        <f t="shared" si="86"/>
        <v>4.5</v>
      </c>
      <c r="FC35" s="208">
        <f t="shared" si="87"/>
        <v>61.5</v>
      </c>
      <c r="FD35" s="205">
        <f t="shared" si="88"/>
        <v>26.866746527777778</v>
      </c>
      <c r="FE35" s="206" t="str">
        <f t="shared" si="89"/>
        <v>(2.50)</v>
      </c>
      <c r="FF35" s="207">
        <v>2</v>
      </c>
      <c r="FG35" s="207">
        <f t="shared" si="90"/>
        <v>3.5</v>
      </c>
      <c r="FH35" s="469">
        <v>0</v>
      </c>
      <c r="FI35" s="207">
        <f t="shared" si="91"/>
        <v>0</v>
      </c>
      <c r="FJ35" s="207">
        <v>0</v>
      </c>
      <c r="FK35" s="207">
        <f t="shared" si="92"/>
        <v>0</v>
      </c>
      <c r="FL35" s="207">
        <f t="shared" si="93"/>
        <v>3.5</v>
      </c>
      <c r="FM35" s="208">
        <f t="shared" si="94"/>
        <v>68.5</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3"/>
      <c r="IK35" s="31"/>
      <c r="IL35" s="31"/>
      <c r="IM35" s="31"/>
      <c r="IN35" s="32"/>
      <c r="IO35" s="32"/>
      <c r="IP35" s="32"/>
      <c r="IQ35" s="24">
        <v>21</v>
      </c>
      <c r="IR35" s="25">
        <v>2.6549999999999998</v>
      </c>
      <c r="IS35" s="25">
        <v>2.6469999999999998</v>
      </c>
      <c r="IT35" s="25">
        <v>0.88400000000000001</v>
      </c>
      <c r="IU35" s="25">
        <v>1.75</v>
      </c>
      <c r="IV35" s="25">
        <v>1</v>
      </c>
      <c r="IW35" s="25">
        <v>1.125</v>
      </c>
      <c r="IX35" s="7"/>
    </row>
    <row r="36" spans="2:258" ht="15.75" thickBot="1" x14ac:dyDescent="0.3">
      <c r="B36" s="79">
        <f>B35+6</f>
        <v>114</v>
      </c>
      <c r="C36" s="147">
        <v>20</v>
      </c>
      <c r="D36" s="487"/>
      <c r="E36" s="488"/>
      <c r="F36" s="488"/>
      <c r="G36" s="488"/>
      <c r="H36" s="488"/>
      <c r="I36" s="488"/>
      <c r="J36" s="488"/>
      <c r="K36" s="488"/>
      <c r="L36" s="488"/>
      <c r="M36" s="488"/>
      <c r="N36" s="488"/>
      <c r="O36" s="488"/>
      <c r="P36" s="488"/>
      <c r="Q36" s="488"/>
      <c r="R36" s="488"/>
      <c r="S36" s="488"/>
      <c r="T36" s="488"/>
      <c r="U36" s="488"/>
      <c r="V36" s="488"/>
      <c r="W36" s="488"/>
      <c r="X36" s="76"/>
      <c r="Y36" s="46"/>
      <c r="AT36" s="3"/>
      <c r="AU36" s="26">
        <f t="shared" si="151"/>
        <v>96</v>
      </c>
      <c r="AV36" s="27" t="str">
        <f t="shared" si="10"/>
        <v>(2450)</v>
      </c>
      <c r="AW36" s="18"/>
      <c r="AX36" s="19">
        <f t="shared" si="11"/>
        <v>2.3044236111111109</v>
      </c>
      <c r="AY36" s="20" t="str">
        <f t="shared" si="12"/>
        <v>(0.21)</v>
      </c>
      <c r="AZ36" s="21">
        <v>2</v>
      </c>
      <c r="BA36" s="21">
        <f t="shared" si="13"/>
        <v>3.5</v>
      </c>
      <c r="BB36" s="21">
        <v>0</v>
      </c>
      <c r="BC36" s="21">
        <f t="shared" si="14"/>
        <v>0</v>
      </c>
      <c r="BD36" s="21">
        <v>0</v>
      </c>
      <c r="BE36" s="21">
        <f t="shared" si="15"/>
        <v>0</v>
      </c>
      <c r="BF36" s="21">
        <f t="shared" si="16"/>
        <v>3.5</v>
      </c>
      <c r="BG36" s="22">
        <f t="shared" si="17"/>
        <v>5.5</v>
      </c>
      <c r="BH36" s="205">
        <f t="shared" si="18"/>
        <v>3.5613819444444439</v>
      </c>
      <c r="BI36" s="206" t="str">
        <f t="shared" si="19"/>
        <v>(0.33)</v>
      </c>
      <c r="BJ36" s="207">
        <v>2</v>
      </c>
      <c r="BK36" s="207">
        <f t="shared" si="20"/>
        <v>3.5</v>
      </c>
      <c r="BL36" s="207">
        <v>0</v>
      </c>
      <c r="BM36" s="207">
        <f t="shared" si="21"/>
        <v>0</v>
      </c>
      <c r="BN36" s="207">
        <v>0</v>
      </c>
      <c r="BO36" s="207">
        <f t="shared" si="22"/>
        <v>0</v>
      </c>
      <c r="BP36" s="207">
        <f t="shared" si="23"/>
        <v>3.5</v>
      </c>
      <c r="BQ36" s="208">
        <f t="shared" si="24"/>
        <v>8.5</v>
      </c>
      <c r="BR36" s="205">
        <f t="shared" si="25"/>
        <v>6.0752986111111111</v>
      </c>
      <c r="BS36" s="206" t="str">
        <f t="shared" si="26"/>
        <v>(0.56)</v>
      </c>
      <c r="BT36" s="207">
        <v>2</v>
      </c>
      <c r="BU36" s="207">
        <f t="shared" si="27"/>
        <v>3.5</v>
      </c>
      <c r="BV36" s="207">
        <v>0</v>
      </c>
      <c r="BW36" s="207">
        <f t="shared" si="28"/>
        <v>0</v>
      </c>
      <c r="BX36" s="207">
        <v>0</v>
      </c>
      <c r="BY36" s="207">
        <f t="shared" si="29"/>
        <v>0</v>
      </c>
      <c r="BZ36" s="207">
        <f t="shared" si="30"/>
        <v>3.5</v>
      </c>
      <c r="CA36" s="208">
        <f t="shared" si="31"/>
        <v>14.5</v>
      </c>
      <c r="CB36" s="205">
        <f t="shared" si="32"/>
        <v>8.589215277777777</v>
      </c>
      <c r="CC36" s="206" t="str">
        <f t="shared" si="33"/>
        <v>(0.8)</v>
      </c>
      <c r="CD36" s="207">
        <v>2</v>
      </c>
      <c r="CE36" s="207">
        <f t="shared" si="34"/>
        <v>3.5</v>
      </c>
      <c r="CF36" s="207">
        <v>0</v>
      </c>
      <c r="CG36" s="207">
        <f t="shared" si="35"/>
        <v>0</v>
      </c>
      <c r="CH36" s="207">
        <v>0</v>
      </c>
      <c r="CI36" s="207">
        <f t="shared" si="36"/>
        <v>0</v>
      </c>
      <c r="CJ36" s="207">
        <f t="shared" si="37"/>
        <v>3.5</v>
      </c>
      <c r="CK36" s="208">
        <f t="shared" si="38"/>
        <v>20.5</v>
      </c>
      <c r="CL36" s="205">
        <f t="shared" si="39"/>
        <v>11.103131944444444</v>
      </c>
      <c r="CM36" s="206" t="str">
        <f t="shared" si="40"/>
        <v>(1.03)</v>
      </c>
      <c r="CN36" s="207">
        <v>2</v>
      </c>
      <c r="CO36" s="207">
        <f t="shared" si="41"/>
        <v>3.5</v>
      </c>
      <c r="CP36" s="207">
        <v>0</v>
      </c>
      <c r="CQ36" s="207">
        <f t="shared" si="42"/>
        <v>0</v>
      </c>
      <c r="CR36" s="207">
        <v>0</v>
      </c>
      <c r="CS36" s="207">
        <f t="shared" si="43"/>
        <v>0</v>
      </c>
      <c r="CT36" s="207">
        <f t="shared" si="44"/>
        <v>3.5</v>
      </c>
      <c r="CU36" s="208">
        <f t="shared" si="45"/>
        <v>26.5</v>
      </c>
      <c r="CV36" s="205">
        <f t="shared" si="46"/>
        <v>13.617048611111109</v>
      </c>
      <c r="CW36" s="206" t="str">
        <f t="shared" si="47"/>
        <v>(1.27)</v>
      </c>
      <c r="CX36" s="207">
        <v>2</v>
      </c>
      <c r="CY36" s="207">
        <f t="shared" si="48"/>
        <v>3.5</v>
      </c>
      <c r="CZ36" s="207">
        <v>0</v>
      </c>
      <c r="DA36" s="207">
        <f t="shared" si="49"/>
        <v>0</v>
      </c>
      <c r="DB36" s="207">
        <v>0</v>
      </c>
      <c r="DC36" s="207">
        <f t="shared" si="50"/>
        <v>0</v>
      </c>
      <c r="DD36" s="207">
        <f t="shared" si="51"/>
        <v>3.5</v>
      </c>
      <c r="DE36" s="208">
        <f t="shared" si="52"/>
        <v>32.5</v>
      </c>
      <c r="DF36" s="205">
        <f t="shared" si="53"/>
        <v>16.130965277777776</v>
      </c>
      <c r="DG36" s="206" t="str">
        <f t="shared" si="54"/>
        <v>(1.5)</v>
      </c>
      <c r="DH36" s="207">
        <v>2</v>
      </c>
      <c r="DI36" s="207">
        <f t="shared" si="55"/>
        <v>3.5</v>
      </c>
      <c r="DJ36" s="207">
        <v>0</v>
      </c>
      <c r="DK36" s="207">
        <f t="shared" si="56"/>
        <v>0</v>
      </c>
      <c r="DL36" s="207">
        <v>0</v>
      </c>
      <c r="DM36" s="207">
        <f t="shared" si="57"/>
        <v>0</v>
      </c>
      <c r="DN36" s="207">
        <f t="shared" si="58"/>
        <v>3.5</v>
      </c>
      <c r="DO36" s="208">
        <f t="shared" si="59"/>
        <v>38.5</v>
      </c>
      <c r="DP36" s="205">
        <f t="shared" si="60"/>
        <v>18.644881944444442</v>
      </c>
      <c r="DQ36" s="206" t="str">
        <f t="shared" si="61"/>
        <v>(1.73)</v>
      </c>
      <c r="DR36" s="207">
        <v>2</v>
      </c>
      <c r="DS36" s="207">
        <f t="shared" si="62"/>
        <v>3.5</v>
      </c>
      <c r="DT36" s="207">
        <v>0</v>
      </c>
      <c r="DU36" s="207">
        <f t="shared" si="63"/>
        <v>0</v>
      </c>
      <c r="DV36" s="207">
        <v>0</v>
      </c>
      <c r="DW36" s="207">
        <f t="shared" si="64"/>
        <v>0</v>
      </c>
      <c r="DX36" s="207">
        <f t="shared" si="65"/>
        <v>3.5</v>
      </c>
      <c r="DY36" s="208">
        <f t="shared" si="66"/>
        <v>44.5</v>
      </c>
      <c r="DZ36" s="205">
        <f t="shared" si="67"/>
        <v>20.739812499999999</v>
      </c>
      <c r="EA36" s="206" t="str">
        <f t="shared" si="68"/>
        <v>(1.93)</v>
      </c>
      <c r="EB36" s="207">
        <v>2</v>
      </c>
      <c r="EC36" s="207">
        <f t="shared" si="69"/>
        <v>3.5</v>
      </c>
      <c r="ED36" s="207">
        <v>0</v>
      </c>
      <c r="EE36" s="207">
        <f t="shared" si="70"/>
        <v>0</v>
      </c>
      <c r="EF36" s="207">
        <v>1</v>
      </c>
      <c r="EG36" s="207">
        <f t="shared" si="71"/>
        <v>1</v>
      </c>
      <c r="EH36" s="207">
        <f t="shared" si="72"/>
        <v>4.5</v>
      </c>
      <c r="EI36" s="208">
        <f t="shared" si="73"/>
        <v>49.5</v>
      </c>
      <c r="EJ36" s="205">
        <f t="shared" si="74"/>
        <v>23.253729166666666</v>
      </c>
      <c r="EK36" s="206" t="str">
        <f t="shared" si="75"/>
        <v>(2.16)</v>
      </c>
      <c r="EL36" s="207">
        <v>2</v>
      </c>
      <c r="EM36" s="207">
        <f t="shared" si="76"/>
        <v>3.5</v>
      </c>
      <c r="EN36" s="207">
        <v>0</v>
      </c>
      <c r="EO36" s="207">
        <f t="shared" si="77"/>
        <v>0</v>
      </c>
      <c r="EP36" s="207">
        <v>1</v>
      </c>
      <c r="EQ36" s="207">
        <f t="shared" si="78"/>
        <v>1</v>
      </c>
      <c r="ER36" s="207">
        <f t="shared" si="79"/>
        <v>4.5</v>
      </c>
      <c r="ES36" s="208">
        <f t="shared" si="80"/>
        <v>55.5</v>
      </c>
      <c r="ET36" s="205">
        <f t="shared" si="81"/>
        <v>25.767645833333333</v>
      </c>
      <c r="EU36" s="206" t="str">
        <f t="shared" si="82"/>
        <v>(2.39)</v>
      </c>
      <c r="EV36" s="207">
        <v>2</v>
      </c>
      <c r="EW36" s="207">
        <f t="shared" si="83"/>
        <v>3.5</v>
      </c>
      <c r="EX36" s="207">
        <v>0</v>
      </c>
      <c r="EY36" s="207">
        <f t="shared" si="84"/>
        <v>0</v>
      </c>
      <c r="EZ36" s="207">
        <v>1</v>
      </c>
      <c r="FA36" s="207">
        <f t="shared" si="85"/>
        <v>1</v>
      </c>
      <c r="FB36" s="207">
        <f t="shared" si="86"/>
        <v>4.5</v>
      </c>
      <c r="FC36" s="208">
        <f t="shared" si="87"/>
        <v>61.5</v>
      </c>
      <c r="FD36" s="205">
        <f t="shared" si="88"/>
        <v>28.70054861111111</v>
      </c>
      <c r="FE36" s="206" t="str">
        <f t="shared" si="89"/>
        <v>(2.67)</v>
      </c>
      <c r="FF36" s="207">
        <v>2</v>
      </c>
      <c r="FG36" s="207">
        <f t="shared" si="90"/>
        <v>3.5</v>
      </c>
      <c r="FH36" s="469">
        <v>0</v>
      </c>
      <c r="FI36" s="207">
        <f t="shared" si="91"/>
        <v>0</v>
      </c>
      <c r="FJ36" s="207">
        <v>0</v>
      </c>
      <c r="FK36" s="207">
        <f t="shared" si="92"/>
        <v>0</v>
      </c>
      <c r="FL36" s="207">
        <f t="shared" si="93"/>
        <v>3.5</v>
      </c>
      <c r="FM36" s="208">
        <f t="shared" si="94"/>
        <v>68.5</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24">
        <v>22</v>
      </c>
      <c r="IR36" s="25">
        <v>2.6549999999999998</v>
      </c>
      <c r="IS36" s="25">
        <v>2.6469999999999998</v>
      </c>
      <c r="IT36" s="25">
        <v>2.0920000000000001</v>
      </c>
      <c r="IU36" s="25">
        <v>1.75</v>
      </c>
      <c r="IV36" s="25">
        <v>1</v>
      </c>
      <c r="IW36" s="25">
        <v>1.125</v>
      </c>
      <c r="IX36" s="7"/>
    </row>
    <row r="37" spans="2:258" ht="15.75" thickBot="1" x14ac:dyDescent="0.3">
      <c r="B37" s="79">
        <f t="shared" si="9"/>
        <v>120</v>
      </c>
      <c r="C37" s="149">
        <v>21</v>
      </c>
      <c r="D37" s="487"/>
      <c r="E37" s="488"/>
      <c r="F37" s="488"/>
      <c r="G37" s="488"/>
      <c r="H37" s="488"/>
      <c r="I37" s="488"/>
      <c r="J37" s="488"/>
      <c r="K37" s="488"/>
      <c r="L37" s="488"/>
      <c r="M37" s="488"/>
      <c r="N37" s="488"/>
      <c r="O37" s="488"/>
      <c r="P37" s="488"/>
      <c r="Q37" s="488"/>
      <c r="R37" s="488"/>
      <c r="S37" s="488"/>
      <c r="T37" s="488"/>
      <c r="U37" s="488"/>
      <c r="V37" s="488"/>
      <c r="W37" s="488"/>
      <c r="X37" s="76"/>
      <c r="Y37" s="46"/>
      <c r="AT37" s="3"/>
      <c r="AU37" s="26">
        <f t="shared" si="151"/>
        <v>102</v>
      </c>
      <c r="AV37" s="27" t="str">
        <f t="shared" si="10"/>
        <v>(2600)</v>
      </c>
      <c r="AW37" s="18"/>
      <c r="AX37" s="19">
        <f t="shared" si="11"/>
        <v>2.4604861111111109</v>
      </c>
      <c r="AY37" s="20" t="str">
        <f t="shared" si="12"/>
        <v>(0.23)</v>
      </c>
      <c r="AZ37" s="21">
        <v>2</v>
      </c>
      <c r="BA37" s="21">
        <f t="shared" si="13"/>
        <v>3.5</v>
      </c>
      <c r="BB37" s="21">
        <v>0</v>
      </c>
      <c r="BC37" s="21">
        <f t="shared" si="14"/>
        <v>0</v>
      </c>
      <c r="BD37" s="21">
        <v>0</v>
      </c>
      <c r="BE37" s="21">
        <f t="shared" si="15"/>
        <v>0</v>
      </c>
      <c r="BF37" s="21">
        <f t="shared" si="16"/>
        <v>3.5</v>
      </c>
      <c r="BG37" s="22">
        <f t="shared" si="17"/>
        <v>5.5</v>
      </c>
      <c r="BH37" s="205">
        <f t="shared" si="18"/>
        <v>3.802569444444444</v>
      </c>
      <c r="BI37" s="206" t="str">
        <f t="shared" si="19"/>
        <v>(0.35)</v>
      </c>
      <c r="BJ37" s="207">
        <v>2</v>
      </c>
      <c r="BK37" s="207">
        <f t="shared" si="20"/>
        <v>3.5</v>
      </c>
      <c r="BL37" s="207">
        <v>0</v>
      </c>
      <c r="BM37" s="207">
        <f t="shared" si="21"/>
        <v>0</v>
      </c>
      <c r="BN37" s="207">
        <v>0</v>
      </c>
      <c r="BO37" s="207">
        <f t="shared" si="22"/>
        <v>0</v>
      </c>
      <c r="BP37" s="207">
        <f t="shared" si="23"/>
        <v>3.5</v>
      </c>
      <c r="BQ37" s="208">
        <f t="shared" si="24"/>
        <v>8.5</v>
      </c>
      <c r="BR37" s="205">
        <f t="shared" si="25"/>
        <v>6.4867361111111101</v>
      </c>
      <c r="BS37" s="206" t="str">
        <f t="shared" si="26"/>
        <v>(0.6)</v>
      </c>
      <c r="BT37" s="207">
        <v>2</v>
      </c>
      <c r="BU37" s="207">
        <f t="shared" si="27"/>
        <v>3.5</v>
      </c>
      <c r="BV37" s="207">
        <v>0</v>
      </c>
      <c r="BW37" s="207">
        <f t="shared" si="28"/>
        <v>0</v>
      </c>
      <c r="BX37" s="207">
        <v>0</v>
      </c>
      <c r="BY37" s="207">
        <f t="shared" si="29"/>
        <v>0</v>
      </c>
      <c r="BZ37" s="207">
        <f t="shared" si="30"/>
        <v>3.5</v>
      </c>
      <c r="CA37" s="208">
        <f t="shared" si="31"/>
        <v>14.5</v>
      </c>
      <c r="CB37" s="205">
        <f t="shared" si="32"/>
        <v>9.1709027777777763</v>
      </c>
      <c r="CC37" s="206" t="str">
        <f t="shared" si="33"/>
        <v>(0.85)</v>
      </c>
      <c r="CD37" s="207">
        <v>2</v>
      </c>
      <c r="CE37" s="207">
        <f t="shared" si="34"/>
        <v>3.5</v>
      </c>
      <c r="CF37" s="207">
        <v>0</v>
      </c>
      <c r="CG37" s="207">
        <f t="shared" si="35"/>
        <v>0</v>
      </c>
      <c r="CH37" s="207">
        <v>0</v>
      </c>
      <c r="CI37" s="207">
        <f t="shared" si="36"/>
        <v>0</v>
      </c>
      <c r="CJ37" s="207">
        <f t="shared" si="37"/>
        <v>3.5</v>
      </c>
      <c r="CK37" s="208">
        <f t="shared" si="38"/>
        <v>20.5</v>
      </c>
      <c r="CL37" s="205">
        <f t="shared" si="39"/>
        <v>11.855069444444442</v>
      </c>
      <c r="CM37" s="206" t="str">
        <f t="shared" si="40"/>
        <v>(1.1)</v>
      </c>
      <c r="CN37" s="207">
        <v>2</v>
      </c>
      <c r="CO37" s="207">
        <f t="shared" si="41"/>
        <v>3.5</v>
      </c>
      <c r="CP37" s="207">
        <v>0</v>
      </c>
      <c r="CQ37" s="207">
        <f t="shared" si="42"/>
        <v>0</v>
      </c>
      <c r="CR37" s="207">
        <v>0</v>
      </c>
      <c r="CS37" s="207">
        <f t="shared" si="43"/>
        <v>0</v>
      </c>
      <c r="CT37" s="207">
        <f t="shared" si="44"/>
        <v>3.5</v>
      </c>
      <c r="CU37" s="208">
        <f t="shared" si="45"/>
        <v>26.5</v>
      </c>
      <c r="CV37" s="205">
        <f t="shared" si="46"/>
        <v>14.539236111111109</v>
      </c>
      <c r="CW37" s="206" t="str">
        <f t="shared" si="47"/>
        <v>(1.35)</v>
      </c>
      <c r="CX37" s="207">
        <v>2</v>
      </c>
      <c r="CY37" s="207">
        <f t="shared" si="48"/>
        <v>3.5</v>
      </c>
      <c r="CZ37" s="207">
        <v>0</v>
      </c>
      <c r="DA37" s="207">
        <f t="shared" si="49"/>
        <v>0</v>
      </c>
      <c r="DB37" s="207">
        <v>0</v>
      </c>
      <c r="DC37" s="207">
        <f t="shared" si="50"/>
        <v>0</v>
      </c>
      <c r="DD37" s="207">
        <f t="shared" si="51"/>
        <v>3.5</v>
      </c>
      <c r="DE37" s="208">
        <f t="shared" si="52"/>
        <v>32.5</v>
      </c>
      <c r="DF37" s="205">
        <f t="shared" si="53"/>
        <v>17.223402777777775</v>
      </c>
      <c r="DG37" s="206" t="str">
        <f t="shared" si="54"/>
        <v>(1.6)</v>
      </c>
      <c r="DH37" s="207">
        <v>2</v>
      </c>
      <c r="DI37" s="207">
        <f t="shared" si="55"/>
        <v>3.5</v>
      </c>
      <c r="DJ37" s="207">
        <v>0</v>
      </c>
      <c r="DK37" s="207">
        <f t="shared" si="56"/>
        <v>0</v>
      </c>
      <c r="DL37" s="207">
        <v>0</v>
      </c>
      <c r="DM37" s="207">
        <f t="shared" si="57"/>
        <v>0</v>
      </c>
      <c r="DN37" s="207">
        <f t="shared" si="58"/>
        <v>3.5</v>
      </c>
      <c r="DO37" s="208">
        <f t="shared" si="59"/>
        <v>38.5</v>
      </c>
      <c r="DP37" s="205">
        <f t="shared" si="60"/>
        <v>19.907569444444441</v>
      </c>
      <c r="DQ37" s="206" t="str">
        <f t="shared" si="61"/>
        <v>(1.85)</v>
      </c>
      <c r="DR37" s="207">
        <v>2</v>
      </c>
      <c r="DS37" s="207">
        <f t="shared" si="62"/>
        <v>3.5</v>
      </c>
      <c r="DT37" s="207">
        <v>0</v>
      </c>
      <c r="DU37" s="207">
        <f t="shared" si="63"/>
        <v>0</v>
      </c>
      <c r="DV37" s="207">
        <v>0</v>
      </c>
      <c r="DW37" s="207">
        <f t="shared" si="64"/>
        <v>0</v>
      </c>
      <c r="DX37" s="207">
        <f t="shared" si="65"/>
        <v>3.5</v>
      </c>
      <c r="DY37" s="208">
        <f t="shared" si="66"/>
        <v>44.5</v>
      </c>
      <c r="DZ37" s="205">
        <f t="shared" si="67"/>
        <v>22.144374999999997</v>
      </c>
      <c r="EA37" s="206" t="str">
        <f t="shared" si="68"/>
        <v>(2.06)</v>
      </c>
      <c r="EB37" s="207">
        <v>2</v>
      </c>
      <c r="EC37" s="207">
        <f t="shared" si="69"/>
        <v>3.5</v>
      </c>
      <c r="ED37" s="207">
        <v>0</v>
      </c>
      <c r="EE37" s="207">
        <f t="shared" si="70"/>
        <v>0</v>
      </c>
      <c r="EF37" s="207">
        <v>1</v>
      </c>
      <c r="EG37" s="207">
        <f t="shared" si="71"/>
        <v>1</v>
      </c>
      <c r="EH37" s="207">
        <f t="shared" si="72"/>
        <v>4.5</v>
      </c>
      <c r="EI37" s="208">
        <f t="shared" si="73"/>
        <v>49.5</v>
      </c>
      <c r="EJ37" s="205">
        <f t="shared" si="74"/>
        <v>24.828541666666663</v>
      </c>
      <c r="EK37" s="206" t="str">
        <f t="shared" si="75"/>
        <v>(2.31)</v>
      </c>
      <c r="EL37" s="207">
        <v>2</v>
      </c>
      <c r="EM37" s="207">
        <f t="shared" si="76"/>
        <v>3.5</v>
      </c>
      <c r="EN37" s="207">
        <v>0</v>
      </c>
      <c r="EO37" s="207">
        <f t="shared" si="77"/>
        <v>0</v>
      </c>
      <c r="EP37" s="207">
        <v>1</v>
      </c>
      <c r="EQ37" s="207">
        <f t="shared" si="78"/>
        <v>1</v>
      </c>
      <c r="ER37" s="207">
        <f t="shared" si="79"/>
        <v>4.5</v>
      </c>
      <c r="ES37" s="208">
        <f t="shared" si="80"/>
        <v>55.5</v>
      </c>
      <c r="ET37" s="205">
        <f t="shared" si="81"/>
        <v>27.512708333333325</v>
      </c>
      <c r="EU37" s="206" t="str">
        <f t="shared" si="82"/>
        <v>(2.56)</v>
      </c>
      <c r="EV37" s="207">
        <v>2</v>
      </c>
      <c r="EW37" s="207">
        <f t="shared" si="83"/>
        <v>3.5</v>
      </c>
      <c r="EX37" s="207">
        <v>0</v>
      </c>
      <c r="EY37" s="207">
        <f t="shared" si="84"/>
        <v>0</v>
      </c>
      <c r="EZ37" s="207">
        <v>1</v>
      </c>
      <c r="FA37" s="207">
        <f t="shared" si="85"/>
        <v>1</v>
      </c>
      <c r="FB37" s="207">
        <f t="shared" si="86"/>
        <v>4.5</v>
      </c>
      <c r="FC37" s="208">
        <f t="shared" si="87"/>
        <v>61.5</v>
      </c>
      <c r="FD37" s="205">
        <f t="shared" si="88"/>
        <v>30.644236111111109</v>
      </c>
      <c r="FE37" s="206" t="str">
        <f t="shared" si="89"/>
        <v>(2.85)</v>
      </c>
      <c r="FF37" s="207">
        <v>2</v>
      </c>
      <c r="FG37" s="207">
        <f t="shared" si="90"/>
        <v>3.5</v>
      </c>
      <c r="FH37" s="469">
        <v>0</v>
      </c>
      <c r="FI37" s="207">
        <f t="shared" si="91"/>
        <v>0</v>
      </c>
      <c r="FJ37" s="207">
        <v>0</v>
      </c>
      <c r="FK37" s="207">
        <f t="shared" si="92"/>
        <v>0</v>
      </c>
      <c r="FL37" s="207">
        <f t="shared" si="93"/>
        <v>3.5</v>
      </c>
      <c r="FM37" s="208">
        <f t="shared" si="94"/>
        <v>68.5</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24">
        <v>24</v>
      </c>
      <c r="IR37" s="25">
        <v>2.6549999999999998</v>
      </c>
      <c r="IS37" s="25">
        <v>2.6469999999999998</v>
      </c>
      <c r="IT37" s="25">
        <v>0.88400000000000001</v>
      </c>
      <c r="IU37" s="25">
        <v>1.75</v>
      </c>
      <c r="IV37" s="25">
        <v>1</v>
      </c>
      <c r="IW37" s="25">
        <v>1.125</v>
      </c>
      <c r="IX37" s="7"/>
    </row>
    <row r="38" spans="2:258" ht="15.75" thickBot="1" x14ac:dyDescent="0.3">
      <c r="B38" s="47"/>
      <c r="C38" s="76"/>
      <c r="D38" s="76"/>
      <c r="E38" s="76"/>
      <c r="F38" s="76"/>
      <c r="G38" s="76"/>
      <c r="H38" s="76"/>
      <c r="I38" s="76"/>
      <c r="J38" s="76"/>
      <c r="K38" s="76"/>
      <c r="L38" s="76"/>
      <c r="M38" s="76"/>
      <c r="N38" s="76"/>
      <c r="O38" s="76"/>
      <c r="P38" s="76"/>
      <c r="Q38" s="76"/>
      <c r="R38" s="76"/>
      <c r="S38" s="76"/>
      <c r="T38" s="76"/>
      <c r="U38" s="76"/>
      <c r="V38" s="76"/>
      <c r="W38" s="76"/>
      <c r="X38" s="76"/>
      <c r="Y38" s="46"/>
      <c r="AT38" s="3"/>
      <c r="AU38" s="26">
        <f t="shared" si="151"/>
        <v>108</v>
      </c>
      <c r="AV38" s="27" t="str">
        <f t="shared" si="10"/>
        <v>(2750)</v>
      </c>
      <c r="AW38" s="18"/>
      <c r="AX38" s="19">
        <f t="shared" si="11"/>
        <v>2.607725694444444</v>
      </c>
      <c r="AY38" s="20" t="str">
        <f t="shared" si="12"/>
        <v>(0.24)</v>
      </c>
      <c r="AZ38" s="21">
        <v>2</v>
      </c>
      <c r="BA38" s="21">
        <f t="shared" si="13"/>
        <v>3.5</v>
      </c>
      <c r="BB38" s="21">
        <v>0</v>
      </c>
      <c r="BC38" s="21">
        <f t="shared" si="14"/>
        <v>0</v>
      </c>
      <c r="BD38" s="21">
        <v>0</v>
      </c>
      <c r="BE38" s="21">
        <f t="shared" si="15"/>
        <v>0</v>
      </c>
      <c r="BF38" s="21">
        <f t="shared" si="16"/>
        <v>3.5</v>
      </c>
      <c r="BG38" s="22">
        <f t="shared" si="17"/>
        <v>5.5</v>
      </c>
      <c r="BH38" s="205">
        <f t="shared" si="18"/>
        <v>4.0301215277777773</v>
      </c>
      <c r="BI38" s="206" t="str">
        <f t="shared" si="19"/>
        <v>(0.37)</v>
      </c>
      <c r="BJ38" s="207">
        <v>2</v>
      </c>
      <c r="BK38" s="207">
        <f t="shared" si="20"/>
        <v>3.5</v>
      </c>
      <c r="BL38" s="207">
        <v>0</v>
      </c>
      <c r="BM38" s="207">
        <f t="shared" si="21"/>
        <v>0</v>
      </c>
      <c r="BN38" s="207">
        <v>0</v>
      </c>
      <c r="BO38" s="207">
        <f t="shared" si="22"/>
        <v>0</v>
      </c>
      <c r="BP38" s="207">
        <f t="shared" si="23"/>
        <v>3.5</v>
      </c>
      <c r="BQ38" s="208">
        <f t="shared" si="24"/>
        <v>8.5</v>
      </c>
      <c r="BR38" s="205">
        <f t="shared" si="25"/>
        <v>6.874913194444443</v>
      </c>
      <c r="BS38" s="206" t="str">
        <f t="shared" si="26"/>
        <v>(0.64)</v>
      </c>
      <c r="BT38" s="207">
        <v>2</v>
      </c>
      <c r="BU38" s="207">
        <f t="shared" si="27"/>
        <v>3.5</v>
      </c>
      <c r="BV38" s="207">
        <v>0</v>
      </c>
      <c r="BW38" s="207">
        <f t="shared" si="28"/>
        <v>0</v>
      </c>
      <c r="BX38" s="207">
        <v>0</v>
      </c>
      <c r="BY38" s="207">
        <f t="shared" si="29"/>
        <v>0</v>
      </c>
      <c r="BZ38" s="207">
        <f t="shared" si="30"/>
        <v>3.5</v>
      </c>
      <c r="CA38" s="208">
        <f t="shared" si="31"/>
        <v>14.5</v>
      </c>
      <c r="CB38" s="205">
        <f t="shared" si="32"/>
        <v>9.7197048611111097</v>
      </c>
      <c r="CC38" s="206" t="str">
        <f t="shared" si="33"/>
        <v>(0.9)</v>
      </c>
      <c r="CD38" s="207">
        <v>2</v>
      </c>
      <c r="CE38" s="207">
        <f t="shared" si="34"/>
        <v>3.5</v>
      </c>
      <c r="CF38" s="207">
        <v>0</v>
      </c>
      <c r="CG38" s="207">
        <f t="shared" si="35"/>
        <v>0</v>
      </c>
      <c r="CH38" s="207">
        <v>0</v>
      </c>
      <c r="CI38" s="207">
        <f t="shared" si="36"/>
        <v>0</v>
      </c>
      <c r="CJ38" s="207">
        <f t="shared" si="37"/>
        <v>3.5</v>
      </c>
      <c r="CK38" s="208">
        <f t="shared" si="38"/>
        <v>20.5</v>
      </c>
      <c r="CL38" s="205">
        <f t="shared" si="39"/>
        <v>12.564496527777775</v>
      </c>
      <c r="CM38" s="206" t="str">
        <f t="shared" si="40"/>
        <v>(1.17)</v>
      </c>
      <c r="CN38" s="207">
        <v>2</v>
      </c>
      <c r="CO38" s="207">
        <f t="shared" si="41"/>
        <v>3.5</v>
      </c>
      <c r="CP38" s="207">
        <v>0</v>
      </c>
      <c r="CQ38" s="207">
        <f t="shared" si="42"/>
        <v>0</v>
      </c>
      <c r="CR38" s="207">
        <v>0</v>
      </c>
      <c r="CS38" s="207">
        <f t="shared" si="43"/>
        <v>0</v>
      </c>
      <c r="CT38" s="207">
        <f t="shared" si="44"/>
        <v>3.5</v>
      </c>
      <c r="CU38" s="208">
        <f t="shared" si="45"/>
        <v>26.5</v>
      </c>
      <c r="CV38" s="205">
        <f t="shared" si="46"/>
        <v>15.409288194444441</v>
      </c>
      <c r="CW38" s="206" t="str">
        <f t="shared" si="47"/>
        <v>(1.43)</v>
      </c>
      <c r="CX38" s="207">
        <v>2</v>
      </c>
      <c r="CY38" s="207">
        <f t="shared" si="48"/>
        <v>3.5</v>
      </c>
      <c r="CZ38" s="207">
        <v>0</v>
      </c>
      <c r="DA38" s="207">
        <f t="shared" si="49"/>
        <v>0</v>
      </c>
      <c r="DB38" s="207">
        <v>0</v>
      </c>
      <c r="DC38" s="207">
        <f t="shared" si="50"/>
        <v>0</v>
      </c>
      <c r="DD38" s="207">
        <f t="shared" si="51"/>
        <v>3.5</v>
      </c>
      <c r="DE38" s="208">
        <f t="shared" si="52"/>
        <v>32.5</v>
      </c>
      <c r="DF38" s="205">
        <f t="shared" si="53"/>
        <v>18.254079861111109</v>
      </c>
      <c r="DG38" s="206" t="str">
        <f t="shared" si="54"/>
        <v>(1.7)</v>
      </c>
      <c r="DH38" s="207">
        <v>2</v>
      </c>
      <c r="DI38" s="207">
        <f t="shared" si="55"/>
        <v>3.5</v>
      </c>
      <c r="DJ38" s="207">
        <v>0</v>
      </c>
      <c r="DK38" s="207">
        <f t="shared" si="56"/>
        <v>0</v>
      </c>
      <c r="DL38" s="207">
        <v>0</v>
      </c>
      <c r="DM38" s="207">
        <f t="shared" si="57"/>
        <v>0</v>
      </c>
      <c r="DN38" s="207">
        <f t="shared" si="58"/>
        <v>3.5</v>
      </c>
      <c r="DO38" s="208">
        <f t="shared" si="59"/>
        <v>38.5</v>
      </c>
      <c r="DP38" s="205">
        <f t="shared" si="60"/>
        <v>21.098871527777774</v>
      </c>
      <c r="DQ38" s="206" t="str">
        <f t="shared" si="61"/>
        <v>(1.96)</v>
      </c>
      <c r="DR38" s="207">
        <v>2</v>
      </c>
      <c r="DS38" s="207">
        <f t="shared" si="62"/>
        <v>3.5</v>
      </c>
      <c r="DT38" s="207">
        <v>0</v>
      </c>
      <c r="DU38" s="207">
        <f t="shared" si="63"/>
        <v>0</v>
      </c>
      <c r="DV38" s="207">
        <v>0</v>
      </c>
      <c r="DW38" s="207">
        <f t="shared" si="64"/>
        <v>0</v>
      </c>
      <c r="DX38" s="207">
        <f t="shared" si="65"/>
        <v>3.5</v>
      </c>
      <c r="DY38" s="208">
        <f t="shared" si="66"/>
        <v>44.5</v>
      </c>
      <c r="DZ38" s="205">
        <f t="shared" si="67"/>
        <v>23.469531249999999</v>
      </c>
      <c r="EA38" s="206" t="str">
        <f t="shared" si="68"/>
        <v>(2.18)</v>
      </c>
      <c r="EB38" s="207">
        <v>2</v>
      </c>
      <c r="EC38" s="207">
        <f t="shared" si="69"/>
        <v>3.5</v>
      </c>
      <c r="ED38" s="207">
        <v>0</v>
      </c>
      <c r="EE38" s="207">
        <f t="shared" si="70"/>
        <v>0</v>
      </c>
      <c r="EF38" s="207">
        <v>1</v>
      </c>
      <c r="EG38" s="207">
        <f t="shared" si="71"/>
        <v>1</v>
      </c>
      <c r="EH38" s="207">
        <f t="shared" si="72"/>
        <v>4.5</v>
      </c>
      <c r="EI38" s="208">
        <f t="shared" si="73"/>
        <v>49.5</v>
      </c>
      <c r="EJ38" s="205">
        <f t="shared" si="74"/>
        <v>26.314322916666661</v>
      </c>
      <c r="EK38" s="206" t="str">
        <f t="shared" si="75"/>
        <v>(2.44)</v>
      </c>
      <c r="EL38" s="207">
        <v>2</v>
      </c>
      <c r="EM38" s="207">
        <f t="shared" si="76"/>
        <v>3.5</v>
      </c>
      <c r="EN38" s="207">
        <v>0</v>
      </c>
      <c r="EO38" s="207">
        <f t="shared" si="77"/>
        <v>0</v>
      </c>
      <c r="EP38" s="207">
        <v>1</v>
      </c>
      <c r="EQ38" s="207">
        <f t="shared" si="78"/>
        <v>1</v>
      </c>
      <c r="ER38" s="207">
        <f t="shared" si="79"/>
        <v>4.5</v>
      </c>
      <c r="ES38" s="208">
        <f t="shared" si="80"/>
        <v>55.5</v>
      </c>
      <c r="ET38" s="205">
        <f t="shared" si="81"/>
        <v>29.159114583333331</v>
      </c>
      <c r="EU38" s="206" t="str">
        <f t="shared" si="82"/>
        <v>(2.71)</v>
      </c>
      <c r="EV38" s="207">
        <v>2</v>
      </c>
      <c r="EW38" s="207">
        <f t="shared" si="83"/>
        <v>3.5</v>
      </c>
      <c r="EX38" s="207">
        <v>0</v>
      </c>
      <c r="EY38" s="207">
        <f t="shared" si="84"/>
        <v>0</v>
      </c>
      <c r="EZ38" s="207">
        <v>1</v>
      </c>
      <c r="FA38" s="207">
        <f t="shared" si="85"/>
        <v>1</v>
      </c>
      <c r="FB38" s="207">
        <f t="shared" si="86"/>
        <v>4.5</v>
      </c>
      <c r="FC38" s="208">
        <f t="shared" si="87"/>
        <v>61.5</v>
      </c>
      <c r="FD38" s="205">
        <f t="shared" si="88"/>
        <v>32.478038194444444</v>
      </c>
      <c r="FE38" s="206" t="str">
        <f t="shared" si="89"/>
        <v>(3.02)</v>
      </c>
      <c r="FF38" s="207">
        <v>2</v>
      </c>
      <c r="FG38" s="207">
        <f t="shared" si="90"/>
        <v>3.5</v>
      </c>
      <c r="FH38" s="469">
        <v>0</v>
      </c>
      <c r="FI38" s="207">
        <f t="shared" si="91"/>
        <v>0</v>
      </c>
      <c r="FJ38" s="207">
        <v>0</v>
      </c>
      <c r="FK38" s="207">
        <f t="shared" si="92"/>
        <v>0</v>
      </c>
      <c r="FL38" s="207">
        <f t="shared" si="93"/>
        <v>3.5</v>
      </c>
      <c r="FM38" s="208">
        <f t="shared" si="94"/>
        <v>68.5</v>
      </c>
      <c r="FN38" s="30"/>
      <c r="FO38" s="30"/>
      <c r="FP38" s="31"/>
      <c r="FQ38" s="31"/>
      <c r="FR38" s="31"/>
      <c r="FS38" s="31"/>
      <c r="FT38" s="31"/>
      <c r="FU38" s="31"/>
      <c r="FV38" s="30"/>
      <c r="FW38" s="30"/>
      <c r="FX38" s="30"/>
      <c r="FY38" s="30"/>
      <c r="FZ38" s="30"/>
      <c r="GA38" s="30"/>
      <c r="GB38" s="30"/>
      <c r="GC38" s="30"/>
      <c r="GD38" s="30"/>
      <c r="GE38" s="30"/>
      <c r="GF38" s="30"/>
      <c r="GG38" s="30"/>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24">
        <v>25</v>
      </c>
      <c r="IR38" s="25">
        <v>2.6549999999999998</v>
      </c>
      <c r="IS38" s="25">
        <v>2.6469999999999998</v>
      </c>
      <c r="IT38" s="25">
        <v>2.0920000000000001</v>
      </c>
      <c r="IU38" s="25">
        <v>1.75</v>
      </c>
      <c r="IV38" s="25">
        <v>1</v>
      </c>
      <c r="IW38" s="25">
        <v>1.125</v>
      </c>
      <c r="IX38" s="7"/>
    </row>
    <row r="39" spans="2:258"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3"/>
      <c r="AU39" s="26">
        <f t="shared" si="151"/>
        <v>114</v>
      </c>
      <c r="AV39" s="27" t="str">
        <f t="shared" si="10"/>
        <v>(2900)</v>
      </c>
      <c r="AW39" s="18"/>
      <c r="AX39" s="19">
        <f t="shared" si="11"/>
        <v>2.763788194444444</v>
      </c>
      <c r="AY39" s="20" t="str">
        <f t="shared" si="12"/>
        <v>(0.26)</v>
      </c>
      <c r="AZ39" s="21">
        <v>2</v>
      </c>
      <c r="BA39" s="21">
        <f t="shared" si="13"/>
        <v>3.5</v>
      </c>
      <c r="BB39" s="21">
        <v>0</v>
      </c>
      <c r="BC39" s="21">
        <f t="shared" si="14"/>
        <v>0</v>
      </c>
      <c r="BD39" s="21">
        <v>0</v>
      </c>
      <c r="BE39" s="21">
        <f t="shared" si="15"/>
        <v>0</v>
      </c>
      <c r="BF39" s="21">
        <f t="shared" si="16"/>
        <v>3.5</v>
      </c>
      <c r="BG39" s="22">
        <f t="shared" si="17"/>
        <v>5.5</v>
      </c>
      <c r="BH39" s="205">
        <f t="shared" si="18"/>
        <v>4.271309027777777</v>
      </c>
      <c r="BI39" s="206" t="str">
        <f t="shared" si="19"/>
        <v>(0.40)</v>
      </c>
      <c r="BJ39" s="207">
        <v>2</v>
      </c>
      <c r="BK39" s="207">
        <f t="shared" si="20"/>
        <v>3.5</v>
      </c>
      <c r="BL39" s="207">
        <v>0</v>
      </c>
      <c r="BM39" s="207">
        <f t="shared" si="21"/>
        <v>0</v>
      </c>
      <c r="BN39" s="207">
        <v>0</v>
      </c>
      <c r="BO39" s="207">
        <f t="shared" si="22"/>
        <v>0</v>
      </c>
      <c r="BP39" s="207">
        <f t="shared" si="23"/>
        <v>3.5</v>
      </c>
      <c r="BQ39" s="208">
        <f t="shared" si="24"/>
        <v>8.5</v>
      </c>
      <c r="BR39" s="205">
        <f t="shared" si="25"/>
        <v>7.2863506944444429</v>
      </c>
      <c r="BS39" s="206" t="str">
        <f t="shared" si="26"/>
        <v>(0.68)</v>
      </c>
      <c r="BT39" s="207">
        <v>2</v>
      </c>
      <c r="BU39" s="207">
        <f t="shared" si="27"/>
        <v>3.5</v>
      </c>
      <c r="BV39" s="207">
        <v>0</v>
      </c>
      <c r="BW39" s="207">
        <f t="shared" si="28"/>
        <v>0</v>
      </c>
      <c r="BX39" s="207">
        <v>0</v>
      </c>
      <c r="BY39" s="207">
        <f t="shared" si="29"/>
        <v>0</v>
      </c>
      <c r="BZ39" s="207">
        <f t="shared" si="30"/>
        <v>3.5</v>
      </c>
      <c r="CA39" s="208">
        <f t="shared" si="31"/>
        <v>14.5</v>
      </c>
      <c r="CB39" s="205">
        <f t="shared" si="32"/>
        <v>10.301392361111109</v>
      </c>
      <c r="CC39" s="206" t="str">
        <f t="shared" si="33"/>
        <v>(0.96)</v>
      </c>
      <c r="CD39" s="207">
        <v>2</v>
      </c>
      <c r="CE39" s="207">
        <f t="shared" si="34"/>
        <v>3.5</v>
      </c>
      <c r="CF39" s="207">
        <v>0</v>
      </c>
      <c r="CG39" s="207">
        <f t="shared" si="35"/>
        <v>0</v>
      </c>
      <c r="CH39" s="207">
        <v>0</v>
      </c>
      <c r="CI39" s="207">
        <f t="shared" si="36"/>
        <v>0</v>
      </c>
      <c r="CJ39" s="207">
        <f t="shared" si="37"/>
        <v>3.5</v>
      </c>
      <c r="CK39" s="208">
        <f t="shared" si="38"/>
        <v>20.5</v>
      </c>
      <c r="CL39" s="205">
        <f t="shared" si="39"/>
        <v>13.316434027777776</v>
      </c>
      <c r="CM39" s="206" t="str">
        <f t="shared" si="40"/>
        <v>(1.24)</v>
      </c>
      <c r="CN39" s="207">
        <v>2</v>
      </c>
      <c r="CO39" s="207">
        <f t="shared" si="41"/>
        <v>3.5</v>
      </c>
      <c r="CP39" s="207">
        <v>0</v>
      </c>
      <c r="CQ39" s="207">
        <f t="shared" si="42"/>
        <v>0</v>
      </c>
      <c r="CR39" s="207">
        <v>0</v>
      </c>
      <c r="CS39" s="207">
        <f t="shared" si="43"/>
        <v>0</v>
      </c>
      <c r="CT39" s="207">
        <f t="shared" si="44"/>
        <v>3.5</v>
      </c>
      <c r="CU39" s="208">
        <f t="shared" si="45"/>
        <v>26.5</v>
      </c>
      <c r="CV39" s="205">
        <f t="shared" si="46"/>
        <v>16.331475694444443</v>
      </c>
      <c r="CW39" s="206" t="str">
        <f t="shared" si="47"/>
        <v>(1.52)</v>
      </c>
      <c r="CX39" s="207">
        <v>2</v>
      </c>
      <c r="CY39" s="207">
        <f t="shared" si="48"/>
        <v>3.5</v>
      </c>
      <c r="CZ39" s="207">
        <v>0</v>
      </c>
      <c r="DA39" s="207">
        <f t="shared" si="49"/>
        <v>0</v>
      </c>
      <c r="DB39" s="207">
        <v>0</v>
      </c>
      <c r="DC39" s="207">
        <f t="shared" si="50"/>
        <v>0</v>
      </c>
      <c r="DD39" s="207">
        <f t="shared" si="51"/>
        <v>3.5</v>
      </c>
      <c r="DE39" s="208">
        <f t="shared" si="52"/>
        <v>32.5</v>
      </c>
      <c r="DF39" s="205">
        <f t="shared" si="53"/>
        <v>19.346517361111111</v>
      </c>
      <c r="DG39" s="206" t="str">
        <f t="shared" si="54"/>
        <v>(1.8)</v>
      </c>
      <c r="DH39" s="207">
        <v>2</v>
      </c>
      <c r="DI39" s="207">
        <f t="shared" si="55"/>
        <v>3.5</v>
      </c>
      <c r="DJ39" s="207">
        <v>0</v>
      </c>
      <c r="DK39" s="207">
        <f t="shared" si="56"/>
        <v>0</v>
      </c>
      <c r="DL39" s="207">
        <v>0</v>
      </c>
      <c r="DM39" s="207">
        <f t="shared" si="57"/>
        <v>0</v>
      </c>
      <c r="DN39" s="207">
        <f t="shared" si="58"/>
        <v>3.5</v>
      </c>
      <c r="DO39" s="208">
        <f t="shared" si="59"/>
        <v>38.5</v>
      </c>
      <c r="DP39" s="205">
        <f t="shared" si="60"/>
        <v>22.361559027777773</v>
      </c>
      <c r="DQ39" s="206" t="str">
        <f t="shared" si="61"/>
        <v>(2.08)</v>
      </c>
      <c r="DR39" s="207">
        <v>2</v>
      </c>
      <c r="DS39" s="207">
        <f t="shared" si="62"/>
        <v>3.5</v>
      </c>
      <c r="DT39" s="207">
        <v>0</v>
      </c>
      <c r="DU39" s="207">
        <f t="shared" si="63"/>
        <v>0</v>
      </c>
      <c r="DV39" s="207">
        <v>0</v>
      </c>
      <c r="DW39" s="207">
        <f t="shared" si="64"/>
        <v>0</v>
      </c>
      <c r="DX39" s="207">
        <f t="shared" si="65"/>
        <v>3.5</v>
      </c>
      <c r="DY39" s="208">
        <f t="shared" si="66"/>
        <v>44.5</v>
      </c>
      <c r="DZ39" s="205">
        <f t="shared" si="67"/>
        <v>24.874093749999997</v>
      </c>
      <c r="EA39" s="206" t="str">
        <f t="shared" si="68"/>
        <v>(2.31)</v>
      </c>
      <c r="EB39" s="207">
        <v>2</v>
      </c>
      <c r="EC39" s="207">
        <f t="shared" si="69"/>
        <v>3.5</v>
      </c>
      <c r="ED39" s="207">
        <v>0</v>
      </c>
      <c r="EE39" s="207">
        <f t="shared" si="70"/>
        <v>0</v>
      </c>
      <c r="EF39" s="207">
        <v>1</v>
      </c>
      <c r="EG39" s="207">
        <f t="shared" si="71"/>
        <v>1</v>
      </c>
      <c r="EH39" s="207">
        <f t="shared" si="72"/>
        <v>4.5</v>
      </c>
      <c r="EI39" s="208">
        <f t="shared" si="73"/>
        <v>49.5</v>
      </c>
      <c r="EJ39" s="205">
        <f t="shared" si="74"/>
        <v>27.889135416666662</v>
      </c>
      <c r="EK39" s="206" t="str">
        <f t="shared" si="75"/>
        <v>(2.59)</v>
      </c>
      <c r="EL39" s="207">
        <v>2</v>
      </c>
      <c r="EM39" s="207">
        <f t="shared" si="76"/>
        <v>3.5</v>
      </c>
      <c r="EN39" s="207">
        <v>0</v>
      </c>
      <c r="EO39" s="207">
        <f t="shared" si="77"/>
        <v>0</v>
      </c>
      <c r="EP39" s="207">
        <v>1</v>
      </c>
      <c r="EQ39" s="207">
        <f t="shared" si="78"/>
        <v>1</v>
      </c>
      <c r="ER39" s="207">
        <f t="shared" si="79"/>
        <v>4.5</v>
      </c>
      <c r="ES39" s="208">
        <f t="shared" si="80"/>
        <v>55.5</v>
      </c>
      <c r="ET39" s="205">
        <f t="shared" si="81"/>
        <v>30.904177083333327</v>
      </c>
      <c r="EU39" s="206" t="str">
        <f t="shared" si="82"/>
        <v>(2.87)</v>
      </c>
      <c r="EV39" s="207">
        <v>2</v>
      </c>
      <c r="EW39" s="207">
        <f t="shared" si="83"/>
        <v>3.5</v>
      </c>
      <c r="EX39" s="207">
        <v>0</v>
      </c>
      <c r="EY39" s="207">
        <f t="shared" si="84"/>
        <v>0</v>
      </c>
      <c r="EZ39" s="207">
        <v>1</v>
      </c>
      <c r="FA39" s="207">
        <f t="shared" si="85"/>
        <v>1</v>
      </c>
      <c r="FB39" s="207">
        <f t="shared" si="86"/>
        <v>4.5</v>
      </c>
      <c r="FC39" s="208">
        <f t="shared" si="87"/>
        <v>61.5</v>
      </c>
      <c r="FD39" s="205">
        <f t="shared" si="88"/>
        <v>34.42172569444444</v>
      </c>
      <c r="FE39" s="206" t="str">
        <f t="shared" si="89"/>
        <v>(3.20)</v>
      </c>
      <c r="FF39" s="207">
        <v>2</v>
      </c>
      <c r="FG39" s="207">
        <f t="shared" si="90"/>
        <v>3.5</v>
      </c>
      <c r="FH39" s="469">
        <v>0</v>
      </c>
      <c r="FI39" s="207">
        <f t="shared" si="91"/>
        <v>0</v>
      </c>
      <c r="FJ39" s="207">
        <v>0</v>
      </c>
      <c r="FK39" s="207">
        <f t="shared" si="92"/>
        <v>0</v>
      </c>
      <c r="FL39" s="207">
        <f t="shared" si="93"/>
        <v>3.5</v>
      </c>
      <c r="FM39" s="208">
        <f t="shared" si="94"/>
        <v>68.5</v>
      </c>
      <c r="FN39" s="30"/>
      <c r="FO39" s="30"/>
      <c r="FP39" s="31"/>
      <c r="FQ39" s="31"/>
      <c r="FR39" s="31"/>
      <c r="FS39" s="31"/>
      <c r="FT39" s="31"/>
      <c r="FU39" s="31"/>
      <c r="FV39" s="5"/>
      <c r="FW39" s="5"/>
      <c r="FX39" s="5"/>
      <c r="FY39" s="5"/>
      <c r="FZ39" s="5"/>
      <c r="GA39" s="5"/>
      <c r="GB39" s="5"/>
      <c r="GC39" s="5"/>
      <c r="GD39" s="5"/>
      <c r="GE39" s="5"/>
      <c r="GF39" s="5"/>
      <c r="GG39" s="5"/>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1"/>
      <c r="IK39" s="31"/>
      <c r="IL39" s="31"/>
      <c r="IM39" s="31"/>
      <c r="IN39" s="32"/>
      <c r="IO39" s="32"/>
      <c r="IP39" s="32"/>
      <c r="IQ39" s="24">
        <v>27</v>
      </c>
      <c r="IR39" s="25">
        <v>2.6549999999999998</v>
      </c>
      <c r="IS39" s="25">
        <v>2.6469999999999998</v>
      </c>
      <c r="IT39" s="25">
        <v>0.88400000000000001</v>
      </c>
      <c r="IU39" s="25">
        <v>1.75</v>
      </c>
      <c r="IV39" s="25">
        <v>1</v>
      </c>
      <c r="IW39" s="25">
        <v>1.125</v>
      </c>
      <c r="IX39" s="7"/>
    </row>
    <row r="40" spans="2:25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3"/>
      <c r="AU40" s="26">
        <f t="shared" si="151"/>
        <v>120</v>
      </c>
      <c r="AV40" s="27" t="str">
        <f t="shared" si="10"/>
        <v>(3050)</v>
      </c>
      <c r="AW40" s="18"/>
      <c r="AX40" s="19">
        <f t="shared" si="11"/>
        <v>2.9110277777777775</v>
      </c>
      <c r="AY40" s="28" t="str">
        <f t="shared" si="12"/>
        <v>(0.27)</v>
      </c>
      <c r="AZ40" s="21">
        <v>2</v>
      </c>
      <c r="BA40" s="21">
        <f t="shared" si="13"/>
        <v>3.5</v>
      </c>
      <c r="BB40" s="29">
        <v>0</v>
      </c>
      <c r="BC40" s="21">
        <f t="shared" si="14"/>
        <v>0</v>
      </c>
      <c r="BD40" s="29">
        <v>0</v>
      </c>
      <c r="BE40" s="21">
        <f t="shared" si="15"/>
        <v>0</v>
      </c>
      <c r="BF40" s="21">
        <f t="shared" si="16"/>
        <v>3.5</v>
      </c>
      <c r="BG40" s="22">
        <f t="shared" si="17"/>
        <v>5.5</v>
      </c>
      <c r="BH40" s="205">
        <f t="shared" si="18"/>
        <v>4.4988611111111103</v>
      </c>
      <c r="BI40" s="206" t="str">
        <f t="shared" si="19"/>
        <v>(0.42)</v>
      </c>
      <c r="BJ40" s="207">
        <v>2</v>
      </c>
      <c r="BK40" s="207">
        <f t="shared" si="20"/>
        <v>3.5</v>
      </c>
      <c r="BL40" s="207">
        <v>0</v>
      </c>
      <c r="BM40" s="207">
        <f t="shared" si="21"/>
        <v>0</v>
      </c>
      <c r="BN40" s="207">
        <v>0</v>
      </c>
      <c r="BO40" s="207">
        <f t="shared" si="22"/>
        <v>0</v>
      </c>
      <c r="BP40" s="207">
        <f t="shared" si="23"/>
        <v>3.5</v>
      </c>
      <c r="BQ40" s="208">
        <f t="shared" si="24"/>
        <v>8.5</v>
      </c>
      <c r="BR40" s="205">
        <f t="shared" si="25"/>
        <v>7.6745277777777767</v>
      </c>
      <c r="BS40" s="206" t="str">
        <f t="shared" si="26"/>
        <v>(0.71)</v>
      </c>
      <c r="BT40" s="207">
        <v>2</v>
      </c>
      <c r="BU40" s="207">
        <f t="shared" si="27"/>
        <v>3.5</v>
      </c>
      <c r="BV40" s="207">
        <v>0</v>
      </c>
      <c r="BW40" s="207">
        <f t="shared" si="28"/>
        <v>0</v>
      </c>
      <c r="BX40" s="207">
        <v>0</v>
      </c>
      <c r="BY40" s="207">
        <f t="shared" si="29"/>
        <v>0</v>
      </c>
      <c r="BZ40" s="207">
        <f t="shared" si="30"/>
        <v>3.5</v>
      </c>
      <c r="CA40" s="208">
        <f t="shared" si="31"/>
        <v>14.5</v>
      </c>
      <c r="CB40" s="205">
        <f t="shared" si="32"/>
        <v>10.850194444444444</v>
      </c>
      <c r="CC40" s="206" t="str">
        <f t="shared" si="33"/>
        <v>(1.01)</v>
      </c>
      <c r="CD40" s="207">
        <v>2</v>
      </c>
      <c r="CE40" s="207">
        <f t="shared" si="34"/>
        <v>3.5</v>
      </c>
      <c r="CF40" s="207">
        <v>0</v>
      </c>
      <c r="CG40" s="207">
        <f t="shared" si="35"/>
        <v>0</v>
      </c>
      <c r="CH40" s="207">
        <v>0</v>
      </c>
      <c r="CI40" s="207">
        <f t="shared" si="36"/>
        <v>0</v>
      </c>
      <c r="CJ40" s="207">
        <f t="shared" si="37"/>
        <v>3.5</v>
      </c>
      <c r="CK40" s="208">
        <f t="shared" si="38"/>
        <v>20.5</v>
      </c>
      <c r="CL40" s="205">
        <f t="shared" si="39"/>
        <v>14.02586111111111</v>
      </c>
      <c r="CM40" s="206" t="str">
        <f t="shared" si="40"/>
        <v>(1.3)</v>
      </c>
      <c r="CN40" s="207">
        <v>2</v>
      </c>
      <c r="CO40" s="207">
        <f t="shared" si="41"/>
        <v>3.5</v>
      </c>
      <c r="CP40" s="207">
        <v>0</v>
      </c>
      <c r="CQ40" s="207">
        <f t="shared" si="42"/>
        <v>0</v>
      </c>
      <c r="CR40" s="207">
        <v>0</v>
      </c>
      <c r="CS40" s="207">
        <f t="shared" si="43"/>
        <v>0</v>
      </c>
      <c r="CT40" s="207">
        <f t="shared" si="44"/>
        <v>3.5</v>
      </c>
      <c r="CU40" s="208">
        <f t="shared" si="45"/>
        <v>26.5</v>
      </c>
      <c r="CV40" s="205">
        <f t="shared" si="46"/>
        <v>17.201527777777777</v>
      </c>
      <c r="CW40" s="206" t="str">
        <f t="shared" si="47"/>
        <v>(1.6)</v>
      </c>
      <c r="CX40" s="207">
        <v>2</v>
      </c>
      <c r="CY40" s="207">
        <f t="shared" si="48"/>
        <v>3.5</v>
      </c>
      <c r="CZ40" s="207">
        <v>0</v>
      </c>
      <c r="DA40" s="207">
        <f t="shared" si="49"/>
        <v>0</v>
      </c>
      <c r="DB40" s="207">
        <v>0</v>
      </c>
      <c r="DC40" s="207">
        <f t="shared" si="50"/>
        <v>0</v>
      </c>
      <c r="DD40" s="207">
        <f t="shared" si="51"/>
        <v>3.5</v>
      </c>
      <c r="DE40" s="208">
        <f t="shared" si="52"/>
        <v>32.5</v>
      </c>
      <c r="DF40" s="205">
        <f t="shared" si="53"/>
        <v>20.377194444444442</v>
      </c>
      <c r="DG40" s="206" t="str">
        <f t="shared" si="54"/>
        <v>(1.89)</v>
      </c>
      <c r="DH40" s="207">
        <v>2</v>
      </c>
      <c r="DI40" s="207">
        <f t="shared" si="55"/>
        <v>3.5</v>
      </c>
      <c r="DJ40" s="207">
        <v>0</v>
      </c>
      <c r="DK40" s="207">
        <f t="shared" si="56"/>
        <v>0</v>
      </c>
      <c r="DL40" s="207">
        <v>0</v>
      </c>
      <c r="DM40" s="207">
        <f t="shared" si="57"/>
        <v>0</v>
      </c>
      <c r="DN40" s="207">
        <f t="shared" si="58"/>
        <v>3.5</v>
      </c>
      <c r="DO40" s="208">
        <f t="shared" si="59"/>
        <v>38.5</v>
      </c>
      <c r="DP40" s="205">
        <f t="shared" si="60"/>
        <v>23.55286111111111</v>
      </c>
      <c r="DQ40" s="206" t="str">
        <f t="shared" si="61"/>
        <v>(2.19)</v>
      </c>
      <c r="DR40" s="207">
        <v>2</v>
      </c>
      <c r="DS40" s="207">
        <f t="shared" si="62"/>
        <v>3.5</v>
      </c>
      <c r="DT40" s="207">
        <v>0</v>
      </c>
      <c r="DU40" s="207">
        <f t="shared" si="63"/>
        <v>0</v>
      </c>
      <c r="DV40" s="207">
        <v>0</v>
      </c>
      <c r="DW40" s="207">
        <f t="shared" si="64"/>
        <v>0</v>
      </c>
      <c r="DX40" s="207">
        <f t="shared" si="65"/>
        <v>3.5</v>
      </c>
      <c r="DY40" s="208">
        <f t="shared" si="66"/>
        <v>44.5</v>
      </c>
      <c r="DZ40" s="205">
        <f t="shared" si="67"/>
        <v>26.199249999999996</v>
      </c>
      <c r="EA40" s="206" t="str">
        <f t="shared" si="68"/>
        <v>(2.43)</v>
      </c>
      <c r="EB40" s="207">
        <v>2</v>
      </c>
      <c r="EC40" s="207">
        <f t="shared" si="69"/>
        <v>3.5</v>
      </c>
      <c r="ED40" s="207">
        <v>0</v>
      </c>
      <c r="EE40" s="207">
        <f t="shared" si="70"/>
        <v>0</v>
      </c>
      <c r="EF40" s="207">
        <v>1</v>
      </c>
      <c r="EG40" s="207">
        <f t="shared" si="71"/>
        <v>1</v>
      </c>
      <c r="EH40" s="207">
        <f t="shared" si="72"/>
        <v>4.5</v>
      </c>
      <c r="EI40" s="208">
        <f t="shared" si="73"/>
        <v>49.5</v>
      </c>
      <c r="EJ40" s="205">
        <f t="shared" si="74"/>
        <v>29.374916666666664</v>
      </c>
      <c r="EK40" s="206" t="str">
        <f t="shared" si="75"/>
        <v>(2.73)</v>
      </c>
      <c r="EL40" s="207">
        <v>2</v>
      </c>
      <c r="EM40" s="207">
        <f t="shared" si="76"/>
        <v>3.5</v>
      </c>
      <c r="EN40" s="207">
        <v>0</v>
      </c>
      <c r="EO40" s="207">
        <f t="shared" si="77"/>
        <v>0</v>
      </c>
      <c r="EP40" s="207">
        <v>1</v>
      </c>
      <c r="EQ40" s="207">
        <f t="shared" si="78"/>
        <v>1</v>
      </c>
      <c r="ER40" s="207">
        <f t="shared" si="79"/>
        <v>4.5</v>
      </c>
      <c r="ES40" s="208">
        <f t="shared" si="80"/>
        <v>55.5</v>
      </c>
      <c r="ET40" s="205">
        <f t="shared" si="81"/>
        <v>32.550583333333329</v>
      </c>
      <c r="EU40" s="206" t="str">
        <f t="shared" si="82"/>
        <v>(3.02)</v>
      </c>
      <c r="EV40" s="207">
        <v>2</v>
      </c>
      <c r="EW40" s="207">
        <f t="shared" si="83"/>
        <v>3.5</v>
      </c>
      <c r="EX40" s="207">
        <v>0</v>
      </c>
      <c r="EY40" s="207">
        <f t="shared" si="84"/>
        <v>0</v>
      </c>
      <c r="EZ40" s="207">
        <v>1</v>
      </c>
      <c r="FA40" s="207">
        <f t="shared" si="85"/>
        <v>1</v>
      </c>
      <c r="FB40" s="207">
        <f t="shared" si="86"/>
        <v>4.5</v>
      </c>
      <c r="FC40" s="208">
        <f t="shared" si="87"/>
        <v>61.5</v>
      </c>
      <c r="FD40" s="205">
        <f t="shared" si="88"/>
        <v>36.255527777777772</v>
      </c>
      <c r="FE40" s="206" t="str">
        <f t="shared" si="89"/>
        <v>(3.37)</v>
      </c>
      <c r="FF40" s="207">
        <v>2</v>
      </c>
      <c r="FG40" s="207">
        <f t="shared" si="90"/>
        <v>3.5</v>
      </c>
      <c r="FH40" s="469">
        <v>0</v>
      </c>
      <c r="FI40" s="207">
        <f t="shared" si="91"/>
        <v>0</v>
      </c>
      <c r="FJ40" s="207">
        <v>0</v>
      </c>
      <c r="FK40" s="207">
        <f t="shared" si="92"/>
        <v>0</v>
      </c>
      <c r="FL40" s="207">
        <f t="shared" si="93"/>
        <v>3.5</v>
      </c>
      <c r="FM40" s="208">
        <f t="shared" si="94"/>
        <v>68.5</v>
      </c>
      <c r="FN40" s="30"/>
      <c r="FO40" s="30"/>
      <c r="FP40" s="31"/>
      <c r="FQ40" s="31"/>
      <c r="FR40" s="31"/>
      <c r="FS40" s="31"/>
      <c r="FT40" s="31"/>
      <c r="FU40" s="31"/>
      <c r="FV40" s="30"/>
      <c r="FW40" s="30"/>
      <c r="FX40" s="30"/>
      <c r="FY40" s="30"/>
      <c r="FZ40" s="30"/>
      <c r="GA40" s="30"/>
      <c r="GB40" s="30"/>
      <c r="GC40" s="30"/>
      <c r="GD40" s="30"/>
      <c r="GE40" s="30"/>
      <c r="GF40" s="30"/>
      <c r="GG40" s="30"/>
      <c r="GH40" s="30"/>
      <c r="GI40" s="30"/>
      <c r="GJ40" s="31"/>
      <c r="GK40" s="31"/>
      <c r="GL40" s="31"/>
      <c r="GM40" s="31"/>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1"/>
      <c r="HO40" s="31"/>
      <c r="HP40" s="31"/>
      <c r="HQ40" s="31"/>
      <c r="HR40" s="31"/>
      <c r="HS40" s="31"/>
      <c r="HT40" s="31"/>
      <c r="HU40" s="31"/>
      <c r="HV40" s="31"/>
      <c r="HW40" s="31"/>
      <c r="HX40" s="31"/>
      <c r="HY40" s="31"/>
      <c r="HZ40" s="31"/>
      <c r="IA40" s="31"/>
      <c r="IB40" s="31"/>
      <c r="IC40" s="31"/>
      <c r="ID40" s="31"/>
      <c r="IE40" s="31"/>
      <c r="IF40" s="30"/>
      <c r="IG40" s="30"/>
      <c r="IH40" s="31"/>
      <c r="II40" s="31"/>
      <c r="IJ40" s="33"/>
      <c r="IK40" s="31"/>
      <c r="IL40" s="31"/>
      <c r="IM40" s="31"/>
      <c r="IN40" s="32"/>
      <c r="IO40" s="32"/>
      <c r="IP40" s="32"/>
      <c r="IQ40" s="24">
        <v>28</v>
      </c>
      <c r="IR40" s="25">
        <v>2.6549999999999998</v>
      </c>
      <c r="IS40" s="25">
        <v>2.6469999999999998</v>
      </c>
      <c r="IT40" s="25">
        <v>2.0920000000000001</v>
      </c>
      <c r="IU40" s="25">
        <v>1.75</v>
      </c>
      <c r="IV40" s="25">
        <v>1</v>
      </c>
      <c r="IW40" s="25">
        <v>1.125</v>
      </c>
      <c r="IX40" s="7"/>
    </row>
    <row r="41" spans="2:258" ht="15.75" thickBot="1" x14ac:dyDescent="0.3">
      <c r="B41" s="2"/>
      <c r="C41" s="2"/>
      <c r="D41" s="2"/>
      <c r="E41" s="2"/>
      <c r="F41" s="2"/>
      <c r="G41" s="2"/>
      <c r="H41" s="2"/>
      <c r="I41" s="2"/>
      <c r="J41" s="2"/>
      <c r="K41" s="2"/>
      <c r="L41" s="2"/>
      <c r="M41" s="2"/>
      <c r="N41" s="2"/>
      <c r="O41" s="2"/>
      <c r="P41" s="2"/>
      <c r="Q41" s="2"/>
      <c r="R41" s="2"/>
      <c r="S41" s="2"/>
      <c r="T41" s="2"/>
      <c r="U41" s="2"/>
      <c r="V41" s="2"/>
      <c r="W41" s="2"/>
      <c r="X41" s="2"/>
      <c r="AT41" s="34"/>
      <c r="AU41" s="35"/>
      <c r="AV41" s="35"/>
      <c r="AW41" s="35"/>
      <c r="AX41" s="35"/>
      <c r="AY41" s="35"/>
      <c r="AZ41" s="35"/>
      <c r="BA41" s="35"/>
      <c r="BB41" s="35"/>
      <c r="BC41" s="35"/>
      <c r="BD41" s="35"/>
      <c r="BE41" s="35"/>
      <c r="BF41" s="35"/>
      <c r="BG41" s="35"/>
      <c r="BH41" s="36"/>
      <c r="BI41" s="37"/>
      <c r="BJ41" s="37"/>
      <c r="BK41" s="37"/>
      <c r="BL41" s="37"/>
      <c r="BM41" s="37"/>
      <c r="BN41" s="37"/>
      <c r="BO41" s="37"/>
      <c r="BP41" s="37"/>
      <c r="BQ41" s="37"/>
      <c r="BR41" s="36"/>
      <c r="BS41" s="37"/>
      <c r="BT41" s="37"/>
      <c r="BU41" s="37"/>
      <c r="BV41" s="37"/>
      <c r="BW41" s="37"/>
      <c r="BX41" s="37"/>
      <c r="BY41" s="37"/>
      <c r="BZ41" s="37"/>
      <c r="CA41" s="37"/>
      <c r="CB41" s="36"/>
      <c r="CC41" s="37"/>
      <c r="CD41" s="37"/>
      <c r="CE41" s="37"/>
      <c r="CF41" s="37"/>
      <c r="CG41" s="37"/>
      <c r="CH41" s="37"/>
      <c r="CI41" s="37"/>
      <c r="CJ41" s="37"/>
      <c r="CK41" s="37"/>
      <c r="CL41" s="36"/>
      <c r="CM41" s="37"/>
      <c r="CN41" s="37"/>
      <c r="CO41" s="37"/>
      <c r="CP41" s="37"/>
      <c r="CQ41" s="37"/>
      <c r="CR41" s="37"/>
      <c r="CS41" s="37"/>
      <c r="CT41" s="37"/>
      <c r="CU41" s="37"/>
      <c r="CV41" s="36"/>
      <c r="CW41" s="37"/>
      <c r="CX41" s="37"/>
      <c r="CY41" s="37"/>
      <c r="CZ41" s="37"/>
      <c r="DA41" s="37"/>
      <c r="DB41" s="37"/>
      <c r="DC41" s="37"/>
      <c r="DD41" s="37"/>
      <c r="DE41" s="37"/>
      <c r="DF41" s="36"/>
      <c r="DG41" s="37"/>
      <c r="DH41" s="37"/>
      <c r="DI41" s="37"/>
      <c r="DJ41" s="37"/>
      <c r="DK41" s="37"/>
      <c r="DL41" s="37"/>
      <c r="DM41" s="37"/>
      <c r="DN41" s="37"/>
      <c r="DO41" s="37"/>
      <c r="DP41" s="36"/>
      <c r="DQ41" s="37"/>
      <c r="DR41" s="37"/>
      <c r="DS41" s="37"/>
      <c r="DT41" s="37"/>
      <c r="DU41" s="37"/>
      <c r="DV41" s="37"/>
      <c r="DW41" s="37"/>
      <c r="DX41" s="37"/>
      <c r="DY41" s="37"/>
      <c r="DZ41" s="36"/>
      <c r="EA41" s="37"/>
      <c r="EB41" s="37"/>
      <c r="EC41" s="37"/>
      <c r="ED41" s="37"/>
      <c r="EE41" s="37"/>
      <c r="EF41" s="37"/>
      <c r="EG41" s="37"/>
      <c r="EH41" s="37"/>
      <c r="EI41" s="37"/>
      <c r="EJ41" s="36"/>
      <c r="EK41" s="37"/>
      <c r="EL41" s="37"/>
      <c r="EM41" s="37"/>
      <c r="EN41" s="37"/>
      <c r="EO41" s="37"/>
      <c r="EP41" s="37"/>
      <c r="EQ41" s="37"/>
      <c r="ER41" s="37"/>
      <c r="ES41" s="37"/>
      <c r="ET41" s="36"/>
      <c r="EU41" s="37"/>
      <c r="EV41" s="37"/>
      <c r="EW41" s="37"/>
      <c r="EX41" s="37"/>
      <c r="EY41" s="37"/>
      <c r="EZ41" s="37"/>
      <c r="FA41" s="37"/>
      <c r="FB41" s="37"/>
      <c r="FC41" s="37"/>
      <c r="FD41" s="36"/>
      <c r="FE41" s="37"/>
      <c r="FF41" s="37"/>
      <c r="FG41" s="37"/>
      <c r="FH41" s="37"/>
      <c r="FI41" s="37"/>
      <c r="FJ41" s="37"/>
      <c r="FK41" s="37"/>
      <c r="FL41" s="37"/>
      <c r="FM41" s="37"/>
      <c r="FN41" s="36"/>
      <c r="FO41" s="37"/>
      <c r="FP41" s="37"/>
      <c r="FQ41" s="37"/>
      <c r="FR41" s="37"/>
      <c r="FS41" s="37"/>
      <c r="FT41" s="37"/>
      <c r="FU41" s="37"/>
      <c r="FV41" s="161"/>
      <c r="FW41" s="161"/>
      <c r="FX41" s="161"/>
      <c r="FY41" s="161"/>
      <c r="FZ41" s="161"/>
      <c r="GA41" s="161"/>
      <c r="GB41" s="161"/>
      <c r="GC41" s="161"/>
      <c r="GD41" s="161"/>
      <c r="GE41" s="161"/>
      <c r="GF41" s="161"/>
      <c r="GG41" s="161"/>
      <c r="GH41" s="36"/>
      <c r="GI41" s="37"/>
      <c r="GJ41" s="37"/>
      <c r="GK41" s="37"/>
      <c r="GL41" s="37"/>
      <c r="GM41" s="37"/>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36"/>
      <c r="HM41" s="37"/>
      <c r="HN41" s="37"/>
      <c r="HO41" s="37"/>
      <c r="HP41" s="37"/>
      <c r="HQ41" s="37"/>
      <c r="HR41" s="37"/>
      <c r="HS41" s="37"/>
      <c r="HT41" s="162"/>
      <c r="HU41" s="162"/>
      <c r="HV41" s="162"/>
      <c r="HW41" s="162"/>
      <c r="HX41" s="162"/>
      <c r="HY41" s="162"/>
      <c r="HZ41" s="162"/>
      <c r="IA41" s="162"/>
      <c r="IB41" s="162"/>
      <c r="IC41" s="162"/>
      <c r="ID41" s="162"/>
      <c r="IE41" s="162"/>
      <c r="IF41" s="36"/>
      <c r="IG41" s="37"/>
      <c r="IH41" s="37"/>
      <c r="II41" s="37"/>
      <c r="IJ41" s="37"/>
      <c r="IK41" s="37"/>
      <c r="IL41" s="37"/>
      <c r="IM41" s="37"/>
      <c r="IN41" s="35"/>
      <c r="IO41" s="35"/>
      <c r="IP41" s="35"/>
      <c r="IQ41" s="35"/>
      <c r="IR41" s="35"/>
      <c r="IS41" s="35"/>
      <c r="IT41" s="35"/>
      <c r="IU41" s="35"/>
      <c r="IV41" s="35"/>
      <c r="IW41" s="35"/>
      <c r="IX41" s="38"/>
    </row>
    <row r="42" spans="2:258" ht="16.5" thickTop="1" thickBot="1" x14ac:dyDescent="0.3">
      <c r="B42" s="2"/>
      <c r="C42" s="2"/>
      <c r="D42" s="2"/>
      <c r="E42" s="2"/>
      <c r="F42" s="2"/>
      <c r="G42" s="2"/>
      <c r="H42" s="2"/>
      <c r="I42" s="2"/>
      <c r="J42" s="2"/>
      <c r="K42" s="2"/>
      <c r="L42" s="2"/>
      <c r="M42" s="2"/>
      <c r="N42" s="2"/>
      <c r="O42" s="2"/>
      <c r="P42" s="2"/>
      <c r="Q42" s="2"/>
      <c r="R42" s="2"/>
      <c r="S42" s="2"/>
      <c r="T42" s="2"/>
      <c r="U42" s="2"/>
      <c r="V42" s="2"/>
      <c r="W42" s="2"/>
      <c r="BE42" s="2"/>
    </row>
    <row r="43" spans="2:258" ht="24" thickBot="1" x14ac:dyDescent="0.4">
      <c r="B43" s="166" t="s">
        <v>70</v>
      </c>
      <c r="C43" s="167"/>
      <c r="D43" s="167"/>
      <c r="E43" s="167"/>
      <c r="F43" s="167"/>
      <c r="G43" s="167"/>
      <c r="H43" s="167"/>
      <c r="I43" s="167"/>
      <c r="J43" s="167"/>
      <c r="K43" s="167"/>
      <c r="L43" s="168"/>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BE43" s="2"/>
      <c r="BF43" s="6"/>
      <c r="BG43" s="6"/>
      <c r="BH43" s="6"/>
      <c r="BI43" s="6"/>
      <c r="BJ43" s="6"/>
      <c r="BK43" s="6"/>
      <c r="BL43" s="6"/>
      <c r="BM43" s="6"/>
      <c r="BN43" s="5"/>
      <c r="BO43" s="6"/>
      <c r="BP43" s="6"/>
      <c r="BQ43" s="6"/>
      <c r="BR43" s="6"/>
      <c r="BS43" s="6"/>
      <c r="BT43" s="6"/>
      <c r="BU43" s="6"/>
      <c r="BV43" s="6"/>
      <c r="BW43" s="6"/>
      <c r="BX43" s="5"/>
      <c r="BY43" s="6"/>
      <c r="BZ43" s="6"/>
      <c r="CA43" s="6"/>
      <c r="CB43" s="6"/>
      <c r="CC43" s="6"/>
      <c r="CD43" s="6"/>
      <c r="CE43" s="6"/>
      <c r="CF43" s="6"/>
      <c r="CG43" s="6"/>
      <c r="CH43" s="5"/>
      <c r="CI43" s="6"/>
      <c r="CJ43" s="6"/>
      <c r="CK43" s="6"/>
      <c r="CL43" s="6"/>
      <c r="CM43" s="6"/>
      <c r="CN43" s="6"/>
      <c r="CO43" s="6"/>
      <c r="CP43" s="6"/>
      <c r="CQ43" s="6"/>
      <c r="CR43" s="5"/>
      <c r="CS43" s="6"/>
      <c r="CT43" s="6"/>
      <c r="CU43" s="6"/>
      <c r="CV43" s="6"/>
      <c r="CW43" s="6"/>
      <c r="CX43" s="6"/>
      <c r="CY43" s="6"/>
      <c r="CZ43" s="6"/>
      <c r="DA43" s="6"/>
      <c r="DB43" s="5"/>
      <c r="DC43" s="6"/>
      <c r="DD43" s="6"/>
      <c r="DE43" s="6"/>
      <c r="DF43" s="6"/>
      <c r="DG43" s="6"/>
      <c r="DH43" s="6"/>
      <c r="DI43" s="6"/>
      <c r="DJ43" s="6"/>
      <c r="DK43" s="6"/>
      <c r="DL43" s="5"/>
      <c r="DM43" s="6"/>
      <c r="DN43" s="6"/>
      <c r="DO43" s="6"/>
      <c r="DP43" s="6"/>
      <c r="DQ43" s="6"/>
      <c r="DR43" s="6"/>
      <c r="DS43" s="6"/>
      <c r="DT43" s="6"/>
      <c r="DU43" s="6"/>
      <c r="DV43" s="5"/>
      <c r="DW43" s="6"/>
      <c r="DX43" s="6"/>
      <c r="DY43" s="6"/>
      <c r="DZ43" s="6"/>
      <c r="EA43" s="6"/>
      <c r="EB43" s="6"/>
      <c r="EC43" s="6"/>
      <c r="ED43" s="6"/>
      <c r="EE43" s="6"/>
      <c r="EF43" s="5"/>
      <c r="EG43" s="6"/>
      <c r="EH43" s="6"/>
      <c r="EI43" s="6"/>
      <c r="EJ43" s="6"/>
      <c r="EK43" s="6"/>
      <c r="EL43" s="6"/>
      <c r="EM43" s="6"/>
      <c r="EN43" s="6"/>
      <c r="EO43" s="6"/>
      <c r="EP43" s="5"/>
      <c r="EQ43" s="6"/>
      <c r="ER43" s="6"/>
      <c r="ES43" s="6"/>
      <c r="ET43" s="6"/>
      <c r="EU43" s="6"/>
      <c r="EV43" s="6"/>
      <c r="EW43" s="6"/>
      <c r="EX43" s="6"/>
      <c r="EY43" s="6"/>
      <c r="EZ43" s="5"/>
      <c r="FA43" s="6"/>
      <c r="FB43" s="6"/>
      <c r="FC43" s="6"/>
      <c r="FD43" s="6"/>
      <c r="FE43" s="6"/>
      <c r="FF43" s="6"/>
      <c r="FG43" s="6"/>
      <c r="FH43" s="6"/>
      <c r="FI43" s="6"/>
      <c r="FJ43" s="5"/>
      <c r="FK43" s="6"/>
      <c r="FL43" s="6"/>
      <c r="FM43" s="6"/>
      <c r="FN43" s="6"/>
      <c r="FO43" s="6"/>
      <c r="FP43" s="6"/>
      <c r="FQ43" s="6"/>
      <c r="FR43" s="6"/>
      <c r="FS43" s="6"/>
      <c r="FT43" s="5"/>
      <c r="FU43" s="6"/>
      <c r="FV43" s="6"/>
      <c r="FW43" s="6"/>
      <c r="FX43" s="6"/>
      <c r="FY43" s="6"/>
      <c r="FZ43" s="6"/>
      <c r="GA43" s="6"/>
      <c r="GB43" s="6"/>
      <c r="GC43" s="6"/>
      <c r="GD43" s="5"/>
      <c r="GE43" s="6"/>
      <c r="GF43" s="6"/>
      <c r="GG43" s="6"/>
      <c r="GH43" s="6"/>
      <c r="GI43" s="6"/>
      <c r="GJ43" s="6"/>
      <c r="GK43" s="6"/>
      <c r="GL43" s="6"/>
      <c r="GM43" s="6"/>
      <c r="GN43" s="5"/>
      <c r="GO43" s="6"/>
      <c r="GP43" s="6"/>
      <c r="GQ43" s="6"/>
      <c r="GR43" s="6"/>
      <c r="GS43" s="6"/>
      <c r="GT43" s="6"/>
      <c r="GU43" s="6"/>
      <c r="GV43" s="4"/>
      <c r="GW43" s="4"/>
      <c r="GX43" s="4"/>
      <c r="GY43" s="4"/>
      <c r="GZ43" s="4"/>
      <c r="HA43" s="4"/>
      <c r="HB43" s="4"/>
      <c r="HC43" s="4"/>
      <c r="HD43" s="4"/>
      <c r="HE43" s="4"/>
      <c r="HF43" s="4"/>
    </row>
    <row r="44" spans="2:258" ht="19.5" thickBot="1" x14ac:dyDescent="0.35">
      <c r="B44" s="164" t="s">
        <v>181</v>
      </c>
      <c r="C44" s="111" t="e">
        <f>C10</f>
        <v>#VALUE!</v>
      </c>
      <c r="D44" s="53"/>
      <c r="E44" s="53"/>
      <c r="F44" s="53"/>
      <c r="G44" s="53"/>
      <c r="H44" s="53"/>
      <c r="I44" s="53"/>
      <c r="J44" s="53"/>
      <c r="K44" s="53"/>
      <c r="L44" s="165"/>
      <c r="N44" s="994"/>
      <c r="O44" s="155"/>
      <c r="P44" s="75"/>
      <c r="Q44" s="156">
        <v>9</v>
      </c>
      <c r="R44" s="157">
        <v>12</v>
      </c>
      <c r="S44" s="157">
        <f t="shared" ref="S44:AJ44" si="152">R44+6</f>
        <v>18</v>
      </c>
      <c r="T44" s="157">
        <f t="shared" si="152"/>
        <v>24</v>
      </c>
      <c r="U44" s="157">
        <f t="shared" si="152"/>
        <v>30</v>
      </c>
      <c r="V44" s="157">
        <f t="shared" si="152"/>
        <v>36</v>
      </c>
      <c r="W44" s="157">
        <f t="shared" si="152"/>
        <v>42</v>
      </c>
      <c r="X44" s="158">
        <f t="shared" si="152"/>
        <v>48</v>
      </c>
      <c r="Y44" s="157">
        <f t="shared" si="152"/>
        <v>54</v>
      </c>
      <c r="Z44" s="157">
        <f t="shared" si="152"/>
        <v>60</v>
      </c>
      <c r="AA44" s="157">
        <f t="shared" si="152"/>
        <v>66</v>
      </c>
      <c r="AB44" s="157">
        <f t="shared" si="152"/>
        <v>72</v>
      </c>
      <c r="AC44" s="157">
        <f t="shared" si="152"/>
        <v>78</v>
      </c>
      <c r="AD44" s="158">
        <f t="shared" si="152"/>
        <v>84</v>
      </c>
      <c r="AE44" s="157">
        <f t="shared" si="152"/>
        <v>90</v>
      </c>
      <c r="AF44" s="157">
        <f t="shared" si="152"/>
        <v>96</v>
      </c>
      <c r="AG44" s="157">
        <f t="shared" si="152"/>
        <v>102</v>
      </c>
      <c r="AH44" s="157">
        <f t="shared" si="152"/>
        <v>108</v>
      </c>
      <c r="AI44" s="157">
        <f t="shared" si="152"/>
        <v>114</v>
      </c>
      <c r="AJ44" s="158">
        <f t="shared" si="152"/>
        <v>120</v>
      </c>
      <c r="AK44" s="74"/>
      <c r="AL44" s="74"/>
      <c r="AM44" s="74"/>
      <c r="AN44" s="74"/>
      <c r="AO44" s="74"/>
      <c r="AP44" s="74"/>
      <c r="AQ44" s="75"/>
    </row>
    <row r="45" spans="2:258" ht="18.75" customHeight="1" thickBot="1" x14ac:dyDescent="0.35">
      <c r="B45" s="150" t="s">
        <v>39</v>
      </c>
      <c r="C45" s="112" t="e">
        <f>I10</f>
        <v>#VALUE!</v>
      </c>
      <c r="D45" s="2"/>
      <c r="E45" s="51"/>
      <c r="F45" s="51"/>
      <c r="G45" s="51"/>
      <c r="H45" s="51"/>
      <c r="I45" s="51"/>
      <c r="J45" s="51"/>
      <c r="K45" s="51"/>
      <c r="L45" s="54"/>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t="s">
        <v>188</v>
      </c>
    </row>
    <row r="46" spans="2:258" ht="15.75" customHeight="1" thickBot="1" x14ac:dyDescent="0.4">
      <c r="B46" s="454" t="s">
        <v>63</v>
      </c>
      <c r="C46" s="51"/>
      <c r="D46" s="51"/>
      <c r="E46" s="51"/>
      <c r="F46" s="51"/>
      <c r="G46" s="51"/>
      <c r="H46" s="51"/>
      <c r="I46" s="51"/>
      <c r="J46" s="51"/>
      <c r="K46" s="51"/>
      <c r="L46" s="54"/>
      <c r="N46" s="455"/>
      <c r="O46" s="154">
        <f>H5</f>
        <v>9.5</v>
      </c>
      <c r="P46" s="183">
        <v>2</v>
      </c>
      <c r="Q46" s="490"/>
      <c r="R46" s="291">
        <v>3.67</v>
      </c>
      <c r="S46" s="291">
        <v>5.24</v>
      </c>
      <c r="T46" s="291">
        <v>6.8</v>
      </c>
      <c r="U46" s="291">
        <v>8.36</v>
      </c>
      <c r="V46" s="291">
        <v>9.93</v>
      </c>
      <c r="W46" s="291">
        <v>11.49</v>
      </c>
      <c r="X46" s="291">
        <v>13.05</v>
      </c>
      <c r="Y46" s="291">
        <v>14.62</v>
      </c>
      <c r="Z46" s="291">
        <v>16.18</v>
      </c>
      <c r="AA46" s="493"/>
      <c r="AB46" s="493"/>
      <c r="AC46" s="493"/>
      <c r="AD46" s="493"/>
      <c r="AE46" s="493"/>
      <c r="AF46" s="493"/>
      <c r="AG46" s="493"/>
      <c r="AH46" s="493"/>
      <c r="AI46" s="493"/>
      <c r="AJ46" s="493"/>
      <c r="AK46" s="114"/>
      <c r="AL46" s="114"/>
      <c r="AM46" s="114"/>
      <c r="AN46" s="114"/>
      <c r="AO46" s="114"/>
      <c r="AP46" s="114"/>
      <c r="AQ46" s="120"/>
      <c r="IS46" s="135"/>
    </row>
    <row r="47" spans="2:258" ht="15" customHeight="1" thickBot="1" x14ac:dyDescent="0.3">
      <c r="B47" s="57"/>
      <c r="C47" s="2"/>
      <c r="D47" s="51"/>
      <c r="E47" s="51"/>
      <c r="F47" s="51"/>
      <c r="G47" s="51"/>
      <c r="H47" s="51"/>
      <c r="I47" s="51"/>
      <c r="J47" s="51"/>
      <c r="K47" s="51"/>
      <c r="L47" s="54"/>
      <c r="N47" s="136"/>
      <c r="O47" s="124">
        <v>12</v>
      </c>
      <c r="P47" s="184">
        <v>3</v>
      </c>
      <c r="Q47" s="491"/>
      <c r="R47" s="298">
        <v>4.04</v>
      </c>
      <c r="S47" s="298">
        <v>5.6</v>
      </c>
      <c r="T47" s="298">
        <v>7.1599999999999993</v>
      </c>
      <c r="U47" s="298">
        <v>8.7199999999999989</v>
      </c>
      <c r="V47" s="298">
        <v>10.29</v>
      </c>
      <c r="W47" s="298">
        <v>11.849999999999998</v>
      </c>
      <c r="X47" s="298">
        <v>13.409999999999997</v>
      </c>
      <c r="Y47" s="298">
        <v>14.969999999999995</v>
      </c>
      <c r="Z47" s="298">
        <v>16.529999999999994</v>
      </c>
      <c r="AA47" s="492"/>
      <c r="AB47" s="492"/>
      <c r="AC47" s="492"/>
      <c r="AD47" s="492"/>
      <c r="AE47" s="492"/>
      <c r="AF47" s="492"/>
      <c r="AG47" s="492"/>
      <c r="AH47" s="492"/>
      <c r="AI47" s="492"/>
      <c r="AJ47" s="492"/>
      <c r="AK47" s="45"/>
      <c r="AL47" s="117"/>
      <c r="AM47" s="117" t="e">
        <f>D50</f>
        <v>#VALUE!</v>
      </c>
      <c r="AN47" s="118" t="e">
        <f>C44</f>
        <v>#VALUE!</v>
      </c>
      <c r="AO47" s="117" t="e">
        <f>E50</f>
        <v>#VALUE!</v>
      </c>
      <c r="AP47" s="45"/>
      <c r="AQ47" s="46"/>
      <c r="CL47" s="61"/>
      <c r="CM47" s="61"/>
      <c r="CN47" s="61"/>
      <c r="CO47" s="61"/>
      <c r="CP47" s="61"/>
      <c r="CQ47" s="61"/>
      <c r="CR47" s="61"/>
      <c r="CS47" s="61"/>
    </row>
    <row r="48" spans="2:258" ht="15" customHeight="1" thickBot="1" x14ac:dyDescent="0.3">
      <c r="B48" s="57"/>
      <c r="C48" s="96"/>
      <c r="D48" s="97" t="s">
        <v>215</v>
      </c>
      <c r="E48" s="98"/>
      <c r="F48" s="98"/>
      <c r="G48" s="100"/>
      <c r="H48" s="97" t="s">
        <v>33</v>
      </c>
      <c r="I48" s="99"/>
      <c r="J48" s="51"/>
      <c r="K48" s="51"/>
      <c r="L48" s="54"/>
      <c r="N48" s="79"/>
      <c r="O48" s="124">
        <f t="shared" ref="O48:O65" si="153">O47+6</f>
        <v>18</v>
      </c>
      <c r="P48" s="184">
        <v>4</v>
      </c>
      <c r="Q48" s="491"/>
      <c r="R48" s="298">
        <v>5.86</v>
      </c>
      <c r="S48" s="298">
        <v>8.06</v>
      </c>
      <c r="T48" s="298">
        <v>10.260000000000002</v>
      </c>
      <c r="U48" s="298">
        <v>12.46</v>
      </c>
      <c r="V48" s="298">
        <v>14.64</v>
      </c>
      <c r="W48" s="298">
        <v>16.84</v>
      </c>
      <c r="X48" s="298">
        <v>19.04</v>
      </c>
      <c r="Y48" s="298">
        <v>21.24</v>
      </c>
      <c r="Z48" s="298">
        <v>23.439999999999998</v>
      </c>
      <c r="AA48" s="492"/>
      <c r="AB48" s="492"/>
      <c r="AC48" s="492"/>
      <c r="AD48" s="492"/>
      <c r="AE48" s="492"/>
      <c r="AF48" s="492"/>
      <c r="AG48" s="492"/>
      <c r="AH48" s="492"/>
      <c r="AI48" s="492"/>
      <c r="AJ48" s="492"/>
      <c r="AK48" s="76"/>
      <c r="AL48" s="117" t="e">
        <f>H50</f>
        <v>#VALUE!</v>
      </c>
      <c r="AM48" s="118" t="e">
        <f>INDEX(P45:AJ65,$H$51,$D$51)</f>
        <v>#VALUE!</v>
      </c>
      <c r="AN48" s="118" t="e">
        <f>(((AN47-AM47)/(AO47-AM47))*(AO48-AM48))+AM48</f>
        <v>#VALUE!</v>
      </c>
      <c r="AO48" s="118" t="e">
        <f>INDEX(P45:AJ65,$H$51,$E$51)</f>
        <v>#VALUE!</v>
      </c>
      <c r="AP48" s="45"/>
      <c r="AQ48" s="46"/>
    </row>
    <row r="49" spans="1:59" ht="16.5" thickBot="1" x14ac:dyDescent="0.3">
      <c r="B49" s="57"/>
      <c r="C49" s="92"/>
      <c r="D49" s="93" t="s">
        <v>64</v>
      </c>
      <c r="E49" s="94" t="s">
        <v>65</v>
      </c>
      <c r="F49" s="94"/>
      <c r="G49" s="101"/>
      <c r="H49" s="93" t="s">
        <v>64</v>
      </c>
      <c r="I49" s="95" t="s">
        <v>65</v>
      </c>
      <c r="J49" s="51"/>
      <c r="K49" s="51"/>
      <c r="L49" s="54"/>
      <c r="N49" s="79"/>
      <c r="O49" s="124">
        <f t="shared" si="153"/>
        <v>24</v>
      </c>
      <c r="P49" s="184">
        <v>5</v>
      </c>
      <c r="Q49" s="491"/>
      <c r="R49" s="298">
        <v>7.21</v>
      </c>
      <c r="S49" s="298">
        <v>9.7200000000000006</v>
      </c>
      <c r="T49" s="298">
        <v>12.23</v>
      </c>
      <c r="U49" s="298">
        <v>14.740000000000002</v>
      </c>
      <c r="V49" s="298">
        <v>17.25</v>
      </c>
      <c r="W49" s="298">
        <v>19.760000000000002</v>
      </c>
      <c r="X49" s="298">
        <v>22.270000000000003</v>
      </c>
      <c r="Y49" s="298">
        <v>24.780000000000005</v>
      </c>
      <c r="Z49" s="298">
        <v>27.290000000000006</v>
      </c>
      <c r="AA49" s="492"/>
      <c r="AB49" s="492"/>
      <c r="AC49" s="492"/>
      <c r="AD49" s="492"/>
      <c r="AE49" s="492"/>
      <c r="AF49" s="492"/>
      <c r="AG49" s="492"/>
      <c r="AH49" s="492"/>
      <c r="AI49" s="492"/>
      <c r="AJ49" s="492"/>
      <c r="AK49" s="45"/>
      <c r="AL49" s="117" t="e">
        <f>C45</f>
        <v>#VALUE!</v>
      </c>
      <c r="AM49" s="118" t="e">
        <f>(((AL49-AL48)/(AL50-AL48))*(AM50-AM48))+AM48</f>
        <v>#VALUE!</v>
      </c>
      <c r="AN49" s="119" t="e">
        <f>IF(AND(AN47&gt;72,AL49&gt;72),5/0,IF(AN47=120,AM49,(((AN48-AM48)/(AO48-AM48))*(AO49-AM49))+AM49))</f>
        <v>#VALUE!</v>
      </c>
      <c r="AO49" s="118" t="e">
        <f>(((AL49-AL48)/(AL50-AL48))*(AO50-AO48))+AO48</f>
        <v>#VALUE!</v>
      </c>
      <c r="AP49" s="45"/>
      <c r="AQ49" s="46"/>
    </row>
    <row r="50" spans="1:59" ht="16.5" thickBot="1" x14ac:dyDescent="0.3">
      <c r="B50" s="57"/>
      <c r="C50" s="90"/>
      <c r="D50" s="88" t="e">
        <f>IF(AND(C44&lt;12,C44&gt;=H3),H3,FLOOR(C44/6,1)*6)</f>
        <v>#VALUE!</v>
      </c>
      <c r="E50" s="84" t="e">
        <f>IF(D50&lt;12,12,D50+6)</f>
        <v>#VALUE!</v>
      </c>
      <c r="F50" s="84"/>
      <c r="G50" s="102"/>
      <c r="H50" s="88" t="e">
        <f>IF(AND(C45&lt;12,C45&gt;=H5),H5,FLOOR(C45/6,1)*6)</f>
        <v>#VALUE!</v>
      </c>
      <c r="I50" s="85" t="e">
        <f>IF(H50&lt;12,12,H50+6)</f>
        <v>#VALUE!</v>
      </c>
      <c r="J50" s="51"/>
      <c r="K50" s="51"/>
      <c r="L50" s="54"/>
      <c r="N50" s="79"/>
      <c r="O50" s="124">
        <f t="shared" si="153"/>
        <v>30</v>
      </c>
      <c r="P50" s="184">
        <v>6</v>
      </c>
      <c r="Q50" s="491"/>
      <c r="R50" s="298">
        <v>9.0299999999999994</v>
      </c>
      <c r="S50" s="298">
        <v>12.17</v>
      </c>
      <c r="T50" s="298">
        <v>15.31</v>
      </c>
      <c r="U50" s="298">
        <v>18.450000000000003</v>
      </c>
      <c r="V50" s="298">
        <v>21.6</v>
      </c>
      <c r="W50" s="298">
        <v>24.740000000000002</v>
      </c>
      <c r="X50" s="298">
        <v>27.880000000000003</v>
      </c>
      <c r="Y50" s="298">
        <v>31.020000000000003</v>
      </c>
      <c r="Z50" s="298">
        <v>34.160000000000004</v>
      </c>
      <c r="AA50" s="492"/>
      <c r="AB50" s="492"/>
      <c r="AC50" s="492"/>
      <c r="AD50" s="492"/>
      <c r="AE50" s="492"/>
      <c r="AF50" s="492"/>
      <c r="AG50" s="492"/>
      <c r="AH50" s="492"/>
      <c r="AI50" s="492"/>
      <c r="AJ50" s="492"/>
      <c r="AK50" s="45"/>
      <c r="AL50" s="117" t="e">
        <f>I50</f>
        <v>#VALUE!</v>
      </c>
      <c r="AM50" s="118" t="e">
        <f>INDEX(P45:AJ65,$I$51,$D$51)</f>
        <v>#VALUE!</v>
      </c>
      <c r="AN50" s="118" t="e">
        <f>(((AN47-AM47)/(AO47-AM47))*(AO50-AM50))+AM50</f>
        <v>#VALUE!</v>
      </c>
      <c r="AO50" s="118" t="e">
        <f>INDEX(P45:AJ65,$I$51,$E$51)</f>
        <v>#VALUE!</v>
      </c>
      <c r="AP50" s="45"/>
      <c r="AQ50" s="46"/>
    </row>
    <row r="51" spans="1:59" ht="15.75" thickBot="1" x14ac:dyDescent="0.3">
      <c r="B51" s="57"/>
      <c r="C51" s="90" t="s">
        <v>34</v>
      </c>
      <c r="D51" s="88" t="e">
        <f>HLOOKUP(D50,C16:W17,2)</f>
        <v>#VALUE!</v>
      </c>
      <c r="E51" s="84" t="e">
        <f>HLOOKUP(E50,C16:W17,2)</f>
        <v>#VALUE!</v>
      </c>
      <c r="F51" s="84"/>
      <c r="G51" s="102" t="s">
        <v>35</v>
      </c>
      <c r="H51" s="88" t="e">
        <f>VLOOKUP(H50,B17:C37,2)</f>
        <v>#VALUE!</v>
      </c>
      <c r="I51" s="85" t="e">
        <f>VLOOKUP(I50,B17:C37,2)</f>
        <v>#VALUE!</v>
      </c>
      <c r="J51" s="51"/>
      <c r="K51" s="51"/>
      <c r="L51" s="54"/>
      <c r="N51" s="79"/>
      <c r="O51" s="124">
        <f t="shared" si="153"/>
        <v>36</v>
      </c>
      <c r="P51" s="184">
        <v>7</v>
      </c>
      <c r="Q51" s="491"/>
      <c r="R51" s="298">
        <v>10.38</v>
      </c>
      <c r="S51" s="298">
        <v>13.84</v>
      </c>
      <c r="T51" s="298">
        <v>17.299999999999997</v>
      </c>
      <c r="U51" s="298">
        <v>20.759999999999998</v>
      </c>
      <c r="V51" s="298">
        <v>24.21</v>
      </c>
      <c r="W51" s="298">
        <v>27.67</v>
      </c>
      <c r="X51" s="298">
        <v>31.130000000000003</v>
      </c>
      <c r="Y51" s="298">
        <v>34.590000000000003</v>
      </c>
      <c r="Z51" s="298">
        <v>38.050000000000004</v>
      </c>
      <c r="AA51" s="492"/>
      <c r="AB51" s="492"/>
      <c r="AC51" s="492"/>
      <c r="AD51" s="492"/>
      <c r="AE51" s="492"/>
      <c r="AF51" s="492"/>
      <c r="AG51" s="492"/>
      <c r="AH51" s="492"/>
      <c r="AI51" s="492"/>
      <c r="AJ51" s="492"/>
      <c r="AK51" s="45"/>
      <c r="AL51" s="45"/>
      <c r="AM51" s="45"/>
      <c r="AN51" s="45"/>
      <c r="AO51" s="45"/>
      <c r="AP51" s="45"/>
      <c r="AQ51" s="46"/>
    </row>
    <row r="52" spans="1:59" ht="16.5" thickBot="1" x14ac:dyDescent="0.3">
      <c r="B52" s="57"/>
      <c r="C52" s="91"/>
      <c r="D52" s="89"/>
      <c r="E52" s="86"/>
      <c r="F52" s="86"/>
      <c r="G52" s="103"/>
      <c r="H52" s="89"/>
      <c r="I52" s="87"/>
      <c r="J52" s="51"/>
      <c r="K52" s="51"/>
      <c r="L52" s="54"/>
      <c r="N52" s="79"/>
      <c r="O52" s="124">
        <f t="shared" si="153"/>
        <v>42</v>
      </c>
      <c r="P52" s="184">
        <v>8</v>
      </c>
      <c r="Q52" s="491"/>
      <c r="R52" s="298">
        <v>12.2</v>
      </c>
      <c r="S52" s="298">
        <v>16.29</v>
      </c>
      <c r="T52" s="298">
        <v>20.38</v>
      </c>
      <c r="U52" s="298">
        <v>24.47</v>
      </c>
      <c r="V52" s="298">
        <v>28.56</v>
      </c>
      <c r="W52" s="298">
        <v>32.65</v>
      </c>
      <c r="X52" s="298">
        <v>36.739999999999995</v>
      </c>
      <c r="Y52" s="298">
        <v>40.83</v>
      </c>
      <c r="Z52" s="298">
        <v>44.92</v>
      </c>
      <c r="AA52" s="492"/>
      <c r="AB52" s="492"/>
      <c r="AC52" s="492"/>
      <c r="AD52" s="492"/>
      <c r="AE52" s="492"/>
      <c r="AF52" s="492"/>
      <c r="AG52" s="492"/>
      <c r="AH52" s="492"/>
      <c r="AI52" s="492"/>
      <c r="AJ52" s="492"/>
      <c r="AK52" s="45"/>
      <c r="AL52" s="117"/>
      <c r="AM52" s="117" t="e">
        <f>D69</f>
        <v>#VALUE!</v>
      </c>
      <c r="AN52" s="118" t="e">
        <f>C63</f>
        <v>#VALUE!</v>
      </c>
      <c r="AO52" s="117" t="e">
        <f>E69</f>
        <v>#VALUE!</v>
      </c>
      <c r="AP52" s="45"/>
      <c r="AQ52" s="46"/>
    </row>
    <row r="53" spans="1:59" ht="16.5" thickBot="1" x14ac:dyDescent="0.3">
      <c r="A53" s="71"/>
      <c r="B53" s="57"/>
      <c r="C53" s="51"/>
      <c r="D53" s="51"/>
      <c r="E53" s="51"/>
      <c r="F53" s="51"/>
      <c r="G53" s="51"/>
      <c r="H53" s="51"/>
      <c r="I53" s="51"/>
      <c r="J53" s="51"/>
      <c r="K53" s="51"/>
      <c r="L53" s="54"/>
      <c r="N53" s="79"/>
      <c r="O53" s="124">
        <f t="shared" si="153"/>
        <v>48</v>
      </c>
      <c r="P53" s="184">
        <v>9</v>
      </c>
      <c r="Q53" s="491"/>
      <c r="R53" s="298">
        <v>13.55</v>
      </c>
      <c r="S53" s="298">
        <v>17.96</v>
      </c>
      <c r="T53" s="298">
        <v>22.37</v>
      </c>
      <c r="U53" s="298">
        <v>26.78</v>
      </c>
      <c r="V53" s="298">
        <v>31.17</v>
      </c>
      <c r="W53" s="298">
        <v>35.58</v>
      </c>
      <c r="X53" s="298">
        <v>39.989999999999995</v>
      </c>
      <c r="Y53" s="298">
        <v>44.399999999999991</v>
      </c>
      <c r="Z53" s="298">
        <v>48.809999999999988</v>
      </c>
      <c r="AA53" s="492"/>
      <c r="AB53" s="492"/>
      <c r="AC53" s="492"/>
      <c r="AD53" s="492"/>
      <c r="AE53" s="492"/>
      <c r="AF53" s="492"/>
      <c r="AG53" s="492"/>
      <c r="AH53" s="492"/>
      <c r="AI53" s="492"/>
      <c r="AJ53" s="492"/>
      <c r="AK53" s="45"/>
      <c r="AL53" s="117" t="e">
        <f>H69</f>
        <v>#VALUE!</v>
      </c>
      <c r="AM53" s="118" t="e">
        <f>INDEX(P45:AJ65,$H$70,$D$70)</f>
        <v>#VALUE!</v>
      </c>
      <c r="AN53" s="118" t="e">
        <f>(((AN52-AM52)/(AO52-AM52))*(AO53-AM53))+AM53</f>
        <v>#VALUE!</v>
      </c>
      <c r="AO53" s="118" t="e">
        <f>INDEX(P45:AJ65,$H$70,$E$70)</f>
        <v>#VALUE!</v>
      </c>
      <c r="AP53" s="45"/>
      <c r="AQ53" s="46"/>
    </row>
    <row r="54" spans="1:59" ht="21.75" thickBot="1" x14ac:dyDescent="0.4">
      <c r="B54" s="151" t="s">
        <v>57</v>
      </c>
      <c r="C54" s="51"/>
      <c r="D54" s="2"/>
      <c r="E54" s="51"/>
      <c r="F54" s="51"/>
      <c r="G54" s="51"/>
      <c r="H54" s="51"/>
      <c r="I54" s="108"/>
      <c r="J54" s="108"/>
      <c r="K54" s="108"/>
      <c r="L54" s="54"/>
      <c r="N54" s="79"/>
      <c r="O54" s="124">
        <f t="shared" si="153"/>
        <v>54</v>
      </c>
      <c r="P54" s="184">
        <v>10</v>
      </c>
      <c r="Q54" s="491"/>
      <c r="R54" s="298">
        <v>15.38</v>
      </c>
      <c r="S54" s="298">
        <v>20.41</v>
      </c>
      <c r="T54" s="298">
        <v>25.439999999999998</v>
      </c>
      <c r="U54" s="298">
        <v>30.47</v>
      </c>
      <c r="V54" s="298">
        <v>35.520000000000003</v>
      </c>
      <c r="W54" s="298">
        <v>40.550000000000004</v>
      </c>
      <c r="X54" s="298">
        <v>45.580000000000005</v>
      </c>
      <c r="Y54" s="298">
        <v>50.610000000000007</v>
      </c>
      <c r="Z54" s="298">
        <v>55.640000000000008</v>
      </c>
      <c r="AA54" s="492"/>
      <c r="AB54" s="492"/>
      <c r="AC54" s="492"/>
      <c r="AD54" s="492"/>
      <c r="AE54" s="492"/>
      <c r="AF54" s="492"/>
      <c r="AG54" s="492"/>
      <c r="AH54" s="492"/>
      <c r="AI54" s="492"/>
      <c r="AJ54" s="492"/>
      <c r="AK54" s="45"/>
      <c r="AL54" s="413" t="e">
        <f>C64</f>
        <v>#VALUE!</v>
      </c>
      <c r="AM54" s="118" t="e">
        <f>(((AL54-AL53)/(AL55-AL53))*(AM55-AM53))+AM53</f>
        <v>#VALUE!</v>
      </c>
      <c r="AN54" s="119" t="e">
        <f>IF(AND(AN52&gt;72,AL54&gt;72),5/0,IF(AN52=120,AM54,(((AN53-AM53)/(AO53-AM53))*(AO54-AM54))+AM54))</f>
        <v>#VALUE!</v>
      </c>
      <c r="AO54" s="118" t="e">
        <f>(((AL54-AL53)/(AL55-AL53))*(AO55-AO53))+AO53</f>
        <v>#VALUE!</v>
      </c>
      <c r="AP54" s="45"/>
      <c r="AQ54" s="46"/>
    </row>
    <row r="55" spans="1:59" ht="19.5" thickBot="1" x14ac:dyDescent="0.35">
      <c r="B55" s="57"/>
      <c r="C55" s="51"/>
      <c r="D55" s="83"/>
      <c r="E55" s="83" t="e">
        <f>D50</f>
        <v>#VALUE!</v>
      </c>
      <c r="F55" s="104" t="e">
        <f>C44</f>
        <v>#VALUE!</v>
      </c>
      <c r="G55" s="83" t="e">
        <f>E50</f>
        <v>#VALUE!</v>
      </c>
      <c r="H55" s="51"/>
      <c r="I55" s="108"/>
      <c r="J55" s="108"/>
      <c r="K55" s="108"/>
      <c r="L55" s="54"/>
      <c r="N55" s="79"/>
      <c r="O55" s="124">
        <f t="shared" si="153"/>
        <v>60</v>
      </c>
      <c r="P55" s="184">
        <v>11</v>
      </c>
      <c r="Q55" s="491"/>
      <c r="R55" s="298">
        <v>16.73</v>
      </c>
      <c r="S55" s="298">
        <v>22.08</v>
      </c>
      <c r="T55" s="298">
        <v>27.429999999999996</v>
      </c>
      <c r="U55" s="298">
        <v>32.779999999999994</v>
      </c>
      <c r="V55" s="298">
        <v>38.130000000000003</v>
      </c>
      <c r="W55" s="298">
        <v>43.480000000000004</v>
      </c>
      <c r="X55" s="298">
        <v>48.83</v>
      </c>
      <c r="Y55" s="298">
        <v>54.179999999999993</v>
      </c>
      <c r="Z55" s="298">
        <v>59.529999999999987</v>
      </c>
      <c r="AA55" s="492"/>
      <c r="AB55" s="492"/>
      <c r="AC55" s="492"/>
      <c r="AD55" s="492"/>
      <c r="AE55" s="492"/>
      <c r="AF55" s="492"/>
      <c r="AG55" s="492"/>
      <c r="AH55" s="492"/>
      <c r="AI55" s="492"/>
      <c r="AJ55" s="492"/>
      <c r="AK55" s="45"/>
      <c r="AL55" s="117" t="e">
        <f>I69</f>
        <v>#VALUE!</v>
      </c>
      <c r="AM55" s="118" t="e">
        <f>INDEX(P45:AJ65,$I$70,$D$70)</f>
        <v>#VALUE!</v>
      </c>
      <c r="AN55" s="118" t="e">
        <f>(((AN52-AM52)/(AO52-AM52))*(AO55-AM55))+AM55</f>
        <v>#VALUE!</v>
      </c>
      <c r="AO55" s="118" t="e">
        <f>INDEX(P45:AJ65,$I$70,$E$70)</f>
        <v>#VALUE!</v>
      </c>
      <c r="AP55" s="185"/>
      <c r="AQ55" s="46"/>
    </row>
    <row r="56" spans="1:59" ht="19.5" thickBot="1" x14ac:dyDescent="0.35">
      <c r="B56" s="57"/>
      <c r="C56" s="51"/>
      <c r="D56" s="83" t="e">
        <f>H50</f>
        <v>#VALUE!</v>
      </c>
      <c r="E56" s="105" t="e">
        <f>INDEX(C17:W37,$H$51,$D$51)</f>
        <v>#VALUE!</v>
      </c>
      <c r="F56" s="105" t="e">
        <f>(((F55-E55)/(G55-E55))*(G56-E56))+E56</f>
        <v>#VALUE!</v>
      </c>
      <c r="G56" s="105" t="e">
        <f>INDEX(C17:W37,$H$51,$E$51)</f>
        <v>#VALUE!</v>
      </c>
      <c r="H56" s="51"/>
      <c r="I56" s="108" t="s">
        <v>43</v>
      </c>
      <c r="J56" s="108" t="e">
        <f>F57*(C3*C5)/144</f>
        <v>#VALUE!</v>
      </c>
      <c r="K56" s="108" t="s">
        <v>42</v>
      </c>
      <c r="L56" s="54"/>
      <c r="N56" s="79"/>
      <c r="O56" s="124">
        <f t="shared" si="153"/>
        <v>66</v>
      </c>
      <c r="P56" s="184">
        <v>12</v>
      </c>
      <c r="Q56" s="491"/>
      <c r="R56" s="298">
        <v>18.55</v>
      </c>
      <c r="S56" s="298">
        <v>24.53</v>
      </c>
      <c r="T56" s="298">
        <v>30.51</v>
      </c>
      <c r="U56" s="298">
        <v>36.49</v>
      </c>
      <c r="V56" s="298">
        <v>42.48</v>
      </c>
      <c r="W56" s="298">
        <v>48.459999999999994</v>
      </c>
      <c r="X56" s="298">
        <v>54.44</v>
      </c>
      <c r="Y56" s="298">
        <v>60.42</v>
      </c>
      <c r="Z56" s="298">
        <v>66.400000000000006</v>
      </c>
      <c r="AA56" s="492"/>
      <c r="AB56" s="492"/>
      <c r="AC56" s="492"/>
      <c r="AD56" s="492"/>
      <c r="AE56" s="492"/>
      <c r="AF56" s="492"/>
      <c r="AG56" s="492"/>
      <c r="AH56" s="492"/>
      <c r="AI56" s="492"/>
      <c r="AJ56" s="492"/>
      <c r="AK56" s="45"/>
      <c r="AL56" s="327"/>
      <c r="AM56" s="327"/>
      <c r="AN56" s="327"/>
      <c r="AO56" s="327"/>
      <c r="AP56" s="327"/>
      <c r="AQ56" s="46"/>
    </row>
    <row r="57" spans="1:59" ht="19.5" thickBot="1" x14ac:dyDescent="0.35">
      <c r="B57" s="57"/>
      <c r="C57" s="51"/>
      <c r="D57" s="83" t="e">
        <f>C45</f>
        <v>#VALUE!</v>
      </c>
      <c r="E57" s="105" t="e">
        <f>(((D57-D56)/(D58-D56))*(E58-E56))+E56</f>
        <v>#VALUE!</v>
      </c>
      <c r="F57" s="106" t="e">
        <f>IF(AND(F55&gt;72,D57&gt;72),5/0,IF(F55=120,E57,(((F56-E56)/(G56-E56))*(G57-E57))+E57))</f>
        <v>#VALUE!</v>
      </c>
      <c r="G57" s="105" t="e">
        <f>(((D57-D56)/(D58-D56))*(G58-G56))+G56</f>
        <v>#VALUE!</v>
      </c>
      <c r="H57" s="51"/>
      <c r="I57" s="108"/>
      <c r="J57" s="108"/>
      <c r="K57" s="108"/>
      <c r="L57" s="54"/>
      <c r="N57" s="79"/>
      <c r="O57" s="124">
        <f t="shared" si="153"/>
        <v>72</v>
      </c>
      <c r="P57" s="184">
        <v>13</v>
      </c>
      <c r="Q57" s="491"/>
      <c r="R57" s="298">
        <v>19.899999999999999</v>
      </c>
      <c r="S57" s="298">
        <v>26.2</v>
      </c>
      <c r="T57" s="298">
        <v>32.5</v>
      </c>
      <c r="U57" s="298">
        <v>38.799999999999997</v>
      </c>
      <c r="V57" s="298">
        <v>45.09</v>
      </c>
      <c r="W57" s="298">
        <v>51.39</v>
      </c>
      <c r="X57" s="298">
        <v>57.69</v>
      </c>
      <c r="Y57" s="298">
        <v>63.989999999999995</v>
      </c>
      <c r="Z57" s="298">
        <v>70.289999999999992</v>
      </c>
      <c r="AA57" s="492"/>
      <c r="AB57" s="492"/>
      <c r="AC57" s="492"/>
      <c r="AD57" s="492"/>
      <c r="AE57" s="492"/>
      <c r="AF57" s="492"/>
      <c r="AG57" s="492"/>
      <c r="AH57" s="492"/>
      <c r="AI57" s="492"/>
      <c r="AJ57" s="492"/>
      <c r="AK57" s="45"/>
      <c r="AL57" s="45"/>
      <c r="AM57" s="327"/>
      <c r="AN57" s="186"/>
      <c r="AO57" s="185"/>
      <c r="AP57" s="325"/>
      <c r="AQ57" s="46"/>
    </row>
    <row r="58" spans="1:59" ht="19.5" thickBot="1" x14ac:dyDescent="0.35">
      <c r="B58" s="57"/>
      <c r="C58" s="51"/>
      <c r="D58" s="83" t="e">
        <f>I50</f>
        <v>#VALUE!</v>
      </c>
      <c r="E58" s="105" t="e">
        <f>INDEX(C17:W37,$I$51,$D$51)</f>
        <v>#VALUE!</v>
      </c>
      <c r="F58" s="105" t="e">
        <f>(((F55-E55)/(G55-E55))*(G58-E58))+E58</f>
        <v>#VALUE!</v>
      </c>
      <c r="G58" s="105" t="e">
        <f>INDEX(C17:W37,$I$51,$E$51)</f>
        <v>#VALUE!</v>
      </c>
      <c r="H58" s="51"/>
      <c r="I58" s="108"/>
      <c r="J58" s="108"/>
      <c r="K58" s="108"/>
      <c r="L58" s="54"/>
      <c r="N58" s="79"/>
      <c r="O58" s="124">
        <f t="shared" si="153"/>
        <v>78</v>
      </c>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AN49</f>
        <v>#VALUE!</v>
      </c>
      <c r="AP58" s="325" t="s">
        <v>141</v>
      </c>
      <c r="AQ58" s="46"/>
    </row>
    <row r="59" spans="1:59" ht="19.5" thickBot="1" x14ac:dyDescent="0.35">
      <c r="B59" s="57"/>
      <c r="C59" s="51"/>
      <c r="D59" s="51"/>
      <c r="E59" s="51"/>
      <c r="F59" s="51"/>
      <c r="G59" s="51"/>
      <c r="H59" s="51"/>
      <c r="I59" s="108"/>
      <c r="J59" s="108"/>
      <c r="K59" s="108"/>
      <c r="L59" s="54"/>
      <c r="N59" s="79"/>
      <c r="O59" s="124">
        <f t="shared" si="153"/>
        <v>84</v>
      </c>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AN54</f>
        <v>#VALUE!</v>
      </c>
      <c r="AP59" s="185" t="s">
        <v>141</v>
      </c>
      <c r="AQ59" s="77"/>
    </row>
    <row r="60" spans="1:59" ht="15.75" thickBot="1" x14ac:dyDescent="0.3">
      <c r="B60" s="57"/>
      <c r="C60" s="51"/>
      <c r="D60" s="51"/>
      <c r="E60" s="51"/>
      <c r="F60" s="51"/>
      <c r="G60" s="51"/>
      <c r="H60" s="51"/>
      <c r="I60" s="51"/>
      <c r="J60" s="51"/>
      <c r="K60" s="51"/>
      <c r="L60" s="54"/>
      <c r="N60" s="79"/>
      <c r="O60" s="124">
        <f t="shared" si="153"/>
        <v>90</v>
      </c>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59" ht="15.75" thickBot="1" x14ac:dyDescent="0.3">
      <c r="B61" s="57"/>
      <c r="C61" s="51"/>
      <c r="D61" s="51"/>
      <c r="E61" s="51"/>
      <c r="F61" s="51"/>
      <c r="G61" s="51"/>
      <c r="H61" s="51"/>
      <c r="I61" s="51"/>
      <c r="J61" s="51"/>
      <c r="K61" s="51"/>
      <c r="L61" s="54"/>
      <c r="N61" s="79"/>
      <c r="O61" s="124">
        <f t="shared" si="153"/>
        <v>96</v>
      </c>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59" ht="15.75" thickBot="1" x14ac:dyDescent="0.3">
      <c r="A62" s="1"/>
      <c r="B62" s="51"/>
      <c r="C62" s="51"/>
      <c r="D62" s="51"/>
      <c r="E62" s="51"/>
      <c r="F62" s="51"/>
      <c r="G62" s="51"/>
      <c r="H62" s="51"/>
      <c r="I62" s="51"/>
      <c r="J62" s="51"/>
      <c r="K62" s="51"/>
      <c r="L62" s="54"/>
      <c r="N62" s="79"/>
      <c r="O62" s="124">
        <f t="shared" si="153"/>
        <v>102</v>
      </c>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9.5" thickBot="1" x14ac:dyDescent="0.35">
      <c r="A63" s="1"/>
      <c r="B63" s="150" t="s">
        <v>38</v>
      </c>
      <c r="C63" s="112" t="e">
        <f>F10</f>
        <v>#VALUE!</v>
      </c>
      <c r="D63" s="51"/>
      <c r="E63" s="51"/>
      <c r="F63" s="51"/>
      <c r="G63" s="51"/>
      <c r="H63" s="51"/>
      <c r="I63" s="51"/>
      <c r="J63" s="51"/>
      <c r="K63" s="51"/>
      <c r="L63" s="54"/>
      <c r="N63" s="79"/>
      <c r="O63" s="124">
        <f t="shared" si="153"/>
        <v>108</v>
      </c>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9.5" thickBot="1" x14ac:dyDescent="0.35">
      <c r="B64" s="150" t="s">
        <v>39</v>
      </c>
      <c r="C64" s="112" t="e">
        <f>I10</f>
        <v>#VALUE!</v>
      </c>
      <c r="D64" s="2"/>
      <c r="E64" s="51"/>
      <c r="F64" s="51"/>
      <c r="G64" s="51"/>
      <c r="H64" s="51"/>
      <c r="I64" s="51"/>
      <c r="J64" s="51"/>
      <c r="K64" s="51"/>
      <c r="L64" s="54"/>
      <c r="N64" s="79"/>
      <c r="O64" s="124">
        <f t="shared" si="153"/>
        <v>114</v>
      </c>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21.75" thickBot="1" x14ac:dyDescent="0.4">
      <c r="B65" s="454" t="s">
        <v>63</v>
      </c>
      <c r="C65" s="51"/>
      <c r="D65" s="51"/>
      <c r="E65" s="51"/>
      <c r="F65" s="51"/>
      <c r="G65" s="51"/>
      <c r="H65" s="51"/>
      <c r="I65" s="51"/>
      <c r="J65" s="51"/>
      <c r="K65" s="51"/>
      <c r="L65" s="54"/>
      <c r="N65" s="79"/>
      <c r="O65" s="124">
        <f t="shared" si="153"/>
        <v>120</v>
      </c>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57"/>
      <c r="C66" s="2"/>
      <c r="D66" s="51"/>
      <c r="E66" s="51"/>
      <c r="F66" s="51"/>
      <c r="G66" s="51"/>
      <c r="H66" s="51"/>
      <c r="I66" s="51"/>
      <c r="J66" s="51"/>
      <c r="K66" s="51"/>
      <c r="L66" s="54"/>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57"/>
      <c r="C67" s="96"/>
      <c r="D67" s="97" t="s">
        <v>32</v>
      </c>
      <c r="E67" s="98"/>
      <c r="F67" s="98"/>
      <c r="G67" s="100"/>
      <c r="H67" s="97" t="s">
        <v>33</v>
      </c>
      <c r="I67" s="99"/>
      <c r="J67" s="51"/>
      <c r="K67" s="51"/>
      <c r="L67" s="54"/>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57"/>
      <c r="C68" s="92"/>
      <c r="D68" s="93" t="s">
        <v>64</v>
      </c>
      <c r="E68" s="94" t="s">
        <v>65</v>
      </c>
      <c r="F68" s="94"/>
      <c r="G68" s="101"/>
      <c r="H68" s="93" t="s">
        <v>64</v>
      </c>
      <c r="I68" s="95" t="s">
        <v>65</v>
      </c>
      <c r="J68" s="51"/>
      <c r="K68" s="51"/>
      <c r="L68" s="54"/>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57"/>
      <c r="C69" s="90"/>
      <c r="D69" s="88" t="e">
        <f>IF(AND(C63&lt;12,C63&gt;=H3),H3,FLOOR(C63/6,1)*6)</f>
        <v>#VALUE!</v>
      </c>
      <c r="E69" s="84" t="e">
        <f>IF(D69&lt;12,12,D69+6)</f>
        <v>#VALUE!</v>
      </c>
      <c r="F69" s="84"/>
      <c r="G69" s="102"/>
      <c r="H69" s="88" t="e">
        <f>IF(AND(C64&lt;12,C64&gt;=H5),H5,FLOOR(C64/6,1)*6)</f>
        <v>#VALUE!</v>
      </c>
      <c r="I69" s="85" t="e">
        <f>IF(H69&lt;12,12,H69+6)</f>
        <v>#VALUE!</v>
      </c>
      <c r="J69" s="51"/>
      <c r="K69" s="51"/>
      <c r="L69" s="54"/>
      <c r="BG69" s="2"/>
      <c r="BH69" s="2"/>
    </row>
    <row r="70" spans="1:79" ht="24" thickBot="1" x14ac:dyDescent="0.4">
      <c r="A70" s="2"/>
      <c r="B70" s="57"/>
      <c r="C70" s="90" t="s">
        <v>34</v>
      </c>
      <c r="D70" s="88" t="e">
        <f>HLOOKUP(D69,C16:W17,2)</f>
        <v>#VALUE!</v>
      </c>
      <c r="E70" s="84" t="e">
        <f>HLOOKUP(E69,C16:W17,2)</f>
        <v>#VALUE!</v>
      </c>
      <c r="F70" s="84"/>
      <c r="G70" s="102" t="s">
        <v>35</v>
      </c>
      <c r="H70" s="88" t="e">
        <f>VLOOKUP(H69,B17:C37,2)</f>
        <v>#VALUE!</v>
      </c>
      <c r="I70" s="85" t="e">
        <f>VLOOKUP(I69,B17:C37,2)</f>
        <v>#VALUE!</v>
      </c>
      <c r="J70" s="51"/>
      <c r="K70" s="51"/>
      <c r="L70" s="54"/>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57"/>
      <c r="C71" s="91"/>
      <c r="D71" s="89"/>
      <c r="E71" s="86"/>
      <c r="F71" s="86"/>
      <c r="G71" s="103"/>
      <c r="H71" s="89"/>
      <c r="I71" s="87"/>
      <c r="J71" s="51"/>
      <c r="K71" s="51"/>
      <c r="L71" s="54"/>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57"/>
      <c r="C72" s="51"/>
      <c r="D72" s="51"/>
      <c r="E72" s="51"/>
      <c r="F72" s="51"/>
      <c r="G72" s="51"/>
      <c r="H72" s="51"/>
      <c r="I72" s="51"/>
      <c r="J72" s="51"/>
      <c r="K72" s="51"/>
      <c r="L72" s="54"/>
      <c r="N72" s="997"/>
      <c r="O72" s="423" t="s">
        <v>243</v>
      </c>
      <c r="P72" s="422"/>
      <c r="Q72" s="40"/>
      <c r="R72" s="423" t="s">
        <v>248</v>
      </c>
      <c r="S72" s="40"/>
      <c r="T72" s="40"/>
      <c r="U72" s="423" t="s">
        <v>249</v>
      </c>
      <c r="V72" s="40"/>
      <c r="W72" s="169"/>
      <c r="X72" s="193"/>
      <c r="Y72" s="41"/>
      <c r="Z72" s="496" t="s">
        <v>149</v>
      </c>
      <c r="AA72" s="40"/>
      <c r="AB72" s="40" t="e">
        <f>(AO58*D12*2)+(AO59*G12*2)</f>
        <v>#VALUE!</v>
      </c>
      <c r="AC72" s="40" t="s">
        <v>141</v>
      </c>
      <c r="AD72" s="415"/>
      <c r="AE72" s="40"/>
      <c r="AF72" s="40"/>
      <c r="AG72" s="40"/>
      <c r="AH72" s="40"/>
      <c r="AI72" s="40"/>
      <c r="AJ72" s="169"/>
      <c r="BF72" s="2"/>
      <c r="BG72" s="2"/>
    </row>
    <row r="73" spans="1:79" ht="21" x14ac:dyDescent="0.35">
      <c r="A73" s="2"/>
      <c r="B73" s="151" t="s">
        <v>57</v>
      </c>
      <c r="C73" s="51"/>
      <c r="D73" s="2"/>
      <c r="E73" s="51"/>
      <c r="F73" s="51"/>
      <c r="G73" s="51"/>
      <c r="H73" s="51"/>
      <c r="I73" s="51"/>
      <c r="J73" s="51"/>
      <c r="K73" s="51"/>
      <c r="L73" s="54"/>
      <c r="N73" s="504"/>
      <c r="O73" s="223" t="s">
        <v>142</v>
      </c>
      <c r="P73" s="40">
        <v>0.13619999999999999</v>
      </c>
      <c r="Q73" s="40" t="s">
        <v>139</v>
      </c>
      <c r="R73" s="40" t="s">
        <v>313</v>
      </c>
      <c r="S73" s="40">
        <f>0.5</f>
        <v>0.5</v>
      </c>
      <c r="T73" s="40" t="s">
        <v>141</v>
      </c>
      <c r="U73" s="581" t="str">
        <f>IF(C4&gt;107.815,"GA_8.25",IF(AND(C3&lt;=107.815,C4&lt;=35.815),"OP_8.25","SE_8.25"))</f>
        <v>GA_8.25</v>
      </c>
      <c r="V73" s="583" t="e">
        <f>INDEX(BC_ROOF!J2:K10, MATCH(U73,BC_ROOF!J2:J10,0),2)</f>
        <v>#VALUE!</v>
      </c>
      <c r="W73" s="169" t="s">
        <v>141</v>
      </c>
      <c r="X73" s="193"/>
      <c r="Y73" s="41"/>
      <c r="Z73" s="496" t="s">
        <v>247</v>
      </c>
      <c r="AA73" s="40"/>
      <c r="AB73" s="415" t="e">
        <f>P76</f>
        <v>#VALUE!</v>
      </c>
      <c r="AC73" s="40" t="s">
        <v>141</v>
      </c>
      <c r="AD73" s="40"/>
      <c r="AE73" s="40"/>
      <c r="AF73" s="40"/>
      <c r="AG73" s="40"/>
      <c r="AH73" s="40"/>
      <c r="AI73" s="40"/>
      <c r="AJ73" s="169"/>
      <c r="BF73" s="2"/>
    </row>
    <row r="74" spans="1:79" ht="15.75" x14ac:dyDescent="0.25">
      <c r="A74" s="2"/>
      <c r="B74" s="57"/>
      <c r="C74" s="51"/>
      <c r="D74" s="83"/>
      <c r="E74" s="83" t="e">
        <f>D69</f>
        <v>#VALUE!</v>
      </c>
      <c r="F74" s="104" t="e">
        <f>C63</f>
        <v>#VALUE!</v>
      </c>
      <c r="G74" s="83" t="e">
        <f>E69</f>
        <v>#VALUE!</v>
      </c>
      <c r="H74" s="51"/>
      <c r="I74" s="51"/>
      <c r="J74" s="51"/>
      <c r="K74" s="51"/>
      <c r="L74" s="54"/>
      <c r="N74" s="420"/>
      <c r="O74" s="40" t="s">
        <v>231</v>
      </c>
      <c r="P74" s="40" t="str">
        <f>C5</f>
        <v>ENTER HEIGHT</v>
      </c>
      <c r="Q74" s="40" t="s">
        <v>151</v>
      </c>
      <c r="R74" s="40" t="s">
        <v>244</v>
      </c>
      <c r="S74" s="40" t="e">
        <f>D13</f>
        <v>#VALUE!</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57"/>
      <c r="C75" s="51"/>
      <c r="D75" s="83" t="e">
        <f>H69</f>
        <v>#VALUE!</v>
      </c>
      <c r="E75" s="105" t="e">
        <f>INDEX(C17:W37,$H$70,$D$70)</f>
        <v>#VALUE!</v>
      </c>
      <c r="F75" s="105" t="e">
        <f>(((F74-E74)/(G74-E74))*(G75-E75))+E75</f>
        <v>#VALUE!</v>
      </c>
      <c r="G75" s="105" t="e">
        <f>INDEX(C17:W37,$H$70,$E$70)</f>
        <v>#VALUE!</v>
      </c>
      <c r="H75" s="51"/>
      <c r="I75" s="51"/>
      <c r="J75" s="51"/>
      <c r="K75" s="51"/>
      <c r="L75" s="54"/>
      <c r="N75" s="41"/>
      <c r="O75" s="40"/>
      <c r="P75" s="40"/>
      <c r="Q75" s="40"/>
      <c r="R75" s="40"/>
      <c r="S75" s="40"/>
      <c r="T75" s="40"/>
      <c r="U75" s="40"/>
      <c r="V75" s="40"/>
      <c r="W75" s="169"/>
      <c r="X75" s="193"/>
      <c r="Y75" s="41"/>
      <c r="Z75" s="496" t="s">
        <v>248</v>
      </c>
      <c r="AA75" s="40"/>
      <c r="AB75" s="40" t="e">
        <f>S76</f>
        <v>#VALUE!</v>
      </c>
      <c r="AC75" s="40" t="s">
        <v>141</v>
      </c>
      <c r="AD75" s="40"/>
      <c r="AE75" s="40"/>
      <c r="AF75" s="40"/>
      <c r="AG75" s="40"/>
      <c r="AH75" s="40"/>
      <c r="AI75" s="40"/>
      <c r="AJ75" s="169"/>
    </row>
    <row r="76" spans="1:79" ht="18.75" x14ac:dyDescent="0.3">
      <c r="A76" s="2"/>
      <c r="B76" s="57"/>
      <c r="C76" s="51"/>
      <c r="D76" s="83" t="e">
        <f>C64</f>
        <v>#VALUE!</v>
      </c>
      <c r="E76" s="105" t="e">
        <f>(((D76-D75)/(D77-D75))*(E77-E75))+E75</f>
        <v>#VALUE!</v>
      </c>
      <c r="F76" s="106" t="e">
        <f>IF(AND(F74&gt;72,D76&gt;72),5/0,IF(F74=120,E76,(((F75-E75)/(G75-E75))*(G76-E76))+E76))</f>
        <v>#VALUE!</v>
      </c>
      <c r="G76" s="105" t="e">
        <f>(((D76-D75)/(D77-D75))*(G77-G75))+G75</f>
        <v>#VALUE!</v>
      </c>
      <c r="H76" s="51"/>
      <c r="I76" s="108" t="s">
        <v>43</v>
      </c>
      <c r="J76" s="108" t="e">
        <f>F76*(C4*C5)/144</f>
        <v>#VALUE!</v>
      </c>
      <c r="K76" s="108" t="s">
        <v>42</v>
      </c>
      <c r="L76" s="54"/>
      <c r="N76" s="41"/>
      <c r="O76" s="499" t="s">
        <v>247</v>
      </c>
      <c r="P76" s="40" t="e">
        <f>4*(P73*P74)</f>
        <v>#VALUE!</v>
      </c>
      <c r="Q76" s="40" t="s">
        <v>141</v>
      </c>
      <c r="R76" s="495" t="s">
        <v>248</v>
      </c>
      <c r="S76" s="40" t="e">
        <f>S74*2*S73</f>
        <v>#VALUE!</v>
      </c>
      <c r="T76" s="40" t="s">
        <v>141</v>
      </c>
      <c r="U76" s="582" t="s">
        <v>249</v>
      </c>
      <c r="V76" s="583" t="e">
        <f>V73</f>
        <v>#VALUE!</v>
      </c>
      <c r="W76" s="169" t="s">
        <v>141</v>
      </c>
      <c r="X76" s="193"/>
      <c r="Y76" s="41"/>
      <c r="Z76" s="496" t="s">
        <v>245</v>
      </c>
      <c r="AA76" s="40"/>
      <c r="AB76" s="40" t="e">
        <f>S83</f>
        <v>#VALUE!</v>
      </c>
      <c r="AC76" s="40" t="s">
        <v>141</v>
      </c>
      <c r="AD76" s="40"/>
      <c r="AE76" s="40"/>
      <c r="AF76" s="40"/>
      <c r="AG76" s="40"/>
      <c r="AH76" s="40"/>
      <c r="AI76" s="40"/>
      <c r="AJ76" s="169"/>
      <c r="BS76" s="2"/>
      <c r="BT76" s="2"/>
      <c r="BU76" s="2"/>
      <c r="BV76" s="2"/>
      <c r="BW76" s="2"/>
      <c r="BX76" s="2"/>
      <c r="BY76" s="2"/>
      <c r="BZ76" s="2"/>
      <c r="CA76" s="2"/>
    </row>
    <row r="77" spans="1:79" ht="18.75" x14ac:dyDescent="0.3">
      <c r="B77" s="57"/>
      <c r="C77" s="51"/>
      <c r="D77" s="83" t="e">
        <f>I69</f>
        <v>#VALUE!</v>
      </c>
      <c r="E77" s="105" t="e">
        <f>INDEX(C17:W37,$I$70,$D$70)</f>
        <v>#VALUE!</v>
      </c>
      <c r="F77" s="105" t="e">
        <f>(((F74-E74)/(G74-E74))*(G77-E77))+E77</f>
        <v>#VALUE!</v>
      </c>
      <c r="G77" s="105" t="e">
        <f>INDEX(C17:W37,$I$70,$E$70)</f>
        <v>#VALUE!</v>
      </c>
      <c r="H77" s="51"/>
      <c r="I77" s="108"/>
      <c r="J77" s="108"/>
      <c r="K77" s="108"/>
      <c r="L77" s="54"/>
      <c r="N77" s="41"/>
      <c r="O77" s="423"/>
      <c r="P77" s="40"/>
      <c r="Q77" s="40"/>
      <c r="R77" s="40"/>
      <c r="S77" s="40"/>
      <c r="T77" s="40"/>
      <c r="U77" s="40"/>
      <c r="V77" s="40"/>
      <c r="W77" s="169"/>
      <c r="X77" s="193"/>
      <c r="Y77" s="41"/>
      <c r="Z77" s="496" t="s">
        <v>246</v>
      </c>
      <c r="AA77" s="40"/>
      <c r="AB77" s="40" t="e">
        <f>V83</f>
        <v>#VALUE!</v>
      </c>
      <c r="AC77" s="40" t="s">
        <v>141</v>
      </c>
      <c r="AD77" s="40"/>
      <c r="AE77" s="40"/>
      <c r="AF77" s="40"/>
      <c r="AG77" s="40"/>
      <c r="AH77" s="40"/>
      <c r="AI77" s="40"/>
      <c r="AJ77" s="169"/>
      <c r="BS77" s="2"/>
      <c r="BT77" s="2"/>
      <c r="BU77" s="2"/>
      <c r="BV77" s="2"/>
      <c r="BW77" s="2"/>
      <c r="BX77" s="2"/>
      <c r="BY77" s="2"/>
      <c r="BZ77" s="2"/>
      <c r="CA77" s="2"/>
    </row>
    <row r="78" spans="1:79" x14ac:dyDescent="0.25">
      <c r="B78" s="57"/>
      <c r="C78" s="51"/>
      <c r="D78" s="51"/>
      <c r="E78" s="51"/>
      <c r="F78" s="51"/>
      <c r="G78" s="51"/>
      <c r="H78" s="51"/>
      <c r="I78" s="51"/>
      <c r="J78" s="51"/>
      <c r="K78" s="51"/>
      <c r="L78" s="54"/>
      <c r="N78" s="41"/>
      <c r="O78" s="423"/>
      <c r="P78" s="40"/>
      <c r="Q78" s="40"/>
      <c r="R78" s="40"/>
      <c r="S78" s="40"/>
      <c r="T78" s="40"/>
      <c r="U78" s="40"/>
      <c r="V78" s="40"/>
      <c r="W78" s="169"/>
      <c r="X78" s="193"/>
      <c r="Y78" s="41"/>
      <c r="Z78" s="496" t="s">
        <v>249</v>
      </c>
      <c r="AA78" s="40"/>
      <c r="AB78" s="40" t="e">
        <f>V76</f>
        <v>#VALUE!</v>
      </c>
      <c r="AC78" s="40" t="s">
        <v>141</v>
      </c>
      <c r="AD78" s="40"/>
      <c r="AE78" s="40"/>
      <c r="AF78" s="40"/>
      <c r="AG78" s="40"/>
      <c r="AH78" s="40"/>
      <c r="AI78" s="40"/>
      <c r="AJ78" s="169"/>
      <c r="BS78" s="2"/>
      <c r="BT78" s="2"/>
      <c r="BU78" s="2"/>
      <c r="BV78" s="2"/>
      <c r="BW78" s="2"/>
      <c r="BX78" s="2"/>
      <c r="BY78" s="2"/>
      <c r="BZ78" s="2"/>
      <c r="CA78" s="2"/>
    </row>
    <row r="79" spans="1:79" x14ac:dyDescent="0.25">
      <c r="B79" s="57"/>
      <c r="C79" s="51"/>
      <c r="D79" s="51"/>
      <c r="E79" s="51"/>
      <c r="F79" s="51"/>
      <c r="G79" s="51"/>
      <c r="H79" s="51"/>
      <c r="I79" s="51"/>
      <c r="J79" s="51"/>
      <c r="K79" s="51"/>
      <c r="L79" s="54"/>
      <c r="N79" s="41"/>
      <c r="O79" s="423" t="s">
        <v>148</v>
      </c>
      <c r="P79" s="40"/>
      <c r="Q79" s="40"/>
      <c r="R79" s="423" t="s">
        <v>245</v>
      </c>
      <c r="S79" s="40"/>
      <c r="T79" s="40"/>
      <c r="U79" s="423" t="s">
        <v>246</v>
      </c>
      <c r="V79" s="40"/>
      <c r="W79" s="169"/>
      <c r="X79" s="193"/>
      <c r="Y79" s="41"/>
      <c r="Z79" s="40"/>
      <c r="AA79" s="40"/>
      <c r="AB79" s="40"/>
      <c r="AC79" s="40"/>
      <c r="AD79" s="40"/>
      <c r="AE79" s="40"/>
      <c r="AF79" s="40"/>
      <c r="AG79" s="40"/>
      <c r="AH79" s="40"/>
      <c r="AI79" s="40"/>
      <c r="AJ79" s="169"/>
      <c r="BS79" s="2"/>
      <c r="BT79" s="2"/>
      <c r="BU79" s="2"/>
      <c r="BV79" s="2"/>
      <c r="BW79" s="2"/>
      <c r="BX79" s="2"/>
      <c r="BY79" s="2"/>
      <c r="BZ79" s="2"/>
      <c r="CA79" s="2"/>
    </row>
    <row r="80" spans="1:79" x14ac:dyDescent="0.25">
      <c r="B80" s="57"/>
      <c r="C80" s="51"/>
      <c r="D80" s="51"/>
      <c r="E80" s="51"/>
      <c r="F80" s="51"/>
      <c r="G80" s="51"/>
      <c r="H80" s="51"/>
      <c r="I80" s="51"/>
      <c r="J80" s="51"/>
      <c r="K80" s="51"/>
      <c r="L80" s="54"/>
      <c r="N80" s="41"/>
      <c r="O80" s="223" t="s">
        <v>142</v>
      </c>
      <c r="P80" s="40">
        <v>8.9999999999999998E-4</v>
      </c>
      <c r="Q80" s="40" t="s">
        <v>147</v>
      </c>
      <c r="R80" s="40" t="s">
        <v>142</v>
      </c>
      <c r="S80" s="783">
        <f>0.0958333333333333*2</f>
        <v>0.1916666666666666</v>
      </c>
      <c r="T80" s="40" t="s">
        <v>141</v>
      </c>
      <c r="U80" s="40" t="s">
        <v>142</v>
      </c>
      <c r="V80" s="40">
        <v>4.8500000000000001E-2</v>
      </c>
      <c r="W80" s="169" t="s">
        <v>141</v>
      </c>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62" ht="21.75" thickBot="1" x14ac:dyDescent="0.4">
      <c r="B81" s="151" t="s">
        <v>66</v>
      </c>
      <c r="C81" s="51"/>
      <c r="D81" s="51"/>
      <c r="E81" s="51"/>
      <c r="F81" s="51"/>
      <c r="G81" s="51"/>
      <c r="H81" s="51"/>
      <c r="I81" s="51"/>
      <c r="J81" s="51"/>
      <c r="K81" s="51"/>
      <c r="L81" s="54"/>
      <c r="N81" s="41"/>
      <c r="O81" s="223" t="s">
        <v>152</v>
      </c>
      <c r="P81" s="40" t="e">
        <f>(C3*C5*2)+(C4*C5*2)</f>
        <v>#VALUE!</v>
      </c>
      <c r="Q81" s="40" t="s">
        <v>153</v>
      </c>
      <c r="R81" s="40" t="s">
        <v>231</v>
      </c>
      <c r="S81" s="40" t="str">
        <f>C5</f>
        <v>ENTER HEIGHT</v>
      </c>
      <c r="T81" s="40" t="s">
        <v>151</v>
      </c>
      <c r="U81" s="40" t="s">
        <v>230</v>
      </c>
      <c r="V81" s="40" t="str">
        <f>C4</f>
        <v>ENTER WIDTH</v>
      </c>
      <c r="W81" s="169" t="s">
        <v>151</v>
      </c>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62" ht="18.75" x14ac:dyDescent="0.3">
      <c r="A82" s="2"/>
      <c r="B82" s="152"/>
      <c r="C82" s="51"/>
      <c r="D82" s="107"/>
      <c r="E82" s="159"/>
      <c r="F82" s="51"/>
      <c r="G82" s="523"/>
      <c r="H82" s="524" t="s">
        <v>270</v>
      </c>
      <c r="I82" s="525"/>
      <c r="J82" s="526"/>
      <c r="K82" s="51"/>
      <c r="L82" s="54"/>
      <c r="N82" s="41"/>
      <c r="O82" s="223"/>
      <c r="P82" s="40"/>
      <c r="Q82" s="40"/>
      <c r="R82" s="40" t="s">
        <v>374</v>
      </c>
      <c r="S82" s="40">
        <f>0.93*2</f>
        <v>1.86</v>
      </c>
      <c r="T82" s="40" t="s">
        <v>141</v>
      </c>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62" ht="18.75" x14ac:dyDescent="0.3">
      <c r="A83" s="2"/>
      <c r="B83" s="152" t="s">
        <v>189</v>
      </c>
      <c r="C83" s="51"/>
      <c r="D83" s="107" t="str">
        <f>IF(OR(C3&gt;I3,C4&gt;I4,C5&gt;I5),"",(J56*2)+(J76*2))</f>
        <v/>
      </c>
      <c r="E83" s="159" t="s">
        <v>42</v>
      </c>
      <c r="F83" s="51"/>
      <c r="G83" s="518"/>
      <c r="H83" s="198" t="str">
        <f>C1&amp;"_ENG_FA"</f>
        <v>BCZE439_ENG_FA</v>
      </c>
      <c r="I83" s="107" t="e">
        <f>(J56*2)+(J76*2)</f>
        <v>#VALUE!</v>
      </c>
      <c r="J83" s="519" t="s">
        <v>42</v>
      </c>
      <c r="K83" s="51"/>
      <c r="L83" s="54"/>
      <c r="N83" s="41"/>
      <c r="O83" s="435" t="s">
        <v>148</v>
      </c>
      <c r="P83" s="415" t="e">
        <f>P80*P81</f>
        <v>#VALUE!</v>
      </c>
      <c r="Q83" s="40" t="s">
        <v>141</v>
      </c>
      <c r="R83" s="495" t="s">
        <v>245</v>
      </c>
      <c r="S83" s="40" t="e">
        <f>IF(D12&gt;=3,((S80*S81)+S82)*(D12-1),0)</f>
        <v>#VALUE!</v>
      </c>
      <c r="T83" s="40" t="s">
        <v>141</v>
      </c>
      <c r="U83" s="495" t="s">
        <v>246</v>
      </c>
      <c r="V83" s="40" t="e">
        <f>IF(D12&gt;=3,((V80*V81)*(D12-1)),0)</f>
        <v>#VALUE!</v>
      </c>
      <c r="W83" s="169" t="s">
        <v>141</v>
      </c>
      <c r="X83" s="193"/>
      <c r="Y83" s="41"/>
      <c r="Z83" s="40"/>
      <c r="AA83" s="40"/>
      <c r="AB83" s="40"/>
      <c r="AC83" s="40"/>
      <c r="AD83" s="40"/>
      <c r="AE83" s="40"/>
      <c r="AF83" s="40"/>
      <c r="AG83" s="40"/>
      <c r="AH83" s="40"/>
      <c r="AI83" s="40"/>
      <c r="AJ83" s="169"/>
      <c r="BS83" s="2"/>
      <c r="BT83" s="2"/>
      <c r="BU83" s="2"/>
      <c r="BV83" s="2"/>
      <c r="BW83" s="2"/>
      <c r="BX83" s="2"/>
      <c r="BY83" s="2"/>
      <c r="BZ83" s="2"/>
      <c r="CA83" s="2"/>
    </row>
    <row r="84" spans="1:162" ht="18.75" x14ac:dyDescent="0.3">
      <c r="A84" s="2"/>
      <c r="B84" s="152" t="s">
        <v>190</v>
      </c>
      <c r="C84" s="51"/>
      <c r="D84" s="107" t="e">
        <f>((C3*C5*2)+(C4*C5*2))/144</f>
        <v>#VALUE!</v>
      </c>
      <c r="E84" s="159" t="s">
        <v>42</v>
      </c>
      <c r="F84" s="51"/>
      <c r="G84" s="520"/>
      <c r="H84" s="198" t="str">
        <f>C1&amp;"_ENG_FACE_AREA"</f>
        <v>BCZE439_ENG_FACE_AREA</v>
      </c>
      <c r="I84" s="107" t="e">
        <f>((C3*C5*2)+(C4*C5*2))/144</f>
        <v>#VALUE!</v>
      </c>
      <c r="J84" s="519" t="s">
        <v>42</v>
      </c>
      <c r="K84" s="51"/>
      <c r="L84" s="54"/>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62" ht="18.75" x14ac:dyDescent="0.3">
      <c r="A85" s="2"/>
      <c r="B85" s="152" t="s">
        <v>191</v>
      </c>
      <c r="C85" s="51"/>
      <c r="D85" s="107" t="e">
        <f>(D83/D84)*100</f>
        <v>#VALUE!</v>
      </c>
      <c r="E85" s="159" t="s">
        <v>13</v>
      </c>
      <c r="F85" s="51"/>
      <c r="G85" s="520"/>
      <c r="H85" s="198" t="str">
        <f>C1&amp;"_ENG_FA%"</f>
        <v>BCZE439_ENG_FA%</v>
      </c>
      <c r="I85" s="107" t="e">
        <f>(I83/I84)*100</f>
        <v>#VALUE!</v>
      </c>
      <c r="J85" s="519" t="s">
        <v>13</v>
      </c>
      <c r="K85" s="51"/>
      <c r="L85" s="54"/>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62" ht="19.5" thickBot="1" x14ac:dyDescent="0.35">
      <c r="A86" s="2"/>
      <c r="B86" s="57"/>
      <c r="C86" s="82"/>
      <c r="D86" s="51"/>
      <c r="E86" s="51"/>
      <c r="F86" s="51"/>
      <c r="G86" s="520"/>
      <c r="H86" s="198" t="str">
        <f>C1&amp;"_ENG_VEL"</f>
        <v>BCZE439_ENG_VEL</v>
      </c>
      <c r="I86" s="510" t="e">
        <f>C6/I83</f>
        <v>#VALUE!</v>
      </c>
      <c r="J86" s="527" t="s">
        <v>45</v>
      </c>
      <c r="K86" s="51"/>
      <c r="L86" s="54"/>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62" ht="18.75" x14ac:dyDescent="0.3">
      <c r="B87" s="470" t="s">
        <v>68</v>
      </c>
      <c r="C87" s="40"/>
      <c r="D87" s="494" t="e">
        <f>C6/D83</f>
        <v>#VALUE!</v>
      </c>
      <c r="E87" s="159" t="s">
        <v>45</v>
      </c>
      <c r="F87" s="471"/>
      <c r="G87" s="528" t="s">
        <v>69</v>
      </c>
      <c r="H87" s="516" t="str">
        <f>C1&amp;"_ENG_P_IN"</f>
        <v>BCZE439_ENG_P_IN</v>
      </c>
      <c r="I87" s="107" t="e">
        <f>1.70654844438105E-07*I86^2 + 7.72494047896E-19* - 2.15105711021124E-16</f>
        <v>#VALUE!</v>
      </c>
      <c r="J87" s="527" t="s">
        <v>85</v>
      </c>
      <c r="K87" s="51"/>
      <c r="L87" s="54"/>
      <c r="BS87" s="2"/>
      <c r="BT87" s="2"/>
      <c r="BU87" s="2"/>
      <c r="BV87" s="2"/>
      <c r="BW87" s="2"/>
      <c r="BX87" s="2"/>
      <c r="BY87" s="2"/>
      <c r="BZ87" s="2"/>
      <c r="CA87" s="2"/>
    </row>
    <row r="88" spans="1:162" ht="19.5" thickBot="1" x14ac:dyDescent="0.35">
      <c r="B88" s="472" t="s">
        <v>69</v>
      </c>
      <c r="C88" s="473" t="s">
        <v>6</v>
      </c>
      <c r="D88" s="494" t="e">
        <f>1.61388359865628E-07*D87^2 + 3.320369153237E-18*D87 - 3.95170007827517E-15</f>
        <v>#VALUE!</v>
      </c>
      <c r="E88" s="159" t="s">
        <v>85</v>
      </c>
      <c r="F88" s="471"/>
      <c r="G88" s="521"/>
      <c r="H88" s="529" t="str">
        <f>C1&amp;"_ENG_P_EX"</f>
        <v>BCZE439_ENG_P_EX</v>
      </c>
      <c r="I88" s="530" t="e">
        <f>1.45002333746652E-07*I86^2 + 7.99599102208E-19*+ 5.27355936696949E-16</f>
        <v>#VALUE!</v>
      </c>
      <c r="J88" s="522" t="s">
        <v>85</v>
      </c>
      <c r="K88" s="51"/>
      <c r="L88" s="54"/>
      <c r="BS88" s="2"/>
      <c r="BT88" s="2"/>
      <c r="BU88" s="2"/>
      <c r="BV88" s="2"/>
      <c r="BW88" s="2"/>
      <c r="BX88" s="2"/>
      <c r="BY88" s="2"/>
      <c r="BZ88" s="2"/>
      <c r="CA88" s="2"/>
    </row>
    <row r="89" spans="1:162" ht="19.5" thickBot="1" x14ac:dyDescent="0.35">
      <c r="B89" s="474"/>
      <c r="C89" s="473" t="s">
        <v>7</v>
      </c>
      <c r="D89" s="494" t="e">
        <f>1.42647450847097E-07*D87^2+3.1170812459E-19*D87 + 9.92261828258734E-16</f>
        <v>#VALUE!</v>
      </c>
      <c r="E89" s="159" t="s">
        <v>85</v>
      </c>
      <c r="F89" s="471"/>
      <c r="G89" s="471"/>
      <c r="H89" s="51"/>
      <c r="I89" s="51"/>
      <c r="J89" s="51"/>
      <c r="K89" s="51"/>
      <c r="L89" s="54"/>
      <c r="N89" s="918"/>
      <c r="O89" s="919" t="s">
        <v>412</v>
      </c>
      <c r="P89" s="920"/>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19"/>
      <c r="BG89" s="919"/>
      <c r="BH89" s="919"/>
      <c r="BI89" s="919"/>
      <c r="BJ89" s="919"/>
      <c r="BK89" s="919"/>
      <c r="BL89" s="919"/>
      <c r="BM89" s="919"/>
      <c r="BN89" s="919"/>
      <c r="BO89" s="919"/>
      <c r="BP89" s="919"/>
      <c r="BQ89" s="919"/>
      <c r="BR89" s="919"/>
      <c r="BS89" s="919"/>
      <c r="BT89" s="919"/>
      <c r="BU89" s="919"/>
      <c r="BV89" s="919"/>
      <c r="BW89" s="919"/>
      <c r="BX89" s="919"/>
      <c r="BY89" s="919"/>
      <c r="BZ89" s="919"/>
      <c r="CA89" s="919"/>
      <c r="CB89" s="919"/>
      <c r="CC89" s="919"/>
      <c r="CD89" s="919"/>
      <c r="CE89" s="919"/>
      <c r="CF89" s="919"/>
      <c r="CG89" s="919"/>
      <c r="CH89" s="919"/>
      <c r="CI89" s="919"/>
      <c r="CJ89" s="919"/>
      <c r="CK89" s="919"/>
      <c r="CL89" s="919"/>
      <c r="CM89" s="919"/>
      <c r="CN89" s="919"/>
      <c r="CO89" s="919"/>
      <c r="CP89" s="919"/>
      <c r="CQ89" s="919"/>
      <c r="CR89" s="919"/>
      <c r="CS89" s="919"/>
      <c r="CT89" s="919"/>
      <c r="CU89" s="919"/>
      <c r="CV89" s="919"/>
      <c r="CW89" s="919"/>
      <c r="CX89" s="919"/>
      <c r="CY89" s="919"/>
      <c r="CZ89" s="919"/>
      <c r="DA89" s="919"/>
      <c r="DB89" s="919"/>
      <c r="DC89" s="919"/>
      <c r="DD89" s="919"/>
      <c r="DE89" s="919"/>
      <c r="DF89" s="919"/>
      <c r="DG89" s="919"/>
      <c r="DH89" s="919"/>
      <c r="DI89" s="919"/>
      <c r="DJ89" s="919"/>
      <c r="DK89" s="919"/>
      <c r="DL89" s="919"/>
      <c r="DM89" s="919"/>
      <c r="DN89" s="919"/>
      <c r="DO89" s="919"/>
      <c r="DP89" s="919"/>
      <c r="DQ89" s="919"/>
      <c r="DR89" s="919"/>
      <c r="DS89" s="919"/>
      <c r="DT89" s="919"/>
      <c r="DU89" s="919"/>
      <c r="DV89" s="919"/>
      <c r="DW89" s="919"/>
      <c r="DX89" s="919"/>
      <c r="DY89" s="919"/>
      <c r="DZ89" s="919"/>
      <c r="EA89" s="919"/>
      <c r="EB89" s="919"/>
      <c r="EC89" s="919"/>
      <c r="ED89" s="919"/>
      <c r="EE89" s="919"/>
      <c r="EF89" s="919"/>
      <c r="EG89" s="919"/>
      <c r="EH89" s="919"/>
      <c r="EI89" s="919"/>
      <c r="EJ89" s="919"/>
      <c r="EK89" s="919"/>
      <c r="EL89" s="919"/>
      <c r="EM89" s="919"/>
      <c r="EN89" s="919"/>
      <c r="EO89" s="919"/>
      <c r="EP89" s="919"/>
      <c r="EQ89" s="919"/>
      <c r="ER89" s="919"/>
      <c r="ES89" s="919"/>
      <c r="ET89" s="919"/>
      <c r="EU89" s="919"/>
      <c r="EV89" s="919"/>
      <c r="EW89" s="919"/>
      <c r="EX89" s="919"/>
      <c r="EY89" s="919"/>
      <c r="EZ89" s="919"/>
      <c r="FA89" s="919"/>
      <c r="FB89" s="919"/>
      <c r="FC89" s="919"/>
      <c r="FD89" s="919"/>
      <c r="FE89" s="919"/>
      <c r="FF89" s="921"/>
    </row>
    <row r="90" spans="1:162" ht="15.75" thickBot="1" x14ac:dyDescent="0.3">
      <c r="A90" s="1"/>
      <c r="B90" s="192"/>
      <c r="C90" s="192"/>
      <c r="D90" s="192"/>
      <c r="E90" s="192"/>
      <c r="F90" s="471"/>
      <c r="G90" s="471"/>
      <c r="H90" s="51"/>
      <c r="I90" s="51"/>
      <c r="J90" s="51"/>
      <c r="K90" s="51"/>
      <c r="L90" s="54"/>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13"/>
      <c r="EK90" s="913"/>
      <c r="EL90" s="913"/>
      <c r="EM90" s="913"/>
      <c r="EN90" s="913"/>
      <c r="EO90" s="913"/>
      <c r="EP90" s="913"/>
      <c r="EQ90" s="913"/>
      <c r="ER90" s="913"/>
      <c r="ES90" s="913"/>
      <c r="ET90" s="913"/>
      <c r="EU90" s="913"/>
      <c r="EV90" s="913"/>
      <c r="EW90" s="913"/>
      <c r="EX90" s="913"/>
      <c r="EY90" s="913"/>
      <c r="EZ90" s="913"/>
      <c r="FA90" s="913"/>
      <c r="FB90" s="913"/>
      <c r="FC90" s="913"/>
      <c r="FD90" s="913"/>
      <c r="FE90" s="913"/>
      <c r="FF90" s="923"/>
    </row>
    <row r="91" spans="1:162" ht="15.75" thickBot="1" x14ac:dyDescent="0.3">
      <c r="A91" s="1"/>
      <c r="B91" s="192"/>
      <c r="C91" s="192"/>
      <c r="D91" s="192"/>
      <c r="E91" s="192"/>
      <c r="F91" s="475"/>
      <c r="G91" s="475"/>
      <c r="H91" s="52"/>
      <c r="I91" s="52"/>
      <c r="J91" s="52"/>
      <c r="K91" s="52"/>
      <c r="L91" s="59"/>
      <c r="N91" s="922"/>
      <c r="O91" s="916">
        <v>9.5</v>
      </c>
      <c r="P91" s="913"/>
      <c r="Q91" s="924" t="s">
        <v>414</v>
      </c>
      <c r="R91" s="924" t="s">
        <v>414</v>
      </c>
      <c r="S91" s="925">
        <f t="shared" ref="S91:Z102" si="154">S46-R46</f>
        <v>1.5700000000000003</v>
      </c>
      <c r="T91" s="925">
        <f t="shared" si="154"/>
        <v>1.5599999999999996</v>
      </c>
      <c r="U91" s="925">
        <f t="shared" si="154"/>
        <v>1.5599999999999996</v>
      </c>
      <c r="V91" s="925">
        <f t="shared" si="154"/>
        <v>1.5700000000000003</v>
      </c>
      <c r="W91" s="925">
        <f t="shared" si="154"/>
        <v>1.5600000000000005</v>
      </c>
      <c r="X91" s="925">
        <f t="shared" si="154"/>
        <v>1.5600000000000005</v>
      </c>
      <c r="Y91" s="925">
        <f t="shared" si="154"/>
        <v>1.5699999999999985</v>
      </c>
      <c r="Z91" s="925">
        <f t="shared" si="154"/>
        <v>1.5600000000000005</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13"/>
      <c r="EK91" s="913"/>
      <c r="EL91" s="913"/>
      <c r="EM91" s="913"/>
      <c r="EN91" s="913"/>
      <c r="EO91" s="913"/>
      <c r="EP91" s="913"/>
      <c r="EQ91" s="913"/>
      <c r="ER91" s="913"/>
      <c r="ES91" s="913"/>
      <c r="ET91" s="913"/>
      <c r="EU91" s="913"/>
      <c r="EV91" s="913"/>
      <c r="EW91" s="913"/>
      <c r="EX91" s="913"/>
      <c r="EY91" s="913"/>
      <c r="EZ91" s="913"/>
      <c r="FA91" s="913"/>
      <c r="FB91" s="913"/>
      <c r="FC91" s="913"/>
      <c r="FD91" s="913"/>
      <c r="FE91" s="913"/>
      <c r="FF91" s="923"/>
    </row>
    <row r="92" spans="1:162" ht="15.75" thickBot="1" x14ac:dyDescent="0.3">
      <c r="A92" s="1"/>
      <c r="B92" s="192"/>
      <c r="C92" s="192"/>
      <c r="D92" s="192"/>
      <c r="E92" s="192"/>
      <c r="F92" s="475"/>
      <c r="G92" s="475"/>
      <c r="H92" s="52"/>
      <c r="I92" s="52"/>
      <c r="J92" s="52"/>
      <c r="K92" s="52"/>
      <c r="L92" s="59"/>
      <c r="N92" s="922"/>
      <c r="O92" s="917">
        <v>12</v>
      </c>
      <c r="P92" s="913"/>
      <c r="Q92" s="925" t="s">
        <v>414</v>
      </c>
      <c r="R92" s="925" t="s">
        <v>414</v>
      </c>
      <c r="S92" s="925">
        <f t="shared" si="154"/>
        <v>1.5599999999999996</v>
      </c>
      <c r="T92" s="925">
        <f t="shared" si="154"/>
        <v>1.5599999999999996</v>
      </c>
      <c r="U92" s="925">
        <f t="shared" si="154"/>
        <v>1.5599999999999996</v>
      </c>
      <c r="V92" s="925">
        <f t="shared" si="154"/>
        <v>1.5700000000000003</v>
      </c>
      <c r="W92" s="925">
        <f t="shared" si="154"/>
        <v>1.5599999999999987</v>
      </c>
      <c r="X92" s="925">
        <f t="shared" si="154"/>
        <v>1.5599999999999987</v>
      </c>
      <c r="Y92" s="925">
        <f t="shared" si="154"/>
        <v>1.5599999999999987</v>
      </c>
      <c r="Z92" s="925">
        <f t="shared" si="154"/>
        <v>1.5599999999999987</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13"/>
      <c r="EK92" s="913"/>
      <c r="EL92" s="913"/>
      <c r="EM92" s="913"/>
      <c r="EN92" s="913"/>
      <c r="EO92" s="913"/>
      <c r="EP92" s="913"/>
      <c r="EQ92" s="913"/>
      <c r="ER92" s="913"/>
      <c r="ES92" s="913"/>
      <c r="ET92" s="913"/>
      <c r="EU92" s="913"/>
      <c r="EV92" s="913"/>
      <c r="EW92" s="913"/>
      <c r="EX92" s="913"/>
      <c r="EY92" s="913"/>
      <c r="EZ92" s="913"/>
      <c r="FA92" s="913"/>
      <c r="FB92" s="913"/>
      <c r="FC92" s="913"/>
      <c r="FD92" s="913"/>
      <c r="FE92" s="913"/>
      <c r="FF92" s="923"/>
    </row>
    <row r="93" spans="1:162" ht="15.75" thickBot="1" x14ac:dyDescent="0.3">
      <c r="A93" s="1"/>
      <c r="B93" s="192"/>
      <c r="C93" s="192"/>
      <c r="D93" s="192"/>
      <c r="E93" s="192"/>
      <c r="F93" s="475"/>
      <c r="G93" s="475"/>
      <c r="H93" s="52"/>
      <c r="I93" s="52"/>
      <c r="J93" s="52"/>
      <c r="K93" s="52"/>
      <c r="L93" s="59"/>
      <c r="N93" s="922"/>
      <c r="O93" s="917">
        <v>18</v>
      </c>
      <c r="P93" s="913"/>
      <c r="Q93" s="925" t="s">
        <v>414</v>
      </c>
      <c r="R93" s="925" t="s">
        <v>414</v>
      </c>
      <c r="S93" s="925">
        <f t="shared" si="154"/>
        <v>2.2000000000000002</v>
      </c>
      <c r="T93" s="925">
        <f t="shared" si="154"/>
        <v>2.2000000000000011</v>
      </c>
      <c r="U93" s="925">
        <f t="shared" si="154"/>
        <v>2.1999999999999993</v>
      </c>
      <c r="V93" s="925">
        <f t="shared" si="154"/>
        <v>2.1799999999999997</v>
      </c>
      <c r="W93" s="925">
        <f t="shared" si="154"/>
        <v>2.1999999999999993</v>
      </c>
      <c r="X93" s="925">
        <f t="shared" si="154"/>
        <v>2.1999999999999993</v>
      </c>
      <c r="Y93" s="925">
        <f t="shared" si="154"/>
        <v>2.1999999999999993</v>
      </c>
      <c r="Z93" s="925">
        <f t="shared" si="154"/>
        <v>2.1999999999999993</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13"/>
      <c r="EL93" s="913"/>
      <c r="EM93" s="913"/>
      <c r="EN93" s="913"/>
      <c r="EO93" s="913"/>
      <c r="EP93" s="913"/>
      <c r="EQ93" s="913"/>
      <c r="ER93" s="913"/>
      <c r="ES93" s="913"/>
      <c r="ET93" s="913"/>
      <c r="EU93" s="913"/>
      <c r="EV93" s="913"/>
      <c r="EW93" s="913"/>
      <c r="EX93" s="913"/>
      <c r="EY93" s="913"/>
      <c r="EZ93" s="913"/>
      <c r="FA93" s="913"/>
      <c r="FB93" s="913"/>
      <c r="FC93" s="913"/>
      <c r="FD93" s="913"/>
      <c r="FE93" s="913"/>
      <c r="FF93" s="923"/>
    </row>
    <row r="94" spans="1:162" ht="18.75" customHeight="1" thickBot="1" x14ac:dyDescent="0.3">
      <c r="A94" s="2"/>
      <c r="B94" s="476"/>
      <c r="C94" s="160"/>
      <c r="D94" s="160"/>
      <c r="E94" s="160"/>
      <c r="F94" s="160"/>
      <c r="G94" s="160"/>
      <c r="H94" s="55"/>
      <c r="I94" s="55"/>
      <c r="J94" s="55"/>
      <c r="K94" s="55"/>
      <c r="L94" s="56"/>
      <c r="N94" s="922"/>
      <c r="O94" s="917">
        <v>24</v>
      </c>
      <c r="P94" s="913"/>
      <c r="Q94" s="925" t="s">
        <v>414</v>
      </c>
      <c r="R94" s="925" t="s">
        <v>414</v>
      </c>
      <c r="S94" s="925">
        <f t="shared" si="154"/>
        <v>2.5100000000000007</v>
      </c>
      <c r="T94" s="925">
        <f t="shared" si="154"/>
        <v>2.5099999999999998</v>
      </c>
      <c r="U94" s="925">
        <f t="shared" si="154"/>
        <v>2.5100000000000016</v>
      </c>
      <c r="V94" s="925">
        <f t="shared" si="154"/>
        <v>2.509999999999998</v>
      </c>
      <c r="W94" s="925">
        <f t="shared" si="154"/>
        <v>2.5100000000000016</v>
      </c>
      <c r="X94" s="925">
        <f t="shared" si="154"/>
        <v>2.5100000000000016</v>
      </c>
      <c r="Y94" s="925">
        <f t="shared" si="154"/>
        <v>2.5100000000000016</v>
      </c>
      <c r="Z94" s="925">
        <f t="shared" si="154"/>
        <v>2.5100000000000016</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13"/>
      <c r="EK94" s="913"/>
      <c r="EL94" s="913"/>
      <c r="EM94" s="913"/>
      <c r="EN94" s="913"/>
      <c r="EO94" s="913"/>
      <c r="EP94" s="913"/>
      <c r="EQ94" s="913"/>
      <c r="ER94" s="913"/>
      <c r="ES94" s="913"/>
      <c r="ET94" s="913"/>
      <c r="EU94" s="913"/>
      <c r="EV94" s="913"/>
      <c r="EW94" s="913"/>
      <c r="EX94" s="913"/>
      <c r="EY94" s="913"/>
      <c r="EZ94" s="913"/>
      <c r="FA94" s="913"/>
      <c r="FB94" s="913"/>
      <c r="FC94" s="913"/>
      <c r="FD94" s="913"/>
      <c r="FE94" s="913"/>
      <c r="FF94" s="923"/>
    </row>
    <row r="95" spans="1:162" ht="18.75" customHeight="1" thickBot="1" x14ac:dyDescent="0.3">
      <c r="A95" s="2"/>
      <c r="N95" s="922"/>
      <c r="O95" s="917">
        <v>30</v>
      </c>
      <c r="P95" s="913"/>
      <c r="Q95" s="925" t="s">
        <v>414</v>
      </c>
      <c r="R95" s="925" t="s">
        <v>414</v>
      </c>
      <c r="S95" s="925">
        <f t="shared" si="154"/>
        <v>3.1400000000000006</v>
      </c>
      <c r="T95" s="925">
        <f t="shared" si="154"/>
        <v>3.1400000000000006</v>
      </c>
      <c r="U95" s="925">
        <f t="shared" si="154"/>
        <v>3.1400000000000023</v>
      </c>
      <c r="V95" s="925">
        <f t="shared" si="154"/>
        <v>3.1499999999999986</v>
      </c>
      <c r="W95" s="925">
        <f t="shared" si="154"/>
        <v>3.1400000000000006</v>
      </c>
      <c r="X95" s="925">
        <f t="shared" si="154"/>
        <v>3.1400000000000006</v>
      </c>
      <c r="Y95" s="925">
        <f t="shared" si="154"/>
        <v>3.1400000000000006</v>
      </c>
      <c r="Z95" s="925">
        <f t="shared" si="154"/>
        <v>3.1400000000000006</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13"/>
      <c r="EK95" s="913"/>
      <c r="EL95" s="913"/>
      <c r="EM95" s="913"/>
      <c r="EN95" s="913"/>
      <c r="EO95" s="913"/>
      <c r="EP95" s="913"/>
      <c r="EQ95" s="913"/>
      <c r="ER95" s="913"/>
      <c r="ES95" s="913"/>
      <c r="ET95" s="913"/>
      <c r="EU95" s="913"/>
      <c r="EV95" s="913"/>
      <c r="EW95" s="913"/>
      <c r="EX95" s="913"/>
      <c r="EY95" s="913"/>
      <c r="EZ95" s="913"/>
      <c r="FA95" s="913"/>
      <c r="FB95" s="913"/>
      <c r="FC95" s="913"/>
      <c r="FD95" s="913"/>
      <c r="FE95" s="913"/>
      <c r="FF95" s="923"/>
    </row>
    <row r="96" spans="1:162" ht="15.75" thickBot="1" x14ac:dyDescent="0.3">
      <c r="A96" s="2"/>
      <c r="N96" s="922"/>
      <c r="O96" s="917">
        <v>36</v>
      </c>
      <c r="P96" s="913"/>
      <c r="Q96" s="925" t="s">
        <v>414</v>
      </c>
      <c r="R96" s="925" t="s">
        <v>414</v>
      </c>
      <c r="S96" s="925">
        <f t="shared" si="154"/>
        <v>3.4599999999999991</v>
      </c>
      <c r="T96" s="925">
        <f t="shared" si="154"/>
        <v>3.4599999999999973</v>
      </c>
      <c r="U96" s="925">
        <f t="shared" si="154"/>
        <v>3.4600000000000009</v>
      </c>
      <c r="V96" s="925">
        <f t="shared" si="154"/>
        <v>3.4500000000000028</v>
      </c>
      <c r="W96" s="925">
        <f t="shared" si="154"/>
        <v>3.4600000000000009</v>
      </c>
      <c r="X96" s="925">
        <f t="shared" si="154"/>
        <v>3.4600000000000009</v>
      </c>
      <c r="Y96" s="925">
        <f t="shared" si="154"/>
        <v>3.4600000000000009</v>
      </c>
      <c r="Z96" s="925">
        <f t="shared" si="154"/>
        <v>3.4600000000000009</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13"/>
      <c r="EK96" s="913"/>
      <c r="EL96" s="913"/>
      <c r="EM96" s="913"/>
      <c r="EN96" s="913"/>
      <c r="EO96" s="913"/>
      <c r="EP96" s="913"/>
      <c r="EQ96" s="913"/>
      <c r="ER96" s="913"/>
      <c r="ES96" s="913"/>
      <c r="ET96" s="913"/>
      <c r="EU96" s="913"/>
      <c r="EV96" s="913"/>
      <c r="EW96" s="913"/>
      <c r="EX96" s="913"/>
      <c r="EY96" s="913"/>
      <c r="EZ96" s="913"/>
      <c r="FA96" s="913"/>
      <c r="FB96" s="913"/>
      <c r="FC96" s="913"/>
      <c r="FD96" s="913"/>
      <c r="FE96" s="913"/>
      <c r="FF96" s="923"/>
    </row>
    <row r="97" spans="1:162" ht="15.75" thickBot="1" x14ac:dyDescent="0.3">
      <c r="A97" s="2"/>
      <c r="N97" s="922"/>
      <c r="O97" s="917">
        <v>42</v>
      </c>
      <c r="P97" s="913"/>
      <c r="Q97" s="925" t="s">
        <v>414</v>
      </c>
      <c r="R97" s="925" t="s">
        <v>414</v>
      </c>
      <c r="S97" s="925">
        <f t="shared" si="154"/>
        <v>4.09</v>
      </c>
      <c r="T97" s="925">
        <f t="shared" si="154"/>
        <v>4.09</v>
      </c>
      <c r="U97" s="925">
        <f t="shared" si="154"/>
        <v>4.09</v>
      </c>
      <c r="V97" s="925">
        <f t="shared" si="154"/>
        <v>4.09</v>
      </c>
      <c r="W97" s="925">
        <f t="shared" si="154"/>
        <v>4.09</v>
      </c>
      <c r="X97" s="925">
        <f t="shared" si="154"/>
        <v>4.0899999999999963</v>
      </c>
      <c r="Y97" s="925">
        <f t="shared" si="154"/>
        <v>4.0900000000000034</v>
      </c>
      <c r="Z97" s="925">
        <f t="shared" si="154"/>
        <v>4.0900000000000034</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13"/>
      <c r="EK97" s="913"/>
      <c r="EL97" s="913"/>
      <c r="EM97" s="913"/>
      <c r="EN97" s="913"/>
      <c r="EO97" s="913"/>
      <c r="EP97" s="913"/>
      <c r="EQ97" s="913"/>
      <c r="ER97" s="913"/>
      <c r="ES97" s="913"/>
      <c r="ET97" s="913"/>
      <c r="EU97" s="913"/>
      <c r="EV97" s="913"/>
      <c r="EW97" s="913"/>
      <c r="EX97" s="913"/>
      <c r="EY97" s="913"/>
      <c r="EZ97" s="913"/>
      <c r="FA97" s="913"/>
      <c r="FB97" s="913"/>
      <c r="FC97" s="913"/>
      <c r="FD97" s="913"/>
      <c r="FE97" s="913"/>
      <c r="FF97" s="923"/>
    </row>
    <row r="98" spans="1:162" ht="15.75" thickBot="1" x14ac:dyDescent="0.3">
      <c r="A98" s="2"/>
      <c r="N98" s="922"/>
      <c r="O98" s="917">
        <v>48</v>
      </c>
      <c r="P98" s="913"/>
      <c r="Q98" s="925" t="s">
        <v>414</v>
      </c>
      <c r="R98" s="925" t="s">
        <v>414</v>
      </c>
      <c r="S98" s="925">
        <f t="shared" si="154"/>
        <v>4.41</v>
      </c>
      <c r="T98" s="925">
        <f t="shared" si="154"/>
        <v>4.41</v>
      </c>
      <c r="U98" s="925">
        <f t="shared" si="154"/>
        <v>4.41</v>
      </c>
      <c r="V98" s="925">
        <f t="shared" si="154"/>
        <v>4.3900000000000006</v>
      </c>
      <c r="W98" s="925">
        <f t="shared" si="154"/>
        <v>4.4099999999999966</v>
      </c>
      <c r="X98" s="925">
        <f t="shared" si="154"/>
        <v>4.4099999999999966</v>
      </c>
      <c r="Y98" s="925">
        <f t="shared" si="154"/>
        <v>4.4099999999999966</v>
      </c>
      <c r="Z98" s="925">
        <f t="shared" si="154"/>
        <v>4.4099999999999966</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13"/>
      <c r="EK98" s="913"/>
      <c r="EL98" s="913"/>
      <c r="EM98" s="913"/>
      <c r="EN98" s="913"/>
      <c r="EO98" s="913"/>
      <c r="EP98" s="913"/>
      <c r="EQ98" s="913"/>
      <c r="ER98" s="913"/>
      <c r="ES98" s="913"/>
      <c r="ET98" s="913"/>
      <c r="EU98" s="913"/>
      <c r="EV98" s="913"/>
      <c r="EW98" s="913"/>
      <c r="EX98" s="913"/>
      <c r="EY98" s="913"/>
      <c r="EZ98" s="913"/>
      <c r="FA98" s="913"/>
      <c r="FB98" s="913"/>
      <c r="FC98" s="913"/>
      <c r="FD98" s="913"/>
      <c r="FE98" s="913"/>
      <c r="FF98" s="923"/>
    </row>
    <row r="99" spans="1:162" ht="15.75" thickBot="1" x14ac:dyDescent="0.3">
      <c r="A99" s="2"/>
      <c r="N99" s="922"/>
      <c r="O99" s="917">
        <v>54</v>
      </c>
      <c r="P99" s="913"/>
      <c r="Q99" s="925" t="s">
        <v>414</v>
      </c>
      <c r="R99" s="925" t="s">
        <v>414</v>
      </c>
      <c r="S99" s="925">
        <f t="shared" si="154"/>
        <v>5.0299999999999994</v>
      </c>
      <c r="T99" s="925">
        <f t="shared" si="154"/>
        <v>5.0299999999999976</v>
      </c>
      <c r="U99" s="925">
        <f t="shared" si="154"/>
        <v>5.0300000000000011</v>
      </c>
      <c r="V99" s="925">
        <f t="shared" si="154"/>
        <v>5.0500000000000043</v>
      </c>
      <c r="W99" s="925">
        <f t="shared" si="154"/>
        <v>5.0300000000000011</v>
      </c>
      <c r="X99" s="925">
        <f t="shared" si="154"/>
        <v>5.0300000000000011</v>
      </c>
      <c r="Y99" s="925">
        <f t="shared" si="154"/>
        <v>5.0300000000000011</v>
      </c>
      <c r="Z99" s="925">
        <f t="shared" si="154"/>
        <v>5.0300000000000011</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13"/>
      <c r="EK99" s="913"/>
      <c r="EL99" s="913"/>
      <c r="EM99" s="913"/>
      <c r="EN99" s="913"/>
      <c r="EO99" s="913"/>
      <c r="EP99" s="913"/>
      <c r="EQ99" s="913"/>
      <c r="ER99" s="913"/>
      <c r="ES99" s="913"/>
      <c r="ET99" s="913"/>
      <c r="EU99" s="913"/>
      <c r="EV99" s="913"/>
      <c r="EW99" s="913"/>
      <c r="EX99" s="913"/>
      <c r="EY99" s="913"/>
      <c r="EZ99" s="913"/>
      <c r="FA99" s="913"/>
      <c r="FB99" s="913"/>
      <c r="FC99" s="913"/>
      <c r="FD99" s="913"/>
      <c r="FE99" s="913"/>
      <c r="FF99" s="923"/>
    </row>
    <row r="100" spans="1:162" ht="15.75" thickBot="1" x14ac:dyDescent="0.3">
      <c r="A100" s="2"/>
      <c r="N100" s="922"/>
      <c r="O100" s="917">
        <v>60</v>
      </c>
      <c r="P100" s="913"/>
      <c r="Q100" s="925" t="s">
        <v>414</v>
      </c>
      <c r="R100" s="925" t="s">
        <v>414</v>
      </c>
      <c r="S100" s="925">
        <f t="shared" si="154"/>
        <v>5.3499999999999979</v>
      </c>
      <c r="T100" s="925">
        <f t="shared" si="154"/>
        <v>5.3499999999999979</v>
      </c>
      <c r="U100" s="925">
        <f t="shared" si="154"/>
        <v>5.3499999999999979</v>
      </c>
      <c r="V100" s="925">
        <f t="shared" si="154"/>
        <v>5.3500000000000085</v>
      </c>
      <c r="W100" s="925">
        <f t="shared" si="154"/>
        <v>5.3500000000000014</v>
      </c>
      <c r="X100" s="925">
        <f t="shared" si="154"/>
        <v>5.3499999999999943</v>
      </c>
      <c r="Y100" s="925">
        <f t="shared" si="154"/>
        <v>5.3499999999999943</v>
      </c>
      <c r="Z100" s="925">
        <f t="shared" si="154"/>
        <v>5.3499999999999943</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13"/>
      <c r="EK100" s="913"/>
      <c r="EL100" s="913"/>
      <c r="EM100" s="913"/>
      <c r="EN100" s="913"/>
      <c r="EO100" s="913"/>
      <c r="EP100" s="913"/>
      <c r="EQ100" s="913"/>
      <c r="ER100" s="913"/>
      <c r="ES100" s="913"/>
      <c r="ET100" s="913"/>
      <c r="EU100" s="913"/>
      <c r="EV100" s="913"/>
      <c r="EW100" s="913"/>
      <c r="EX100" s="913"/>
      <c r="EY100" s="913"/>
      <c r="EZ100" s="913"/>
      <c r="FA100" s="913"/>
      <c r="FB100" s="913"/>
      <c r="FC100" s="913"/>
      <c r="FD100" s="913"/>
      <c r="FE100" s="913"/>
      <c r="FF100" s="923"/>
    </row>
    <row r="101" spans="1:162" ht="15.75" thickBot="1" x14ac:dyDescent="0.3">
      <c r="A101" s="2"/>
      <c r="N101" s="922"/>
      <c r="O101" s="917">
        <v>66</v>
      </c>
      <c r="P101" s="913"/>
      <c r="Q101" s="925" t="s">
        <v>414</v>
      </c>
      <c r="R101" s="925" t="s">
        <v>414</v>
      </c>
      <c r="S101" s="925">
        <f t="shared" si="154"/>
        <v>5.98</v>
      </c>
      <c r="T101" s="925">
        <f t="shared" si="154"/>
        <v>5.98</v>
      </c>
      <c r="U101" s="925">
        <f t="shared" si="154"/>
        <v>5.98</v>
      </c>
      <c r="V101" s="925">
        <f t="shared" si="154"/>
        <v>5.9899999999999949</v>
      </c>
      <c r="W101" s="925">
        <f t="shared" si="154"/>
        <v>5.9799999999999969</v>
      </c>
      <c r="X101" s="925">
        <f t="shared" si="154"/>
        <v>5.980000000000004</v>
      </c>
      <c r="Y101" s="925">
        <f t="shared" si="154"/>
        <v>5.980000000000004</v>
      </c>
      <c r="Z101" s="925">
        <f t="shared" si="154"/>
        <v>5.980000000000004</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13"/>
      <c r="EK101" s="913"/>
      <c r="EL101" s="913"/>
      <c r="EM101" s="913"/>
      <c r="EN101" s="913"/>
      <c r="EO101" s="913"/>
      <c r="EP101" s="913"/>
      <c r="EQ101" s="913"/>
      <c r="ER101" s="913"/>
      <c r="ES101" s="913"/>
      <c r="ET101" s="913"/>
      <c r="EU101" s="913"/>
      <c r="EV101" s="913"/>
      <c r="EW101" s="913"/>
      <c r="EX101" s="913"/>
      <c r="EY101" s="913"/>
      <c r="EZ101" s="913"/>
      <c r="FA101" s="913"/>
      <c r="FB101" s="913"/>
      <c r="FC101" s="913"/>
      <c r="FD101" s="913"/>
      <c r="FE101" s="913"/>
      <c r="FF101" s="923"/>
    </row>
    <row r="102" spans="1:162" ht="15.75" thickBot="1" x14ac:dyDescent="0.3">
      <c r="A102" s="2"/>
      <c r="N102" s="922"/>
      <c r="O102" s="917">
        <v>72</v>
      </c>
      <c r="P102" s="913"/>
      <c r="Q102" s="925" t="s">
        <v>414</v>
      </c>
      <c r="R102" s="925" t="s">
        <v>414</v>
      </c>
      <c r="S102" s="925">
        <f t="shared" si="154"/>
        <v>6.3000000000000007</v>
      </c>
      <c r="T102" s="925">
        <f t="shared" si="154"/>
        <v>6.3000000000000007</v>
      </c>
      <c r="U102" s="925">
        <f t="shared" si="154"/>
        <v>6.2999999999999972</v>
      </c>
      <c r="V102" s="925">
        <f t="shared" si="154"/>
        <v>6.2900000000000063</v>
      </c>
      <c r="W102" s="925">
        <f t="shared" si="154"/>
        <v>6.2999999999999972</v>
      </c>
      <c r="X102" s="925">
        <f t="shared" si="154"/>
        <v>6.2999999999999972</v>
      </c>
      <c r="Y102" s="925">
        <f t="shared" si="154"/>
        <v>6.2999999999999972</v>
      </c>
      <c r="Z102" s="925">
        <f t="shared" si="154"/>
        <v>6.2999999999999972</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13"/>
      <c r="EK102" s="913"/>
      <c r="EL102" s="913"/>
      <c r="EM102" s="913"/>
      <c r="EN102" s="913"/>
      <c r="EO102" s="913"/>
      <c r="EP102" s="913"/>
      <c r="EQ102" s="913"/>
      <c r="ER102" s="913"/>
      <c r="ES102" s="913"/>
      <c r="ET102" s="913"/>
      <c r="EU102" s="913"/>
      <c r="EV102" s="913"/>
      <c r="EW102" s="913"/>
      <c r="EX102" s="913"/>
      <c r="EY102" s="913"/>
      <c r="EZ102" s="913"/>
      <c r="FA102" s="913"/>
      <c r="FB102" s="913"/>
      <c r="FC102" s="913"/>
      <c r="FD102" s="913"/>
      <c r="FE102" s="913"/>
      <c r="FF102" s="923"/>
    </row>
    <row r="103" spans="1:162" ht="15.75" thickBot="1" x14ac:dyDescent="0.3">
      <c r="A103" s="2"/>
      <c r="N103" s="922"/>
      <c r="O103" s="917"/>
      <c r="P103" s="913"/>
      <c r="Q103" s="913"/>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13"/>
      <c r="EK103" s="913"/>
      <c r="EL103" s="913"/>
      <c r="EM103" s="913"/>
      <c r="EN103" s="913"/>
      <c r="EO103" s="913"/>
      <c r="EP103" s="913"/>
      <c r="EQ103" s="913"/>
      <c r="ER103" s="913"/>
      <c r="ES103" s="913"/>
      <c r="ET103" s="913"/>
      <c r="EU103" s="913"/>
      <c r="EV103" s="913"/>
      <c r="EW103" s="913"/>
      <c r="EX103" s="913"/>
      <c r="EY103" s="913"/>
      <c r="EZ103" s="913"/>
      <c r="FA103" s="913"/>
      <c r="FB103" s="913"/>
      <c r="FC103" s="913"/>
      <c r="FD103" s="913"/>
      <c r="FE103" s="913"/>
      <c r="FF103" s="923"/>
    </row>
    <row r="104" spans="1:162" ht="15.75" thickBot="1" x14ac:dyDescent="0.3">
      <c r="N104" s="922"/>
      <c r="O104" s="917"/>
      <c r="P104" s="913"/>
      <c r="Q104" s="913"/>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13"/>
      <c r="EK104" s="913"/>
      <c r="EL104" s="913"/>
      <c r="EM104" s="913"/>
      <c r="EN104" s="913"/>
      <c r="EO104" s="913"/>
      <c r="EP104" s="913"/>
      <c r="EQ104" s="913"/>
      <c r="ER104" s="913"/>
      <c r="ES104" s="913"/>
      <c r="ET104" s="913"/>
      <c r="EU104" s="913"/>
      <c r="EV104" s="913"/>
      <c r="EW104" s="913"/>
      <c r="EX104" s="913"/>
      <c r="EY104" s="913"/>
      <c r="EZ104" s="913"/>
      <c r="FA104" s="913"/>
      <c r="FB104" s="913"/>
      <c r="FC104" s="913"/>
      <c r="FD104" s="913"/>
      <c r="FE104" s="913"/>
      <c r="FF104" s="923"/>
    </row>
    <row r="105" spans="1:162" ht="15.75" thickBot="1" x14ac:dyDescent="0.3">
      <c r="N105" s="922"/>
      <c r="O105" s="917"/>
      <c r="P105" s="913"/>
      <c r="Q105" s="913"/>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13"/>
      <c r="EK105" s="913"/>
      <c r="EL105" s="913"/>
      <c r="EM105" s="913"/>
      <c r="EN105" s="913"/>
      <c r="EO105" s="913"/>
      <c r="EP105" s="913"/>
      <c r="EQ105" s="913"/>
      <c r="ER105" s="913"/>
      <c r="ES105" s="913"/>
      <c r="ET105" s="913"/>
      <c r="EU105" s="913"/>
      <c r="EV105" s="913"/>
      <c r="EW105" s="913"/>
      <c r="EX105" s="913"/>
      <c r="EY105" s="913"/>
      <c r="EZ105" s="913"/>
      <c r="FA105" s="913"/>
      <c r="FB105" s="913"/>
      <c r="FC105" s="913"/>
      <c r="FD105" s="913"/>
      <c r="FE105" s="913"/>
      <c r="FF105" s="923"/>
    </row>
    <row r="106" spans="1:162" x14ac:dyDescent="0.25">
      <c r="N106" s="922"/>
      <c r="O106" s="913"/>
      <c r="P106" s="913"/>
      <c r="Q106" s="913"/>
      <c r="R106" s="913"/>
      <c r="S106" s="913"/>
      <c r="T106" s="913"/>
      <c r="U106" s="913"/>
      <c r="V106" s="913"/>
      <c r="W106" s="913"/>
      <c r="X106" s="913"/>
      <c r="Y106" s="913"/>
      <c r="Z106" s="913"/>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13"/>
      <c r="EK106" s="913"/>
      <c r="EL106" s="913"/>
      <c r="EM106" s="913"/>
      <c r="EN106" s="913"/>
      <c r="EO106" s="913"/>
      <c r="EP106" s="913"/>
      <c r="EQ106" s="913"/>
      <c r="ER106" s="913"/>
      <c r="ES106" s="913"/>
      <c r="ET106" s="913"/>
      <c r="EU106" s="913"/>
      <c r="EV106" s="913"/>
      <c r="EW106" s="913"/>
      <c r="EX106" s="913"/>
      <c r="EY106" s="913"/>
      <c r="EZ106" s="913"/>
      <c r="FA106" s="913"/>
      <c r="FB106" s="913"/>
      <c r="FC106" s="913"/>
      <c r="FD106" s="913"/>
      <c r="FE106" s="913"/>
      <c r="FF106" s="923"/>
    </row>
    <row r="107" spans="1:162" x14ac:dyDescent="0.25">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13"/>
      <c r="EK107" s="913"/>
      <c r="EL107" s="913"/>
      <c r="EM107" s="913"/>
      <c r="EN107" s="913"/>
      <c r="EO107" s="913"/>
      <c r="EP107" s="913"/>
      <c r="EQ107" s="913"/>
      <c r="ER107" s="913"/>
      <c r="ES107" s="913"/>
      <c r="ET107" s="913"/>
      <c r="EU107" s="913"/>
      <c r="EV107" s="913"/>
      <c r="EW107" s="913"/>
      <c r="EX107" s="913"/>
      <c r="EY107" s="913"/>
      <c r="EZ107" s="913"/>
      <c r="FA107" s="913"/>
      <c r="FB107" s="913"/>
      <c r="FC107" s="913"/>
      <c r="FD107" s="913"/>
      <c r="FE107" s="913"/>
      <c r="FF107" s="923"/>
    </row>
    <row r="108" spans="1:162" ht="15.75" thickBot="1" x14ac:dyDescent="0.3">
      <c r="N108" s="922"/>
      <c r="O108" s="913" t="s">
        <v>416</v>
      </c>
      <c r="P108" s="913"/>
      <c r="Q108" s="924"/>
      <c r="R108" s="924"/>
      <c r="S108" s="924"/>
      <c r="T108" s="924"/>
      <c r="U108" s="924"/>
      <c r="V108" s="924"/>
      <c r="W108" s="924"/>
      <c r="X108" s="924"/>
      <c r="Y108" s="924"/>
      <c r="Z108" s="924"/>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13"/>
      <c r="EK108" s="913"/>
      <c r="EL108" s="913"/>
      <c r="EM108" s="913"/>
      <c r="EN108" s="913"/>
      <c r="EO108" s="913"/>
      <c r="EP108" s="913"/>
      <c r="EQ108" s="913"/>
      <c r="ER108" s="913"/>
      <c r="ES108" s="913"/>
      <c r="ET108" s="913"/>
      <c r="EU108" s="913"/>
      <c r="EV108" s="913"/>
      <c r="EW108" s="913"/>
      <c r="EX108" s="913"/>
      <c r="EY108" s="913"/>
      <c r="EZ108" s="913"/>
      <c r="FA108" s="913"/>
      <c r="FB108" s="913"/>
      <c r="FC108" s="913"/>
      <c r="FD108" s="913"/>
      <c r="FE108" s="913"/>
      <c r="FF108" s="923"/>
    </row>
    <row r="109" spans="1:162" ht="15.75" thickBot="1" x14ac:dyDescent="0.3">
      <c r="N109" s="922"/>
      <c r="O109" s="913"/>
      <c r="P109" s="913"/>
      <c r="Q109" s="914">
        <v>9</v>
      </c>
      <c r="R109" s="915">
        <v>12</v>
      </c>
      <c r="S109" s="915">
        <f t="shared" ref="S109:Z109" si="155">R109+6</f>
        <v>18</v>
      </c>
      <c r="T109" s="915">
        <f t="shared" si="155"/>
        <v>24</v>
      </c>
      <c r="U109" s="915">
        <f t="shared" si="155"/>
        <v>30</v>
      </c>
      <c r="V109" s="915">
        <f t="shared" si="155"/>
        <v>36</v>
      </c>
      <c r="W109" s="915">
        <f t="shared" si="155"/>
        <v>42</v>
      </c>
      <c r="X109" s="915">
        <f t="shared" si="155"/>
        <v>48</v>
      </c>
      <c r="Y109" s="915">
        <f t="shared" si="155"/>
        <v>54</v>
      </c>
      <c r="Z109" s="915">
        <f t="shared" si="155"/>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13"/>
      <c r="EK109" s="913"/>
      <c r="EL109" s="913"/>
      <c r="EM109" s="913"/>
      <c r="EN109" s="913"/>
      <c r="EO109" s="913"/>
      <c r="EP109" s="913"/>
      <c r="EQ109" s="913"/>
      <c r="ER109" s="913"/>
      <c r="ES109" s="913"/>
      <c r="ET109" s="913"/>
      <c r="EU109" s="913"/>
      <c r="EV109" s="913"/>
      <c r="EW109" s="913"/>
      <c r="EX109" s="913"/>
      <c r="EY109" s="913"/>
      <c r="EZ109" s="913"/>
      <c r="FA109" s="913"/>
      <c r="FB109" s="913"/>
      <c r="FC109" s="913"/>
      <c r="FD109" s="913"/>
      <c r="FE109" s="913"/>
      <c r="FF109" s="923"/>
    </row>
    <row r="110" spans="1:162" ht="15.75" thickBot="1" x14ac:dyDescent="0.3">
      <c r="N110" s="922"/>
      <c r="O110" s="916">
        <v>9.5</v>
      </c>
      <c r="P110" s="913"/>
      <c r="Q110" s="924" t="s">
        <v>414</v>
      </c>
      <c r="R110" s="924" t="s">
        <v>414</v>
      </c>
      <c r="S110" s="924" t="s">
        <v>414</v>
      </c>
      <c r="T110" s="924" t="s">
        <v>414</v>
      </c>
      <c r="U110" s="924" t="s">
        <v>414</v>
      </c>
      <c r="V110" s="924" t="s">
        <v>414</v>
      </c>
      <c r="W110" s="924" t="s">
        <v>414</v>
      </c>
      <c r="X110" s="924" t="s">
        <v>414</v>
      </c>
      <c r="Y110" s="924" t="s">
        <v>414</v>
      </c>
      <c r="Z110" s="924" t="s">
        <v>414</v>
      </c>
      <c r="AA110" s="913" t="s">
        <v>417</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13"/>
      <c r="EK110" s="913"/>
      <c r="EL110" s="913"/>
      <c r="EM110" s="913"/>
      <c r="EN110" s="913"/>
      <c r="EO110" s="913"/>
      <c r="EP110" s="913"/>
      <c r="EQ110" s="913"/>
      <c r="ER110" s="913"/>
      <c r="ES110" s="913"/>
      <c r="ET110" s="913"/>
      <c r="EU110" s="913"/>
      <c r="EV110" s="913"/>
      <c r="EW110" s="913"/>
      <c r="EX110" s="913"/>
      <c r="EY110" s="913"/>
      <c r="EZ110" s="913"/>
      <c r="FA110" s="913"/>
      <c r="FB110" s="913"/>
      <c r="FC110" s="913"/>
      <c r="FD110" s="913"/>
      <c r="FE110" s="913"/>
      <c r="FF110" s="923"/>
    </row>
    <row r="111" spans="1:162" ht="15.75" thickBot="1" x14ac:dyDescent="0.3">
      <c r="N111" s="922"/>
      <c r="O111" s="917">
        <v>12</v>
      </c>
      <c r="P111" s="913"/>
      <c r="Q111" s="925"/>
      <c r="R111" s="925">
        <f t="shared" ref="R111:Z121" si="156">R47-R46</f>
        <v>0.37000000000000011</v>
      </c>
      <c r="S111" s="925">
        <f t="shared" si="156"/>
        <v>0.35999999999999943</v>
      </c>
      <c r="T111" s="925">
        <f t="shared" si="156"/>
        <v>0.35999999999999943</v>
      </c>
      <c r="U111" s="925">
        <f t="shared" si="156"/>
        <v>0.35999999999999943</v>
      </c>
      <c r="V111" s="925">
        <f t="shared" si="156"/>
        <v>0.35999999999999943</v>
      </c>
      <c r="W111" s="925">
        <f t="shared" si="156"/>
        <v>0.35999999999999766</v>
      </c>
      <c r="X111" s="925">
        <f t="shared" si="156"/>
        <v>0.35999999999999588</v>
      </c>
      <c r="Y111" s="925">
        <f t="shared" si="156"/>
        <v>0.34999999999999609</v>
      </c>
      <c r="Z111" s="925">
        <f t="shared" si="156"/>
        <v>0.34999999999999432</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13"/>
      <c r="EL111" s="913"/>
      <c r="EM111" s="913"/>
      <c r="EN111" s="913"/>
      <c r="EO111" s="913"/>
      <c r="EP111" s="913"/>
      <c r="EQ111" s="913"/>
      <c r="ER111" s="913"/>
      <c r="ES111" s="913"/>
      <c r="ET111" s="913"/>
      <c r="EU111" s="913"/>
      <c r="EV111" s="913"/>
      <c r="EW111" s="913"/>
      <c r="EX111" s="913"/>
      <c r="EY111" s="913"/>
      <c r="EZ111" s="913"/>
      <c r="FA111" s="913"/>
      <c r="FB111" s="913"/>
      <c r="FC111" s="913"/>
      <c r="FD111" s="913"/>
      <c r="FE111" s="913"/>
      <c r="FF111" s="923"/>
    </row>
    <row r="112" spans="1:162" ht="15.75" thickBot="1" x14ac:dyDescent="0.3">
      <c r="N112" s="922"/>
      <c r="O112" s="917">
        <f t="shared" ref="O112:O121" si="157">O111+6</f>
        <v>18</v>
      </c>
      <c r="P112" s="913"/>
      <c r="Q112" s="925"/>
      <c r="R112" s="925">
        <f t="shared" si="156"/>
        <v>1.8200000000000003</v>
      </c>
      <c r="S112" s="925">
        <f t="shared" si="156"/>
        <v>2.4600000000000009</v>
      </c>
      <c r="T112" s="925">
        <f t="shared" si="156"/>
        <v>3.1000000000000023</v>
      </c>
      <c r="U112" s="925">
        <f t="shared" si="156"/>
        <v>3.740000000000002</v>
      </c>
      <c r="V112" s="925">
        <f t="shared" si="156"/>
        <v>4.3500000000000014</v>
      </c>
      <c r="W112" s="925">
        <f t="shared" si="156"/>
        <v>4.990000000000002</v>
      </c>
      <c r="X112" s="925">
        <f t="shared" si="156"/>
        <v>5.6300000000000026</v>
      </c>
      <c r="Y112" s="925">
        <f t="shared" si="156"/>
        <v>6.2700000000000031</v>
      </c>
      <c r="Z112" s="925">
        <f t="shared" si="156"/>
        <v>6.9100000000000037</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13"/>
      <c r="EL112" s="913"/>
      <c r="EM112" s="913"/>
      <c r="EN112" s="913"/>
      <c r="EO112" s="913"/>
      <c r="EP112" s="913"/>
      <c r="EQ112" s="913"/>
      <c r="ER112" s="913"/>
      <c r="ES112" s="913"/>
      <c r="ET112" s="913"/>
      <c r="EU112" s="913"/>
      <c r="EV112" s="913"/>
      <c r="EW112" s="913"/>
      <c r="EX112" s="913"/>
      <c r="EY112" s="913"/>
      <c r="EZ112" s="913"/>
      <c r="FA112" s="913"/>
      <c r="FB112" s="913"/>
      <c r="FC112" s="913"/>
      <c r="FD112" s="913"/>
      <c r="FE112" s="913"/>
      <c r="FF112" s="923"/>
    </row>
    <row r="113" spans="14:162" ht="15.75" thickBot="1" x14ac:dyDescent="0.3">
      <c r="N113" s="922"/>
      <c r="O113" s="917">
        <f t="shared" si="157"/>
        <v>24</v>
      </c>
      <c r="P113" s="913"/>
      <c r="Q113" s="925"/>
      <c r="R113" s="925">
        <f t="shared" si="156"/>
        <v>1.3499999999999996</v>
      </c>
      <c r="S113" s="925">
        <f t="shared" si="156"/>
        <v>1.6600000000000001</v>
      </c>
      <c r="T113" s="925">
        <f t="shared" si="156"/>
        <v>1.9699999999999989</v>
      </c>
      <c r="U113" s="925">
        <f t="shared" si="156"/>
        <v>2.2800000000000011</v>
      </c>
      <c r="V113" s="925">
        <f t="shared" si="156"/>
        <v>2.6099999999999994</v>
      </c>
      <c r="W113" s="925">
        <f t="shared" si="156"/>
        <v>2.9200000000000017</v>
      </c>
      <c r="X113" s="925">
        <f t="shared" si="156"/>
        <v>3.230000000000004</v>
      </c>
      <c r="Y113" s="925">
        <f t="shared" si="156"/>
        <v>3.5400000000000063</v>
      </c>
      <c r="Z113" s="925">
        <f t="shared" si="156"/>
        <v>3.8500000000000085</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13"/>
      <c r="EL113" s="913"/>
      <c r="EM113" s="913"/>
      <c r="EN113" s="913"/>
      <c r="EO113" s="913"/>
      <c r="EP113" s="913"/>
      <c r="EQ113" s="913"/>
      <c r="ER113" s="913"/>
      <c r="ES113" s="913"/>
      <c r="ET113" s="913"/>
      <c r="EU113" s="913"/>
      <c r="EV113" s="913"/>
      <c r="EW113" s="913"/>
      <c r="EX113" s="913"/>
      <c r="EY113" s="913"/>
      <c r="EZ113" s="913"/>
      <c r="FA113" s="913"/>
      <c r="FB113" s="913"/>
      <c r="FC113" s="913"/>
      <c r="FD113" s="913"/>
      <c r="FE113" s="913"/>
      <c r="FF113" s="923"/>
    </row>
    <row r="114" spans="14:162" ht="15.75" thickBot="1" x14ac:dyDescent="0.3">
      <c r="N114" s="922"/>
      <c r="O114" s="917">
        <f t="shared" si="157"/>
        <v>30</v>
      </c>
      <c r="P114" s="913"/>
      <c r="Q114" s="925"/>
      <c r="R114" s="925">
        <f t="shared" si="156"/>
        <v>1.8199999999999994</v>
      </c>
      <c r="S114" s="925">
        <f t="shared" si="156"/>
        <v>2.4499999999999993</v>
      </c>
      <c r="T114" s="925">
        <f t="shared" si="156"/>
        <v>3.08</v>
      </c>
      <c r="U114" s="925">
        <f t="shared" si="156"/>
        <v>3.7100000000000009</v>
      </c>
      <c r="V114" s="925">
        <f t="shared" si="156"/>
        <v>4.3500000000000014</v>
      </c>
      <c r="W114" s="925">
        <f t="shared" si="156"/>
        <v>4.9800000000000004</v>
      </c>
      <c r="X114" s="925">
        <f t="shared" si="156"/>
        <v>5.6099999999999994</v>
      </c>
      <c r="Y114" s="925">
        <f t="shared" si="156"/>
        <v>6.2399999999999984</v>
      </c>
      <c r="Z114" s="925">
        <f t="shared" si="156"/>
        <v>6.8699999999999974</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13"/>
      <c r="EL114" s="913"/>
      <c r="EM114" s="913"/>
      <c r="EN114" s="913"/>
      <c r="EO114" s="913"/>
      <c r="EP114" s="913"/>
      <c r="EQ114" s="913"/>
      <c r="ER114" s="913"/>
      <c r="ES114" s="913"/>
      <c r="ET114" s="913"/>
      <c r="EU114" s="913"/>
      <c r="EV114" s="913"/>
      <c r="EW114" s="913"/>
      <c r="EX114" s="913"/>
      <c r="EY114" s="913"/>
      <c r="EZ114" s="913"/>
      <c r="FA114" s="913"/>
      <c r="FB114" s="913"/>
      <c r="FC114" s="913"/>
      <c r="FD114" s="913"/>
      <c r="FE114" s="913"/>
      <c r="FF114" s="923"/>
    </row>
    <row r="115" spans="14:162" ht="15.75" thickBot="1" x14ac:dyDescent="0.3">
      <c r="N115" s="922"/>
      <c r="O115" s="917">
        <f t="shared" si="157"/>
        <v>36</v>
      </c>
      <c r="P115" s="913"/>
      <c r="Q115" s="925"/>
      <c r="R115" s="925">
        <f t="shared" si="156"/>
        <v>1.3500000000000014</v>
      </c>
      <c r="S115" s="925">
        <f t="shared" si="156"/>
        <v>1.67</v>
      </c>
      <c r="T115" s="925">
        <f t="shared" si="156"/>
        <v>1.9899999999999967</v>
      </c>
      <c r="U115" s="925">
        <f t="shared" si="156"/>
        <v>2.3099999999999952</v>
      </c>
      <c r="V115" s="925">
        <f t="shared" si="156"/>
        <v>2.6099999999999994</v>
      </c>
      <c r="W115" s="925">
        <f t="shared" si="156"/>
        <v>2.9299999999999997</v>
      </c>
      <c r="X115" s="925">
        <f t="shared" si="156"/>
        <v>3.25</v>
      </c>
      <c r="Y115" s="925">
        <f t="shared" si="156"/>
        <v>3.5700000000000003</v>
      </c>
      <c r="Z115" s="925">
        <f t="shared" si="156"/>
        <v>3.8900000000000006</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13"/>
      <c r="EK115" s="913"/>
      <c r="EL115" s="913"/>
      <c r="EM115" s="913"/>
      <c r="EN115" s="913"/>
      <c r="EO115" s="913"/>
      <c r="EP115" s="913"/>
      <c r="EQ115" s="913"/>
      <c r="ER115" s="913"/>
      <c r="ES115" s="913"/>
      <c r="ET115" s="913"/>
      <c r="EU115" s="913"/>
      <c r="EV115" s="913"/>
      <c r="EW115" s="913"/>
      <c r="EX115" s="913"/>
      <c r="EY115" s="913"/>
      <c r="EZ115" s="913"/>
      <c r="FA115" s="913"/>
      <c r="FB115" s="913"/>
      <c r="FC115" s="913"/>
      <c r="FD115" s="913"/>
      <c r="FE115" s="913"/>
      <c r="FF115" s="923"/>
    </row>
    <row r="116" spans="14:162" ht="15.75" thickBot="1" x14ac:dyDescent="0.3">
      <c r="N116" s="922"/>
      <c r="O116" s="917">
        <f t="shared" si="157"/>
        <v>42</v>
      </c>
      <c r="P116" s="913"/>
      <c r="Q116" s="925"/>
      <c r="R116" s="925">
        <f t="shared" si="156"/>
        <v>1.8199999999999985</v>
      </c>
      <c r="S116" s="925">
        <f t="shared" si="156"/>
        <v>2.4499999999999993</v>
      </c>
      <c r="T116" s="925">
        <f t="shared" si="156"/>
        <v>3.0800000000000018</v>
      </c>
      <c r="U116" s="925">
        <f t="shared" si="156"/>
        <v>3.7100000000000009</v>
      </c>
      <c r="V116" s="925">
        <f t="shared" si="156"/>
        <v>4.3499999999999979</v>
      </c>
      <c r="W116" s="925">
        <f t="shared" si="156"/>
        <v>4.9799999999999969</v>
      </c>
      <c r="X116" s="925">
        <f t="shared" si="156"/>
        <v>5.6099999999999923</v>
      </c>
      <c r="Y116" s="925">
        <f t="shared" si="156"/>
        <v>6.2399999999999949</v>
      </c>
      <c r="Z116" s="925">
        <f t="shared" si="156"/>
        <v>6.8699999999999974</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13"/>
      <c r="EK116" s="913"/>
      <c r="EL116" s="913"/>
      <c r="EM116" s="913"/>
      <c r="EN116" s="913"/>
      <c r="EO116" s="913"/>
      <c r="EP116" s="913"/>
      <c r="EQ116" s="913"/>
      <c r="ER116" s="913"/>
      <c r="ES116" s="913"/>
      <c r="ET116" s="913"/>
      <c r="EU116" s="913"/>
      <c r="EV116" s="913"/>
      <c r="EW116" s="913"/>
      <c r="EX116" s="913"/>
      <c r="EY116" s="913"/>
      <c r="EZ116" s="913"/>
      <c r="FA116" s="913"/>
      <c r="FB116" s="913"/>
      <c r="FC116" s="913"/>
      <c r="FD116" s="913"/>
      <c r="FE116" s="913"/>
      <c r="FF116" s="923"/>
    </row>
    <row r="117" spans="14:162" ht="15.75" thickBot="1" x14ac:dyDescent="0.3">
      <c r="N117" s="922"/>
      <c r="O117" s="917">
        <f t="shared" si="157"/>
        <v>48</v>
      </c>
      <c r="P117" s="913"/>
      <c r="Q117" s="925"/>
      <c r="R117" s="925">
        <f t="shared" si="156"/>
        <v>1.3500000000000014</v>
      </c>
      <c r="S117" s="925">
        <f t="shared" si="156"/>
        <v>1.6700000000000017</v>
      </c>
      <c r="T117" s="925">
        <f t="shared" si="156"/>
        <v>1.990000000000002</v>
      </c>
      <c r="U117" s="925">
        <f t="shared" si="156"/>
        <v>2.3100000000000023</v>
      </c>
      <c r="V117" s="925">
        <f t="shared" si="156"/>
        <v>2.610000000000003</v>
      </c>
      <c r="W117" s="925">
        <f t="shared" si="156"/>
        <v>2.9299999999999997</v>
      </c>
      <c r="X117" s="925">
        <f t="shared" si="156"/>
        <v>3.25</v>
      </c>
      <c r="Y117" s="925">
        <f t="shared" si="156"/>
        <v>3.5699999999999932</v>
      </c>
      <c r="Z117" s="925">
        <f t="shared" si="156"/>
        <v>3.8899999999999864</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13"/>
      <c r="EK117" s="913"/>
      <c r="EL117" s="913"/>
      <c r="EM117" s="913"/>
      <c r="EN117" s="913"/>
      <c r="EO117" s="913"/>
      <c r="EP117" s="913"/>
      <c r="EQ117" s="913"/>
      <c r="ER117" s="913"/>
      <c r="ES117" s="913"/>
      <c r="ET117" s="913"/>
      <c r="EU117" s="913"/>
      <c r="EV117" s="913"/>
      <c r="EW117" s="913"/>
      <c r="EX117" s="913"/>
      <c r="EY117" s="913"/>
      <c r="EZ117" s="913"/>
      <c r="FA117" s="913"/>
      <c r="FB117" s="913"/>
      <c r="FC117" s="913"/>
      <c r="FD117" s="913"/>
      <c r="FE117" s="913"/>
      <c r="FF117" s="923"/>
    </row>
    <row r="118" spans="14:162" ht="15.75" thickBot="1" x14ac:dyDescent="0.3">
      <c r="N118" s="922"/>
      <c r="O118" s="917">
        <f t="shared" si="157"/>
        <v>54</v>
      </c>
      <c r="P118" s="913"/>
      <c r="Q118" s="925"/>
      <c r="R118" s="925">
        <f t="shared" si="156"/>
        <v>1.83</v>
      </c>
      <c r="S118" s="925">
        <f t="shared" si="156"/>
        <v>2.4499999999999993</v>
      </c>
      <c r="T118" s="925">
        <f t="shared" si="156"/>
        <v>3.0699999999999967</v>
      </c>
      <c r="U118" s="925">
        <f t="shared" si="156"/>
        <v>3.6899999999999977</v>
      </c>
      <c r="V118" s="925">
        <f t="shared" si="156"/>
        <v>4.3500000000000014</v>
      </c>
      <c r="W118" s="925">
        <f t="shared" si="156"/>
        <v>4.970000000000006</v>
      </c>
      <c r="X118" s="925">
        <f t="shared" si="156"/>
        <v>5.5900000000000105</v>
      </c>
      <c r="Y118" s="925">
        <f t="shared" si="156"/>
        <v>6.2100000000000151</v>
      </c>
      <c r="Z118" s="925">
        <f t="shared" si="156"/>
        <v>6.8300000000000196</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13"/>
      <c r="EK118" s="913"/>
      <c r="EL118" s="913"/>
      <c r="EM118" s="913"/>
      <c r="EN118" s="913"/>
      <c r="EO118" s="913"/>
      <c r="EP118" s="913"/>
      <c r="EQ118" s="913"/>
      <c r="ER118" s="913"/>
      <c r="ES118" s="913"/>
      <c r="ET118" s="913"/>
      <c r="EU118" s="913"/>
      <c r="EV118" s="913"/>
      <c r="EW118" s="913"/>
      <c r="EX118" s="913"/>
      <c r="EY118" s="913"/>
      <c r="EZ118" s="913"/>
      <c r="FA118" s="913"/>
      <c r="FB118" s="913"/>
      <c r="FC118" s="913"/>
      <c r="FD118" s="913"/>
      <c r="FE118" s="913"/>
      <c r="FF118" s="923"/>
    </row>
    <row r="119" spans="14:162" ht="15.75" thickBot="1" x14ac:dyDescent="0.3">
      <c r="N119" s="922"/>
      <c r="O119" s="917">
        <f t="shared" si="157"/>
        <v>60</v>
      </c>
      <c r="P119" s="913"/>
      <c r="Q119" s="925"/>
      <c r="R119" s="925">
        <f t="shared" si="156"/>
        <v>1.3499999999999996</v>
      </c>
      <c r="S119" s="925">
        <f t="shared" si="156"/>
        <v>1.6699999999999982</v>
      </c>
      <c r="T119" s="925">
        <f t="shared" si="156"/>
        <v>1.9899999999999984</v>
      </c>
      <c r="U119" s="925">
        <f t="shared" si="156"/>
        <v>2.3099999999999952</v>
      </c>
      <c r="V119" s="925">
        <f t="shared" si="156"/>
        <v>2.6099999999999994</v>
      </c>
      <c r="W119" s="925">
        <f t="shared" si="156"/>
        <v>2.9299999999999997</v>
      </c>
      <c r="X119" s="925">
        <f t="shared" si="156"/>
        <v>3.2499999999999929</v>
      </c>
      <c r="Y119" s="925">
        <f t="shared" si="156"/>
        <v>3.5699999999999861</v>
      </c>
      <c r="Z119" s="925">
        <f t="shared" si="156"/>
        <v>3.8899999999999793</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13"/>
      <c r="EK119" s="913"/>
      <c r="EL119" s="913"/>
      <c r="EM119" s="913"/>
      <c r="EN119" s="913"/>
      <c r="EO119" s="913"/>
      <c r="EP119" s="913"/>
      <c r="EQ119" s="913"/>
      <c r="ER119" s="913"/>
      <c r="ES119" s="913"/>
      <c r="ET119" s="913"/>
      <c r="EU119" s="913"/>
      <c r="EV119" s="913"/>
      <c r="EW119" s="913"/>
      <c r="EX119" s="913"/>
      <c r="EY119" s="913"/>
      <c r="EZ119" s="913"/>
      <c r="FA119" s="913"/>
      <c r="FB119" s="913"/>
      <c r="FC119" s="913"/>
      <c r="FD119" s="913"/>
      <c r="FE119" s="913"/>
      <c r="FF119" s="923"/>
    </row>
    <row r="120" spans="14:162" ht="15.75" thickBot="1" x14ac:dyDescent="0.3">
      <c r="N120" s="922"/>
      <c r="O120" s="917">
        <f t="shared" si="157"/>
        <v>66</v>
      </c>
      <c r="P120" s="913"/>
      <c r="Q120" s="925"/>
      <c r="R120" s="925">
        <f t="shared" si="156"/>
        <v>1.8200000000000003</v>
      </c>
      <c r="S120" s="925">
        <f t="shared" si="156"/>
        <v>2.4500000000000028</v>
      </c>
      <c r="T120" s="925">
        <f t="shared" si="156"/>
        <v>3.0800000000000054</v>
      </c>
      <c r="U120" s="925">
        <f t="shared" si="156"/>
        <v>3.710000000000008</v>
      </c>
      <c r="V120" s="925">
        <f t="shared" si="156"/>
        <v>4.3499999999999943</v>
      </c>
      <c r="W120" s="925">
        <f t="shared" si="156"/>
        <v>4.9799999999999898</v>
      </c>
      <c r="X120" s="925">
        <f t="shared" si="156"/>
        <v>5.6099999999999994</v>
      </c>
      <c r="Y120" s="925">
        <f t="shared" si="156"/>
        <v>6.2400000000000091</v>
      </c>
      <c r="Z120" s="925">
        <f t="shared" si="156"/>
        <v>6.8700000000000188</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13"/>
      <c r="EK120" s="913"/>
      <c r="EL120" s="913"/>
      <c r="EM120" s="913"/>
      <c r="EN120" s="913"/>
      <c r="EO120" s="913"/>
      <c r="EP120" s="913"/>
      <c r="EQ120" s="913"/>
      <c r="ER120" s="913"/>
      <c r="ES120" s="913"/>
      <c r="ET120" s="913"/>
      <c r="EU120" s="913"/>
      <c r="EV120" s="913"/>
      <c r="EW120" s="913"/>
      <c r="EX120" s="913"/>
      <c r="EY120" s="913"/>
      <c r="EZ120" s="913"/>
      <c r="FA120" s="913"/>
      <c r="FB120" s="913"/>
      <c r="FC120" s="913"/>
      <c r="FD120" s="913"/>
      <c r="FE120" s="913"/>
      <c r="FF120" s="923"/>
    </row>
    <row r="121" spans="14:162" ht="15.75" thickBot="1" x14ac:dyDescent="0.3">
      <c r="N121" s="922"/>
      <c r="O121" s="917">
        <f t="shared" si="157"/>
        <v>72</v>
      </c>
      <c r="P121" s="913"/>
      <c r="Q121" s="925"/>
      <c r="R121" s="925">
        <f t="shared" si="156"/>
        <v>1.3499999999999979</v>
      </c>
      <c r="S121" s="925">
        <f t="shared" si="156"/>
        <v>1.6699999999999982</v>
      </c>
      <c r="T121" s="925">
        <f t="shared" si="156"/>
        <v>1.9899999999999984</v>
      </c>
      <c r="U121" s="925">
        <f t="shared" si="156"/>
        <v>2.3099999999999952</v>
      </c>
      <c r="V121" s="925">
        <f t="shared" si="156"/>
        <v>2.6100000000000065</v>
      </c>
      <c r="W121" s="925">
        <f t="shared" si="156"/>
        <v>2.9300000000000068</v>
      </c>
      <c r="X121" s="925">
        <f t="shared" si="156"/>
        <v>3.25</v>
      </c>
      <c r="Y121" s="925">
        <f t="shared" si="156"/>
        <v>3.5699999999999932</v>
      </c>
      <c r="Z121" s="925">
        <f t="shared" si="156"/>
        <v>3.8899999999999864</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13"/>
      <c r="EK121" s="913"/>
      <c r="EL121" s="913"/>
      <c r="EM121" s="913"/>
      <c r="EN121" s="913"/>
      <c r="EO121" s="913"/>
      <c r="EP121" s="913"/>
      <c r="EQ121" s="913"/>
      <c r="ER121" s="913"/>
      <c r="ES121" s="913"/>
      <c r="ET121" s="913"/>
      <c r="EU121" s="913"/>
      <c r="EV121" s="913"/>
      <c r="EW121" s="913"/>
      <c r="EX121" s="913"/>
      <c r="EY121" s="913"/>
      <c r="EZ121" s="913"/>
      <c r="FA121" s="913"/>
      <c r="FB121" s="913"/>
      <c r="FC121" s="913"/>
      <c r="FD121" s="913"/>
      <c r="FE121" s="913"/>
      <c r="FF121" s="923"/>
    </row>
    <row r="122" spans="14:162" x14ac:dyDescent="0.25">
      <c r="N122" s="922"/>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13"/>
      <c r="EK122" s="913"/>
      <c r="EL122" s="913"/>
      <c r="EM122" s="913"/>
      <c r="EN122" s="913"/>
      <c r="EO122" s="913"/>
      <c r="EP122" s="913"/>
      <c r="EQ122" s="913"/>
      <c r="ER122" s="913"/>
      <c r="ES122" s="913"/>
      <c r="ET122" s="913"/>
      <c r="EU122" s="913"/>
      <c r="EV122" s="913"/>
      <c r="EW122" s="913"/>
      <c r="EX122" s="913"/>
      <c r="EY122" s="913"/>
      <c r="EZ122" s="913"/>
      <c r="FA122" s="913"/>
      <c r="FB122" s="913"/>
      <c r="FC122" s="913"/>
      <c r="FD122" s="913"/>
      <c r="FE122" s="913"/>
      <c r="FF122" s="923"/>
    </row>
    <row r="123" spans="14:162" x14ac:dyDescent="0.25">
      <c r="N123" s="922"/>
      <c r="O123" s="913"/>
      <c r="P123" s="913"/>
      <c r="Q123" s="913"/>
      <c r="R123" s="913"/>
      <c r="S123" s="913"/>
      <c r="T123" s="913"/>
      <c r="U123" s="913"/>
      <c r="V123" s="913"/>
      <c r="W123" s="913"/>
      <c r="X123" s="913"/>
      <c r="Y123" s="913"/>
      <c r="Z123" s="913"/>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13"/>
      <c r="EK123" s="913"/>
      <c r="EL123" s="913"/>
      <c r="EM123" s="913"/>
      <c r="EN123" s="913"/>
      <c r="EO123" s="913"/>
      <c r="EP123" s="913"/>
      <c r="EQ123" s="913"/>
      <c r="ER123" s="913"/>
      <c r="ES123" s="913"/>
      <c r="ET123" s="913"/>
      <c r="EU123" s="913"/>
      <c r="EV123" s="913"/>
      <c r="EW123" s="913"/>
      <c r="EX123" s="913"/>
      <c r="EY123" s="913"/>
      <c r="EZ123" s="913"/>
      <c r="FA123" s="913"/>
      <c r="FB123" s="913"/>
      <c r="FC123" s="913"/>
      <c r="FD123" s="913"/>
      <c r="FE123" s="913"/>
      <c r="FF123" s="923"/>
    </row>
    <row r="124" spans="14:162" x14ac:dyDescent="0.25">
      <c r="N124" s="922"/>
      <c r="O124" s="913"/>
      <c r="P124" s="913"/>
      <c r="Q124" s="913"/>
      <c r="R124" s="913"/>
      <c r="S124" s="913"/>
      <c r="T124" s="913"/>
      <c r="U124" s="913"/>
      <c r="V124" s="913"/>
      <c r="W124" s="913"/>
      <c r="X124" s="913"/>
      <c r="Y124" s="913"/>
      <c r="Z124" s="913"/>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13"/>
      <c r="EK124" s="913"/>
      <c r="EL124" s="913"/>
      <c r="EM124" s="913"/>
      <c r="EN124" s="913"/>
      <c r="EO124" s="913"/>
      <c r="EP124" s="913"/>
      <c r="EQ124" s="913"/>
      <c r="ER124" s="913"/>
      <c r="ES124" s="913"/>
      <c r="ET124" s="913"/>
      <c r="EU124" s="913"/>
      <c r="EV124" s="913"/>
      <c r="EW124" s="913"/>
      <c r="EX124" s="913"/>
      <c r="EY124" s="913"/>
      <c r="EZ124" s="913"/>
      <c r="FA124" s="913"/>
      <c r="FB124" s="913"/>
      <c r="FC124" s="913"/>
      <c r="FD124" s="913"/>
      <c r="FE124" s="913"/>
      <c r="FF124" s="923"/>
    </row>
    <row r="125" spans="14:162" x14ac:dyDescent="0.25">
      <c r="N125" s="922"/>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13"/>
      <c r="EK125" s="913"/>
      <c r="EL125" s="913"/>
      <c r="EM125" s="913"/>
      <c r="EN125" s="913"/>
      <c r="EO125" s="913"/>
      <c r="EP125" s="913"/>
      <c r="EQ125" s="913"/>
      <c r="ER125" s="913"/>
      <c r="ES125" s="913"/>
      <c r="ET125" s="913"/>
      <c r="EU125" s="913"/>
      <c r="EV125" s="913"/>
      <c r="EW125" s="913"/>
      <c r="EX125" s="913"/>
      <c r="EY125" s="913"/>
      <c r="EZ125" s="913"/>
      <c r="FA125" s="913"/>
      <c r="FB125" s="913"/>
      <c r="FC125" s="913"/>
      <c r="FD125" s="913"/>
      <c r="FE125" s="913"/>
      <c r="FF125" s="923"/>
    </row>
    <row r="126" spans="14:162" x14ac:dyDescent="0.25">
      <c r="N126" s="922" t="s">
        <v>418</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13"/>
      <c r="EK126" s="913"/>
      <c r="EL126" s="913"/>
      <c r="EM126" s="913"/>
      <c r="EN126" s="913"/>
      <c r="EO126" s="913"/>
      <c r="EP126" s="913"/>
      <c r="EQ126" s="913"/>
      <c r="ER126" s="913"/>
      <c r="ES126" s="913"/>
      <c r="ET126" s="913"/>
      <c r="EU126" s="913"/>
      <c r="EV126" s="913"/>
      <c r="EW126" s="913"/>
      <c r="EX126" s="913"/>
      <c r="EY126" s="913"/>
      <c r="EZ126" s="913"/>
      <c r="FA126" s="913"/>
      <c r="FB126" s="913"/>
      <c r="FC126" s="913"/>
      <c r="FD126" s="913"/>
      <c r="FE126" s="913"/>
      <c r="FF126" s="923"/>
    </row>
    <row r="127" spans="14:162"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13"/>
      <c r="EK127" s="913"/>
      <c r="EL127" s="913"/>
      <c r="EM127" s="913"/>
      <c r="EN127" s="913"/>
      <c r="EO127" s="913"/>
      <c r="EP127" s="913"/>
      <c r="EQ127" s="913"/>
      <c r="ER127" s="913"/>
      <c r="ES127" s="913"/>
      <c r="ET127" s="913"/>
      <c r="EU127" s="913"/>
      <c r="EV127" s="913"/>
      <c r="EW127" s="913"/>
      <c r="EX127" s="913"/>
      <c r="EY127" s="913"/>
      <c r="EZ127" s="913"/>
      <c r="FA127" s="913"/>
      <c r="FB127" s="913"/>
      <c r="FC127" s="913"/>
      <c r="FD127" s="913"/>
      <c r="FE127" s="913"/>
      <c r="FF127" s="923"/>
    </row>
    <row r="128" spans="14:162" x14ac:dyDescent="0.25">
      <c r="N128" s="922" t="s">
        <v>419</v>
      </c>
      <c r="O128" s="913">
        <v>12</v>
      </c>
      <c r="P128" s="913">
        <v>24</v>
      </c>
      <c r="Q128" s="913">
        <v>36</v>
      </c>
      <c r="R128" s="913">
        <v>48</v>
      </c>
      <c r="S128" s="913">
        <v>60</v>
      </c>
      <c r="T128" s="913">
        <v>72</v>
      </c>
      <c r="U128" s="913">
        <v>84</v>
      </c>
      <c r="V128" s="913">
        <v>96</v>
      </c>
      <c r="W128" s="913">
        <v>108</v>
      </c>
      <c r="X128" s="913">
        <v>120</v>
      </c>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13"/>
      <c r="EK128" s="913"/>
      <c r="EL128" s="913"/>
      <c r="EM128" s="913"/>
      <c r="EN128" s="913"/>
      <c r="EO128" s="913"/>
      <c r="EP128" s="913"/>
      <c r="EQ128" s="913"/>
      <c r="ER128" s="913"/>
      <c r="ES128" s="913"/>
      <c r="ET128" s="913"/>
      <c r="EU128" s="913"/>
      <c r="EV128" s="913"/>
      <c r="EW128" s="913"/>
      <c r="EX128" s="913"/>
      <c r="EY128" s="913"/>
      <c r="EZ128" s="913"/>
      <c r="FA128" s="913"/>
      <c r="FB128" s="913"/>
      <c r="FC128" s="913"/>
      <c r="FD128" s="913"/>
      <c r="FE128" s="913"/>
      <c r="FF128" s="923"/>
    </row>
    <row r="129" spans="14:162" x14ac:dyDescent="0.25">
      <c r="N129" s="926" t="s">
        <v>149</v>
      </c>
      <c r="O129" s="913">
        <v>602.11999999999989</v>
      </c>
      <c r="P129" s="913">
        <v>627.31999999999994</v>
      </c>
      <c r="Q129" s="913">
        <v>652.5</v>
      </c>
      <c r="R129" s="913">
        <v>677.69999999999993</v>
      </c>
      <c r="S129" s="913">
        <v>702.89999999999986</v>
      </c>
      <c r="T129" s="913">
        <v>742.68</v>
      </c>
      <c r="U129" s="913">
        <v>767.87999999999988</v>
      </c>
      <c r="V129" s="913">
        <v>793.07999999999993</v>
      </c>
      <c r="W129" s="913">
        <v>818.28</v>
      </c>
      <c r="X129" s="913">
        <v>843.4799999999999</v>
      </c>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13"/>
      <c r="EL129" s="913"/>
      <c r="EM129" s="913"/>
      <c r="EN129" s="913"/>
      <c r="EO129" s="913"/>
      <c r="EP129" s="913"/>
      <c r="EQ129" s="913"/>
      <c r="ER129" s="913"/>
      <c r="ES129" s="913"/>
      <c r="ET129" s="913"/>
      <c r="EU129" s="913"/>
      <c r="EV129" s="913"/>
      <c r="EW129" s="913"/>
      <c r="EX129" s="913"/>
      <c r="EY129" s="913"/>
      <c r="EZ129" s="913"/>
      <c r="FA129" s="913"/>
      <c r="FB129" s="913"/>
      <c r="FC129" s="913"/>
      <c r="FD129" s="913"/>
      <c r="FE129" s="913"/>
      <c r="FF129" s="923"/>
    </row>
    <row r="130" spans="14:162" x14ac:dyDescent="0.25">
      <c r="N130" s="922" t="s">
        <v>247</v>
      </c>
      <c r="O130" s="913">
        <v>39.2256</v>
      </c>
      <c r="P130" s="913">
        <v>39.2256</v>
      </c>
      <c r="Q130" s="913">
        <v>39.2256</v>
      </c>
      <c r="R130" s="913">
        <v>39.2256</v>
      </c>
      <c r="S130" s="913">
        <v>39.2256</v>
      </c>
      <c r="T130" s="913">
        <v>39.2256</v>
      </c>
      <c r="U130" s="913">
        <v>39.2256</v>
      </c>
      <c r="V130" s="913">
        <v>39.2256</v>
      </c>
      <c r="W130" s="913">
        <v>39.2256</v>
      </c>
      <c r="X130" s="913">
        <v>39.2256</v>
      </c>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13"/>
      <c r="EK130" s="913"/>
      <c r="EL130" s="913"/>
      <c r="EM130" s="913"/>
      <c r="EN130" s="913"/>
      <c r="EO130" s="913"/>
      <c r="EP130" s="913"/>
      <c r="EQ130" s="913"/>
      <c r="ER130" s="913"/>
      <c r="ES130" s="913"/>
      <c r="ET130" s="913"/>
      <c r="EU130" s="913"/>
      <c r="EV130" s="913"/>
      <c r="EW130" s="913"/>
      <c r="EX130" s="913"/>
      <c r="EY130" s="913"/>
      <c r="EZ130" s="913"/>
      <c r="FA130" s="913"/>
      <c r="FB130" s="913"/>
      <c r="FC130" s="913"/>
      <c r="FD130" s="913"/>
      <c r="FE130" s="913"/>
      <c r="FF130" s="923"/>
    </row>
    <row r="131" spans="14:162" x14ac:dyDescent="0.25">
      <c r="N131" s="926" t="s">
        <v>148</v>
      </c>
      <c r="O131" s="927">
        <v>32.659199999999998</v>
      </c>
      <c r="P131" s="913">
        <v>34.214399999999998</v>
      </c>
      <c r="Q131" s="913">
        <v>35.769599999999997</v>
      </c>
      <c r="R131" s="927">
        <v>37.324799999999996</v>
      </c>
      <c r="S131" s="927">
        <v>38.879999999999995</v>
      </c>
      <c r="T131" s="927">
        <v>40.435200000000002</v>
      </c>
      <c r="U131" s="927">
        <v>41.990400000000001</v>
      </c>
      <c r="V131" s="927">
        <v>43.5456</v>
      </c>
      <c r="W131" s="927">
        <v>45.1008</v>
      </c>
      <c r="X131" s="927">
        <v>46.655999999999999</v>
      </c>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13"/>
      <c r="EK131" s="913"/>
      <c r="EL131" s="913"/>
      <c r="EM131" s="913"/>
      <c r="EN131" s="913"/>
      <c r="EO131" s="913"/>
      <c r="EP131" s="913"/>
      <c r="EQ131" s="913"/>
      <c r="ER131" s="913"/>
      <c r="ES131" s="913"/>
      <c r="ET131" s="913"/>
      <c r="EU131" s="913"/>
      <c r="EV131" s="913"/>
      <c r="EW131" s="913"/>
      <c r="EX131" s="913"/>
      <c r="EY131" s="913"/>
      <c r="EZ131" s="913"/>
      <c r="FA131" s="913"/>
      <c r="FB131" s="913"/>
      <c r="FC131" s="913"/>
      <c r="FD131" s="913"/>
      <c r="FE131" s="913"/>
      <c r="FF131" s="923"/>
    </row>
    <row r="132" spans="14:162" x14ac:dyDescent="0.25">
      <c r="N132" s="922" t="s">
        <v>248</v>
      </c>
      <c r="O132" s="913">
        <v>10</v>
      </c>
      <c r="P132" s="913">
        <v>10</v>
      </c>
      <c r="Q132" s="913">
        <v>10</v>
      </c>
      <c r="R132" s="913">
        <v>10</v>
      </c>
      <c r="S132" s="913">
        <v>10</v>
      </c>
      <c r="T132" s="913">
        <v>12</v>
      </c>
      <c r="U132" s="913">
        <v>12</v>
      </c>
      <c r="V132" s="913">
        <v>12</v>
      </c>
      <c r="W132" s="913">
        <v>12</v>
      </c>
      <c r="X132" s="913">
        <v>12</v>
      </c>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13"/>
      <c r="EK132" s="913"/>
      <c r="EL132" s="913"/>
      <c r="EM132" s="913"/>
      <c r="EN132" s="913"/>
      <c r="EO132" s="913"/>
      <c r="EP132" s="913"/>
      <c r="EQ132" s="913"/>
      <c r="ER132" s="913"/>
      <c r="ES132" s="913"/>
      <c r="ET132" s="913"/>
      <c r="EU132" s="913"/>
      <c r="EV132" s="913"/>
      <c r="EW132" s="913"/>
      <c r="EX132" s="913"/>
      <c r="EY132" s="913"/>
      <c r="EZ132" s="913"/>
      <c r="FA132" s="913"/>
      <c r="FB132" s="913"/>
      <c r="FC132" s="913"/>
      <c r="FD132" s="913"/>
      <c r="FE132" s="913"/>
      <c r="FF132" s="923"/>
    </row>
    <row r="133" spans="14:162" x14ac:dyDescent="0.25">
      <c r="N133" s="922" t="s">
        <v>245</v>
      </c>
      <c r="O133" s="913">
        <v>46.979999999999983</v>
      </c>
      <c r="P133" s="913">
        <v>46.979999999999983</v>
      </c>
      <c r="Q133" s="913">
        <v>46.979999999999983</v>
      </c>
      <c r="R133" s="913">
        <v>46.979999999999983</v>
      </c>
      <c r="S133" s="913">
        <v>46.979999999999983</v>
      </c>
      <c r="T133" s="913">
        <v>46.979999999999983</v>
      </c>
      <c r="U133" s="913">
        <v>46.979999999999983</v>
      </c>
      <c r="V133" s="913">
        <v>46.979999999999983</v>
      </c>
      <c r="W133" s="913">
        <v>46.979999999999983</v>
      </c>
      <c r="X133" s="913">
        <v>46.979999999999983</v>
      </c>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13"/>
      <c r="EK133" s="913"/>
      <c r="EL133" s="913"/>
      <c r="EM133" s="913"/>
      <c r="EN133" s="913"/>
      <c r="EO133" s="913"/>
      <c r="EP133" s="913"/>
      <c r="EQ133" s="913"/>
      <c r="ER133" s="913"/>
      <c r="ES133" s="913"/>
      <c r="ET133" s="913"/>
      <c r="EU133" s="913"/>
      <c r="EV133" s="913"/>
      <c r="EW133" s="913"/>
      <c r="EX133" s="913"/>
      <c r="EY133" s="913"/>
      <c r="EZ133" s="913"/>
      <c r="FA133" s="913"/>
      <c r="FB133" s="913"/>
      <c r="FC133" s="913"/>
      <c r="FD133" s="913"/>
      <c r="FE133" s="913"/>
      <c r="FF133" s="923"/>
    </row>
    <row r="134" spans="14:162" x14ac:dyDescent="0.25">
      <c r="N134" s="922" t="s">
        <v>246</v>
      </c>
      <c r="O134" s="913">
        <v>1.7460000000000002</v>
      </c>
      <c r="P134" s="913">
        <v>3.4920000000000004</v>
      </c>
      <c r="Q134" s="913">
        <v>5.2379999999999995</v>
      </c>
      <c r="R134" s="913">
        <v>6.9840000000000009</v>
      </c>
      <c r="S134" s="913">
        <v>8.73</v>
      </c>
      <c r="T134" s="913">
        <v>10.475999999999999</v>
      </c>
      <c r="U134" s="913">
        <v>12.222</v>
      </c>
      <c r="V134" s="913">
        <v>13.968000000000002</v>
      </c>
      <c r="W134" s="913">
        <v>15.714000000000002</v>
      </c>
      <c r="X134" s="913">
        <v>17.46</v>
      </c>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13"/>
      <c r="EK134" s="913"/>
      <c r="EL134" s="913"/>
      <c r="EM134" s="913"/>
      <c r="EN134" s="913"/>
      <c r="EO134" s="913"/>
      <c r="EP134" s="913"/>
      <c r="EQ134" s="913"/>
      <c r="ER134" s="913"/>
      <c r="ES134" s="913"/>
      <c r="ET134" s="913"/>
      <c r="EU134" s="913"/>
      <c r="EV134" s="913"/>
      <c r="EW134" s="913"/>
      <c r="EX134" s="913"/>
      <c r="EY134" s="913"/>
      <c r="EZ134" s="913"/>
      <c r="FA134" s="913"/>
      <c r="FB134" s="913"/>
      <c r="FC134" s="913"/>
      <c r="FD134" s="913"/>
      <c r="FE134" s="913"/>
      <c r="FF134" s="923"/>
    </row>
    <row r="135" spans="14:162" x14ac:dyDescent="0.25">
      <c r="N135" s="922" t="s">
        <v>249</v>
      </c>
      <c r="O135" s="913">
        <v>45.832699999999996</v>
      </c>
      <c r="P135" s="913">
        <v>84.13669999999999</v>
      </c>
      <c r="Q135" s="913">
        <v>122.44069999999999</v>
      </c>
      <c r="R135" s="913">
        <v>160.74469999999997</v>
      </c>
      <c r="S135" s="913">
        <v>199.04869999999997</v>
      </c>
      <c r="T135" s="913">
        <v>237.35269999999997</v>
      </c>
      <c r="U135" s="913">
        <v>275.6567</v>
      </c>
      <c r="V135" s="913">
        <v>313.96069999999997</v>
      </c>
      <c r="W135" s="913">
        <v>419.31600000000003</v>
      </c>
      <c r="X135" s="913">
        <v>462.22800000000001</v>
      </c>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13"/>
      <c r="EK135" s="913"/>
      <c r="EL135" s="913"/>
      <c r="EM135" s="913"/>
      <c r="EN135" s="913"/>
      <c r="EO135" s="913"/>
      <c r="EP135" s="913"/>
      <c r="EQ135" s="913"/>
      <c r="ER135" s="913"/>
      <c r="ES135" s="913"/>
      <c r="ET135" s="913"/>
      <c r="EU135" s="913"/>
      <c r="EV135" s="913"/>
      <c r="EW135" s="913"/>
      <c r="EX135" s="913"/>
      <c r="EY135" s="913"/>
      <c r="EZ135" s="913"/>
      <c r="FA135" s="913"/>
      <c r="FB135" s="913"/>
      <c r="FC135" s="913"/>
      <c r="FD135" s="913"/>
      <c r="FE135" s="913"/>
      <c r="FF135" s="923"/>
    </row>
    <row r="136" spans="14:162"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13"/>
      <c r="EK136" s="913"/>
      <c r="EL136" s="913"/>
      <c r="EM136" s="913"/>
      <c r="EN136" s="913"/>
      <c r="EO136" s="913"/>
      <c r="EP136" s="913"/>
      <c r="EQ136" s="913"/>
      <c r="ER136" s="913"/>
      <c r="ES136" s="913"/>
      <c r="ET136" s="913"/>
      <c r="EU136" s="913"/>
      <c r="EV136" s="913"/>
      <c r="EW136" s="913"/>
      <c r="EX136" s="913"/>
      <c r="EY136" s="913"/>
      <c r="EZ136" s="913"/>
      <c r="FA136" s="913"/>
      <c r="FB136" s="913"/>
      <c r="FC136" s="913"/>
      <c r="FD136" s="913"/>
      <c r="FE136" s="913"/>
      <c r="FF136" s="923"/>
    </row>
    <row r="137" spans="14:162" x14ac:dyDescent="0.25">
      <c r="N137" s="922" t="s">
        <v>77</v>
      </c>
      <c r="O137" s="913">
        <v>778.56349999999998</v>
      </c>
      <c r="P137" s="913">
        <v>845.36869999999988</v>
      </c>
      <c r="Q137" s="913">
        <v>912.15389999999991</v>
      </c>
      <c r="R137" s="913">
        <v>978.95909999999992</v>
      </c>
      <c r="S137" s="913">
        <v>1045.7642999999998</v>
      </c>
      <c r="T137" s="913">
        <v>1129.1495</v>
      </c>
      <c r="U137" s="913">
        <v>1195.9546999999998</v>
      </c>
      <c r="V137" s="913">
        <v>1262.7599</v>
      </c>
      <c r="W137" s="913">
        <v>1396.6164000000001</v>
      </c>
      <c r="X137" s="913">
        <v>1468.0295999999998</v>
      </c>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13"/>
      <c r="EK137" s="913"/>
      <c r="EL137" s="913"/>
      <c r="EM137" s="913"/>
      <c r="EN137" s="913"/>
      <c r="EO137" s="913"/>
      <c r="EP137" s="913"/>
      <c r="EQ137" s="913"/>
      <c r="ER137" s="913"/>
      <c r="ES137" s="913"/>
      <c r="ET137" s="913"/>
      <c r="EU137" s="913"/>
      <c r="EV137" s="913"/>
      <c r="EW137" s="913"/>
      <c r="EX137" s="913"/>
      <c r="EY137" s="913"/>
      <c r="EZ137" s="913"/>
      <c r="FA137" s="913"/>
      <c r="FB137" s="913"/>
      <c r="FC137" s="913"/>
      <c r="FD137" s="913"/>
      <c r="FE137" s="913"/>
      <c r="FF137" s="923"/>
    </row>
    <row r="138" spans="14:162" x14ac:dyDescent="0.25">
      <c r="N138" s="922" t="s">
        <v>76</v>
      </c>
      <c r="O138" s="913">
        <v>77.856349999999992</v>
      </c>
      <c r="P138" s="913">
        <v>84.536869999999993</v>
      </c>
      <c r="Q138" s="913">
        <v>91.215389999999985</v>
      </c>
      <c r="R138" s="913">
        <v>97.895909999999986</v>
      </c>
      <c r="S138" s="913">
        <v>104.57642999999999</v>
      </c>
      <c r="T138" s="913">
        <v>94.09579166666667</v>
      </c>
      <c r="U138" s="913">
        <v>99.662891666666653</v>
      </c>
      <c r="V138" s="913">
        <v>105.22999166666666</v>
      </c>
      <c r="W138" s="913">
        <v>116.38470000000001</v>
      </c>
      <c r="X138" s="913">
        <v>122.33579999999999</v>
      </c>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13"/>
      <c r="EK138" s="913"/>
      <c r="EL138" s="913"/>
      <c r="EM138" s="913"/>
      <c r="EN138" s="913"/>
      <c r="EO138" s="913"/>
      <c r="EP138" s="913"/>
      <c r="EQ138" s="913"/>
      <c r="ER138" s="913"/>
      <c r="ES138" s="913"/>
      <c r="ET138" s="913"/>
      <c r="EU138" s="913"/>
      <c r="EV138" s="913"/>
      <c r="EW138" s="913"/>
      <c r="EX138" s="913"/>
      <c r="EY138" s="913"/>
      <c r="EZ138" s="913"/>
      <c r="FA138" s="913"/>
      <c r="FB138" s="913"/>
      <c r="FC138" s="913"/>
      <c r="FD138" s="913"/>
      <c r="FE138" s="913"/>
      <c r="FF138" s="923"/>
    </row>
    <row r="139" spans="14:162"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13"/>
      <c r="EK139" s="913"/>
      <c r="EL139" s="913"/>
      <c r="EM139" s="913"/>
      <c r="EN139" s="913"/>
      <c r="EO139" s="913"/>
      <c r="EP139" s="913"/>
      <c r="EQ139" s="913"/>
      <c r="ER139" s="913"/>
      <c r="ES139" s="913"/>
      <c r="ET139" s="913"/>
      <c r="EU139" s="913"/>
      <c r="EV139" s="913"/>
      <c r="EW139" s="913"/>
      <c r="EX139" s="913"/>
      <c r="EY139" s="913"/>
      <c r="EZ139" s="913"/>
      <c r="FA139" s="913"/>
      <c r="FB139" s="913"/>
      <c r="FC139" s="913"/>
      <c r="FD139" s="913"/>
      <c r="FE139" s="913"/>
      <c r="FF139" s="923"/>
    </row>
    <row r="140" spans="14:162"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13"/>
      <c r="EK140" s="913"/>
      <c r="EL140" s="913"/>
      <c r="EM140" s="913"/>
      <c r="EN140" s="913"/>
      <c r="EO140" s="913"/>
      <c r="EP140" s="913"/>
      <c r="EQ140" s="913"/>
      <c r="ER140" s="913"/>
      <c r="ES140" s="913"/>
      <c r="ET140" s="913"/>
      <c r="EU140" s="913"/>
      <c r="EV140" s="913"/>
      <c r="EW140" s="913"/>
      <c r="EX140" s="913"/>
      <c r="EY140" s="913"/>
      <c r="EZ140" s="913"/>
      <c r="FA140" s="913"/>
      <c r="FB140" s="913"/>
      <c r="FC140" s="913"/>
      <c r="FD140" s="913"/>
      <c r="FE140" s="913"/>
      <c r="FF140" s="923"/>
    </row>
    <row r="141" spans="14:162" ht="150.75" customHeight="1" x14ac:dyDescent="0.25">
      <c r="N141" s="922" t="s">
        <v>420</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13"/>
      <c r="EK141" s="913"/>
      <c r="EL141" s="913"/>
      <c r="EM141" s="913"/>
      <c r="EN141" s="913"/>
      <c r="EO141" s="913"/>
      <c r="EP141" s="913"/>
      <c r="EQ141" s="913"/>
      <c r="ER141" s="913"/>
      <c r="ES141" s="913"/>
      <c r="ET141" s="913"/>
      <c r="EU141" s="913"/>
      <c r="EV141" s="913"/>
      <c r="EW141" s="913"/>
      <c r="EX141" s="913"/>
      <c r="EY141" s="913"/>
      <c r="EZ141" s="913"/>
      <c r="FA141" s="913"/>
      <c r="FB141" s="913"/>
      <c r="FC141" s="913"/>
      <c r="FD141" s="913"/>
      <c r="FE141" s="913"/>
      <c r="FF141" s="923"/>
    </row>
    <row r="142" spans="14:162"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13"/>
      <c r="EK142" s="913"/>
      <c r="EL142" s="913"/>
      <c r="EM142" s="913"/>
      <c r="EN142" s="913"/>
      <c r="EO142" s="913"/>
      <c r="EP142" s="913"/>
      <c r="EQ142" s="913"/>
      <c r="ER142" s="913"/>
      <c r="ES142" s="913"/>
      <c r="ET142" s="913"/>
      <c r="EU142" s="913"/>
      <c r="EV142" s="913"/>
      <c r="EW142" s="913"/>
      <c r="EX142" s="913"/>
      <c r="EY142" s="913"/>
      <c r="EZ142" s="913"/>
      <c r="FA142" s="913"/>
      <c r="FB142" s="913"/>
      <c r="FC142" s="913"/>
      <c r="FD142" s="913"/>
      <c r="FE142" s="913"/>
      <c r="FF142" s="923"/>
    </row>
    <row r="143" spans="14:162" x14ac:dyDescent="0.25">
      <c r="N143" s="922" t="s">
        <v>215</v>
      </c>
      <c r="O143" s="913">
        <v>12</v>
      </c>
      <c r="P143" s="913">
        <v>24</v>
      </c>
      <c r="Q143" s="913">
        <v>36</v>
      </c>
      <c r="R143" s="913">
        <v>48</v>
      </c>
      <c r="S143" s="913">
        <v>60</v>
      </c>
      <c r="T143" s="913">
        <v>72</v>
      </c>
      <c r="U143" s="913">
        <v>84</v>
      </c>
      <c r="V143" s="913">
        <v>96</v>
      </c>
      <c r="W143" s="913">
        <v>108</v>
      </c>
      <c r="X143" s="913">
        <v>120</v>
      </c>
      <c r="Y143" s="913">
        <v>132</v>
      </c>
      <c r="Z143" s="913">
        <v>144</v>
      </c>
      <c r="AA143" s="913">
        <v>156</v>
      </c>
      <c r="AB143" s="913">
        <v>168</v>
      </c>
      <c r="AC143" s="913">
        <v>180</v>
      </c>
      <c r="AD143" s="913">
        <v>192</v>
      </c>
      <c r="AE143" s="913">
        <v>204</v>
      </c>
      <c r="AF143" s="913">
        <v>216</v>
      </c>
      <c r="AG143" s="913">
        <v>228</v>
      </c>
      <c r="AH143" s="913">
        <v>240</v>
      </c>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13"/>
      <c r="EK143" s="913"/>
      <c r="EL143" s="913"/>
      <c r="EM143" s="913"/>
      <c r="EN143" s="913"/>
      <c r="EO143" s="913"/>
      <c r="EP143" s="913"/>
      <c r="EQ143" s="913"/>
      <c r="ER143" s="913"/>
      <c r="ES143" s="913"/>
      <c r="ET143" s="913"/>
      <c r="EU143" s="913"/>
      <c r="EV143" s="913"/>
      <c r="EW143" s="913"/>
      <c r="EX143" s="913"/>
      <c r="EY143" s="913"/>
      <c r="EZ143" s="913"/>
      <c r="FA143" s="913"/>
      <c r="FB143" s="913"/>
      <c r="FC143" s="913"/>
      <c r="FD143" s="913"/>
      <c r="FE143" s="913"/>
      <c r="FF143" s="923"/>
    </row>
    <row r="144" spans="14:162" x14ac:dyDescent="0.25">
      <c r="N144" s="926" t="s">
        <v>149</v>
      </c>
      <c r="O144" s="913">
        <v>79.599999999999994</v>
      </c>
      <c r="P144" s="913">
        <v>104.8</v>
      </c>
      <c r="Q144" s="913">
        <v>129.98000000000002</v>
      </c>
      <c r="R144" s="913">
        <v>155.18</v>
      </c>
      <c r="S144" s="913">
        <v>180.38</v>
      </c>
      <c r="T144" s="913">
        <v>220.16000000000003</v>
      </c>
      <c r="U144" s="913">
        <v>245.36</v>
      </c>
      <c r="V144" s="913">
        <v>270.56</v>
      </c>
      <c r="W144" s="913">
        <v>295.76</v>
      </c>
      <c r="X144" s="913">
        <v>320.95999999999998</v>
      </c>
      <c r="Y144" s="913">
        <v>360.74</v>
      </c>
      <c r="Z144" s="913">
        <v>385.94</v>
      </c>
      <c r="AA144" s="913">
        <v>411.14</v>
      </c>
      <c r="AB144" s="913">
        <v>436.34</v>
      </c>
      <c r="AC144" s="913">
        <v>461.53999999999996</v>
      </c>
      <c r="AD144" s="913">
        <v>501.32</v>
      </c>
      <c r="AE144" s="913">
        <v>526.52</v>
      </c>
      <c r="AF144" s="913">
        <v>551.71999999999991</v>
      </c>
      <c r="AG144" s="913">
        <v>576.91999999999985</v>
      </c>
      <c r="AH144" s="913">
        <v>602.11999999999989</v>
      </c>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13"/>
      <c r="EK144" s="913"/>
      <c r="EL144" s="913"/>
      <c r="EM144" s="913"/>
      <c r="EN144" s="913"/>
      <c r="EO144" s="913"/>
      <c r="EP144" s="913"/>
      <c r="EQ144" s="913"/>
      <c r="ER144" s="913"/>
      <c r="ES144" s="913"/>
      <c r="ET144" s="913"/>
      <c r="EU144" s="913"/>
      <c r="EV144" s="913"/>
      <c r="EW144" s="913"/>
      <c r="EX144" s="913"/>
      <c r="EY144" s="913"/>
      <c r="EZ144" s="913"/>
      <c r="FA144" s="913"/>
      <c r="FB144" s="913"/>
      <c r="FC144" s="913"/>
      <c r="FD144" s="913"/>
      <c r="FE144" s="913"/>
      <c r="FF144" s="923"/>
    </row>
    <row r="145" spans="3:162" x14ac:dyDescent="0.25">
      <c r="N145" s="922" t="s">
        <v>247</v>
      </c>
      <c r="O145" s="913">
        <v>39.2256</v>
      </c>
      <c r="P145" s="913">
        <v>39.2256</v>
      </c>
      <c r="Q145" s="913">
        <v>39.2256</v>
      </c>
      <c r="R145" s="913">
        <v>39.2256</v>
      </c>
      <c r="S145" s="913">
        <v>39.2256</v>
      </c>
      <c r="T145" s="913">
        <v>39.2256</v>
      </c>
      <c r="U145" s="913">
        <v>39.2256</v>
      </c>
      <c r="V145" s="913">
        <v>39.2256</v>
      </c>
      <c r="W145" s="913">
        <v>39.2256</v>
      </c>
      <c r="X145" s="913">
        <v>39.2256</v>
      </c>
      <c r="Y145" s="913">
        <v>39.2256</v>
      </c>
      <c r="Z145" s="913">
        <v>39.2256</v>
      </c>
      <c r="AA145" s="913">
        <v>39.2256</v>
      </c>
      <c r="AB145" s="913">
        <v>39.2256</v>
      </c>
      <c r="AC145" s="913">
        <v>39.2256</v>
      </c>
      <c r="AD145" s="913">
        <v>39.2256</v>
      </c>
      <c r="AE145" s="913">
        <v>39.2256</v>
      </c>
      <c r="AF145" s="913">
        <v>39.2256</v>
      </c>
      <c r="AG145" s="913">
        <v>39.2256</v>
      </c>
      <c r="AH145" s="913">
        <v>39.2256</v>
      </c>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13"/>
      <c r="EK145" s="913"/>
      <c r="EL145" s="913"/>
      <c r="EM145" s="913"/>
      <c r="EN145" s="913"/>
      <c r="EO145" s="913"/>
      <c r="EP145" s="913"/>
      <c r="EQ145" s="913"/>
      <c r="ER145" s="913"/>
      <c r="ES145" s="913"/>
      <c r="ET145" s="913"/>
      <c r="EU145" s="913"/>
      <c r="EV145" s="913"/>
      <c r="EW145" s="913"/>
      <c r="EX145" s="913"/>
      <c r="EY145" s="913"/>
      <c r="EZ145" s="913"/>
      <c r="FA145" s="913"/>
      <c r="FB145" s="913"/>
      <c r="FC145" s="913"/>
      <c r="FD145" s="913"/>
      <c r="FE145" s="913"/>
      <c r="FF145" s="923"/>
    </row>
    <row r="146" spans="3:162" x14ac:dyDescent="0.25">
      <c r="N146" s="926" t="s">
        <v>148</v>
      </c>
      <c r="O146" s="927">
        <v>3.1103999999999998</v>
      </c>
      <c r="P146" s="913">
        <v>4.6655999999999995</v>
      </c>
      <c r="Q146" s="927">
        <v>6.2207999999999997</v>
      </c>
      <c r="R146" s="927">
        <v>7.7759999999999998</v>
      </c>
      <c r="S146" s="927">
        <v>9.3311999999999991</v>
      </c>
      <c r="T146" s="913">
        <v>10.8864</v>
      </c>
      <c r="U146" s="927">
        <v>12.441599999999999</v>
      </c>
      <c r="V146" s="927">
        <v>13.9968</v>
      </c>
      <c r="W146" s="927">
        <v>15.552</v>
      </c>
      <c r="X146" s="927">
        <v>17.107199999999999</v>
      </c>
      <c r="Y146" s="927">
        <v>18.662399999999998</v>
      </c>
      <c r="Z146" s="913">
        <v>20.217600000000001</v>
      </c>
      <c r="AA146" s="913">
        <v>21.7728</v>
      </c>
      <c r="AB146" s="913">
        <v>23.327999999999999</v>
      </c>
      <c r="AC146" s="913">
        <v>24.883199999999999</v>
      </c>
      <c r="AD146" s="913">
        <v>26.438399999999998</v>
      </c>
      <c r="AE146" s="913">
        <v>27.993600000000001</v>
      </c>
      <c r="AF146" s="913">
        <v>29.5488</v>
      </c>
      <c r="AG146" s="913">
        <v>31.103999999999999</v>
      </c>
      <c r="AH146" s="913">
        <v>32.659199999999998</v>
      </c>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13"/>
      <c r="EK146" s="913"/>
      <c r="EL146" s="913"/>
      <c r="EM146" s="913"/>
      <c r="EN146" s="913"/>
      <c r="EO146" s="913"/>
      <c r="EP146" s="913"/>
      <c r="EQ146" s="913"/>
      <c r="ER146" s="913"/>
      <c r="ES146" s="913"/>
      <c r="ET146" s="913"/>
      <c r="EU146" s="913"/>
      <c r="EV146" s="913"/>
      <c r="EW146" s="913"/>
      <c r="EX146" s="913"/>
      <c r="EY146" s="913"/>
      <c r="EZ146" s="913"/>
      <c r="FA146" s="913"/>
      <c r="FB146" s="913"/>
      <c r="FC146" s="913"/>
      <c r="FD146" s="913"/>
      <c r="FE146" s="913"/>
      <c r="FF146" s="923"/>
    </row>
    <row r="147" spans="3:162" x14ac:dyDescent="0.25">
      <c r="N147" s="922" t="s">
        <v>248</v>
      </c>
      <c r="O147" s="913">
        <v>4</v>
      </c>
      <c r="P147" s="913">
        <v>4</v>
      </c>
      <c r="Q147" s="913">
        <v>4</v>
      </c>
      <c r="R147" s="913">
        <v>4</v>
      </c>
      <c r="S147" s="913">
        <v>4</v>
      </c>
      <c r="T147" s="913">
        <v>6</v>
      </c>
      <c r="U147" s="913">
        <v>6</v>
      </c>
      <c r="V147" s="913">
        <v>6</v>
      </c>
      <c r="W147" s="913">
        <v>6</v>
      </c>
      <c r="X147" s="913">
        <v>6</v>
      </c>
      <c r="Y147" s="913">
        <v>8</v>
      </c>
      <c r="Z147" s="913">
        <v>8</v>
      </c>
      <c r="AA147" s="913">
        <v>8</v>
      </c>
      <c r="AB147" s="913">
        <v>8</v>
      </c>
      <c r="AC147" s="913">
        <v>8</v>
      </c>
      <c r="AD147" s="913">
        <v>10</v>
      </c>
      <c r="AE147" s="913">
        <v>10</v>
      </c>
      <c r="AF147" s="913">
        <v>10</v>
      </c>
      <c r="AG147" s="913">
        <v>10</v>
      </c>
      <c r="AH147" s="913">
        <v>10</v>
      </c>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13"/>
      <c r="EK147" s="913"/>
      <c r="EL147" s="913"/>
      <c r="EM147" s="913"/>
      <c r="EN147" s="913"/>
      <c r="EO147" s="913"/>
      <c r="EP147" s="913"/>
      <c r="EQ147" s="913"/>
      <c r="ER147" s="913"/>
      <c r="ES147" s="913"/>
      <c r="ET147" s="913"/>
      <c r="EU147" s="913"/>
      <c r="EV147" s="913"/>
      <c r="EW147" s="913"/>
      <c r="EX147" s="913"/>
      <c r="EY147" s="913"/>
      <c r="EZ147" s="913"/>
      <c r="FA147" s="913"/>
      <c r="FB147" s="913"/>
      <c r="FC147" s="913"/>
      <c r="FD147" s="913"/>
      <c r="FE147" s="913"/>
      <c r="FF147" s="923"/>
    </row>
    <row r="148" spans="3:162" x14ac:dyDescent="0.25">
      <c r="N148" s="922" t="s">
        <v>245</v>
      </c>
      <c r="O148" s="913">
        <v>0</v>
      </c>
      <c r="P148" s="913">
        <v>0</v>
      </c>
      <c r="Q148" s="913">
        <v>0</v>
      </c>
      <c r="R148" s="913">
        <v>0</v>
      </c>
      <c r="S148" s="913">
        <v>0</v>
      </c>
      <c r="T148" s="913">
        <v>0</v>
      </c>
      <c r="U148" s="913">
        <v>0</v>
      </c>
      <c r="V148" s="913">
        <v>0</v>
      </c>
      <c r="W148" s="913">
        <v>0</v>
      </c>
      <c r="X148" s="913">
        <v>0</v>
      </c>
      <c r="Y148" s="913">
        <v>31.31999999999999</v>
      </c>
      <c r="Z148" s="913">
        <v>31.31999999999999</v>
      </c>
      <c r="AA148" s="913">
        <v>31.31999999999999</v>
      </c>
      <c r="AB148" s="913">
        <v>31.31999999999999</v>
      </c>
      <c r="AC148" s="913">
        <v>31.31999999999999</v>
      </c>
      <c r="AD148" s="913">
        <v>46.979999999999983</v>
      </c>
      <c r="AE148" s="913">
        <v>46.979999999999983</v>
      </c>
      <c r="AF148" s="913">
        <v>46.979999999999983</v>
      </c>
      <c r="AG148" s="913">
        <v>46.979999999999983</v>
      </c>
      <c r="AH148" s="913">
        <v>46.979999999999983</v>
      </c>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13"/>
      <c r="EK148" s="913"/>
      <c r="EL148" s="913"/>
      <c r="EM148" s="913"/>
      <c r="EN148" s="913"/>
      <c r="EO148" s="913"/>
      <c r="EP148" s="913"/>
      <c r="EQ148" s="913"/>
      <c r="ER148" s="913"/>
      <c r="ES148" s="913"/>
      <c r="ET148" s="913"/>
      <c r="EU148" s="913"/>
      <c r="EV148" s="913"/>
      <c r="EW148" s="913"/>
      <c r="EX148" s="913"/>
      <c r="EY148" s="913"/>
      <c r="EZ148" s="913"/>
      <c r="FA148" s="913"/>
      <c r="FB148" s="913"/>
      <c r="FC148" s="913"/>
      <c r="FD148" s="913"/>
      <c r="FE148" s="913"/>
      <c r="FF148" s="923"/>
    </row>
    <row r="149" spans="3:162" x14ac:dyDescent="0.25">
      <c r="N149" s="922" t="s">
        <v>246</v>
      </c>
      <c r="O149" s="913">
        <v>0</v>
      </c>
      <c r="P149" s="913">
        <v>0</v>
      </c>
      <c r="Q149" s="913">
        <v>0</v>
      </c>
      <c r="R149" s="913">
        <v>0</v>
      </c>
      <c r="S149" s="913">
        <v>0</v>
      </c>
      <c r="T149" s="913">
        <v>0</v>
      </c>
      <c r="U149" s="913">
        <v>0</v>
      </c>
      <c r="V149" s="913">
        <v>0</v>
      </c>
      <c r="W149" s="913">
        <v>0</v>
      </c>
      <c r="X149" s="913">
        <v>0</v>
      </c>
      <c r="Y149" s="913">
        <v>1.1640000000000001</v>
      </c>
      <c r="Z149" s="913">
        <v>1.1640000000000001</v>
      </c>
      <c r="AA149" s="913">
        <v>1.1640000000000001</v>
      </c>
      <c r="AB149" s="913">
        <v>1.1640000000000001</v>
      </c>
      <c r="AC149" s="913">
        <v>1.1640000000000001</v>
      </c>
      <c r="AD149" s="913">
        <v>1.7460000000000002</v>
      </c>
      <c r="AE149" s="913">
        <v>1.7460000000000002</v>
      </c>
      <c r="AF149" s="913">
        <v>1.7460000000000002</v>
      </c>
      <c r="AG149" s="913">
        <v>1.7460000000000002</v>
      </c>
      <c r="AH149" s="913">
        <v>1.7460000000000002</v>
      </c>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13"/>
      <c r="EK149" s="913"/>
      <c r="EL149" s="913"/>
      <c r="EM149" s="913"/>
      <c r="EN149" s="913"/>
      <c r="EO149" s="913"/>
      <c r="EP149" s="913"/>
      <c r="EQ149" s="913"/>
      <c r="ER149" s="913"/>
      <c r="ES149" s="913"/>
      <c r="ET149" s="913"/>
      <c r="EU149" s="913"/>
      <c r="EV149" s="913"/>
      <c r="EW149" s="913"/>
      <c r="EX149" s="913"/>
      <c r="EY149" s="913"/>
      <c r="EZ149" s="913"/>
      <c r="FA149" s="913"/>
      <c r="FB149" s="913"/>
      <c r="FC149" s="913"/>
      <c r="FD149" s="913"/>
      <c r="FE149" s="913"/>
      <c r="FF149" s="923"/>
    </row>
    <row r="150" spans="3:162" x14ac:dyDescent="0.25">
      <c r="C150" s="138"/>
      <c r="N150" s="922" t="s">
        <v>249</v>
      </c>
      <c r="O150" s="913">
        <v>5.0708000000000002</v>
      </c>
      <c r="P150" s="913">
        <v>6.6115999999999993</v>
      </c>
      <c r="Q150" s="913">
        <v>8.1524000000000001</v>
      </c>
      <c r="R150" s="913">
        <v>9.6931999999999992</v>
      </c>
      <c r="S150" s="913">
        <v>11.234</v>
      </c>
      <c r="T150" s="913">
        <v>12.774799999999999</v>
      </c>
      <c r="U150" s="913">
        <v>14.315599999999998</v>
      </c>
      <c r="V150" s="913">
        <v>15.856399999999999</v>
      </c>
      <c r="W150" s="913">
        <v>24.765499999999999</v>
      </c>
      <c r="X150" s="913">
        <v>26.680699999999998</v>
      </c>
      <c r="Y150" s="913">
        <v>28.5959</v>
      </c>
      <c r="Z150" s="913">
        <v>30.511099999999999</v>
      </c>
      <c r="AA150" s="913">
        <v>32.426299999999998</v>
      </c>
      <c r="AB150" s="913">
        <v>34.341499999999996</v>
      </c>
      <c r="AC150" s="913">
        <v>36.256699999999995</v>
      </c>
      <c r="AD150" s="913">
        <v>38.171900000000001</v>
      </c>
      <c r="AE150" s="913">
        <v>40.0871</v>
      </c>
      <c r="AF150" s="913">
        <v>42.002299999999998</v>
      </c>
      <c r="AG150" s="913">
        <v>43.917499999999997</v>
      </c>
      <c r="AH150" s="913">
        <v>45.832699999999996</v>
      </c>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13"/>
      <c r="EK150" s="913"/>
      <c r="EL150" s="913"/>
      <c r="EM150" s="913"/>
      <c r="EN150" s="913"/>
      <c r="EO150" s="913"/>
      <c r="EP150" s="913"/>
      <c r="EQ150" s="913"/>
      <c r="ER150" s="913"/>
      <c r="ES150" s="913"/>
      <c r="ET150" s="913"/>
      <c r="EU150" s="913"/>
      <c r="EV150" s="913"/>
      <c r="EW150" s="913"/>
      <c r="EX150" s="913"/>
      <c r="EY150" s="913"/>
      <c r="EZ150" s="913"/>
      <c r="FA150" s="913"/>
      <c r="FB150" s="913"/>
      <c r="FC150" s="913"/>
      <c r="FD150" s="913"/>
      <c r="FE150" s="913"/>
      <c r="FF150" s="923"/>
    </row>
    <row r="151" spans="3:162"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13"/>
      <c r="EK151" s="913"/>
      <c r="EL151" s="913"/>
      <c r="EM151" s="913"/>
      <c r="EN151" s="913"/>
      <c r="EO151" s="913"/>
      <c r="EP151" s="913"/>
      <c r="EQ151" s="913"/>
      <c r="ER151" s="913"/>
      <c r="ES151" s="913"/>
      <c r="ET151" s="913"/>
      <c r="EU151" s="913"/>
      <c r="EV151" s="913"/>
      <c r="EW151" s="913"/>
      <c r="EX151" s="913"/>
      <c r="EY151" s="913"/>
      <c r="EZ151" s="913"/>
      <c r="FA151" s="913"/>
      <c r="FB151" s="913"/>
      <c r="FC151" s="913"/>
      <c r="FD151" s="913"/>
      <c r="FE151" s="913"/>
      <c r="FF151" s="923"/>
    </row>
    <row r="152" spans="3:162" x14ac:dyDescent="0.25">
      <c r="N152" s="922" t="s">
        <v>77</v>
      </c>
      <c r="O152" s="913">
        <v>131.0068</v>
      </c>
      <c r="P152" s="913">
        <v>159.30280000000002</v>
      </c>
      <c r="Q152" s="913">
        <v>187.5788</v>
      </c>
      <c r="R152" s="913">
        <v>215.87479999999999</v>
      </c>
      <c r="S152" s="913">
        <v>244.17079999999999</v>
      </c>
      <c r="T152" s="913">
        <v>289.04679999999996</v>
      </c>
      <c r="U152" s="913">
        <v>317.34280000000001</v>
      </c>
      <c r="V152" s="913">
        <v>345.6388</v>
      </c>
      <c r="W152" s="913">
        <v>381.30309999999997</v>
      </c>
      <c r="X152" s="913">
        <v>409.97349999999994</v>
      </c>
      <c r="Y152" s="913">
        <v>487.7079</v>
      </c>
      <c r="Z152" s="913">
        <v>516.37829999999997</v>
      </c>
      <c r="AA152" s="913">
        <v>545.04869999999994</v>
      </c>
      <c r="AB152" s="913">
        <v>573.71909999999991</v>
      </c>
      <c r="AC152" s="913">
        <v>602.38949999999988</v>
      </c>
      <c r="AD152" s="913">
        <v>663.88190000000009</v>
      </c>
      <c r="AE152" s="913">
        <v>692.55229999999995</v>
      </c>
      <c r="AF152" s="913">
        <v>721.22269999999992</v>
      </c>
      <c r="AG152" s="913">
        <v>749.89309999999989</v>
      </c>
      <c r="AH152" s="913">
        <v>778.56349999999998</v>
      </c>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13"/>
      <c r="EL152" s="913"/>
      <c r="EM152" s="913"/>
      <c r="EN152" s="913"/>
      <c r="EO152" s="913"/>
      <c r="EP152" s="913"/>
      <c r="EQ152" s="913"/>
      <c r="ER152" s="913"/>
      <c r="ES152" s="913"/>
      <c r="ET152" s="913"/>
      <c r="EU152" s="913"/>
      <c r="EV152" s="913"/>
      <c r="EW152" s="913"/>
      <c r="EX152" s="913"/>
      <c r="EY152" s="913"/>
      <c r="EZ152" s="913"/>
      <c r="FA152" s="913"/>
      <c r="FB152" s="913"/>
      <c r="FC152" s="913"/>
      <c r="FD152" s="913"/>
      <c r="FE152" s="913"/>
      <c r="FF152" s="923"/>
    </row>
    <row r="153" spans="3:162" x14ac:dyDescent="0.25">
      <c r="N153" s="922" t="s">
        <v>76</v>
      </c>
      <c r="O153" s="913">
        <v>32.7517</v>
      </c>
      <c r="P153" s="913">
        <v>39.825700000000005</v>
      </c>
      <c r="Q153" s="913">
        <v>46.8947</v>
      </c>
      <c r="R153" s="913">
        <v>53.968699999999998</v>
      </c>
      <c r="S153" s="913">
        <v>61.042699999999996</v>
      </c>
      <c r="T153" s="913">
        <v>48.17446666666666</v>
      </c>
      <c r="U153" s="913">
        <v>52.890466666666669</v>
      </c>
      <c r="V153" s="913">
        <v>57.60646666666667</v>
      </c>
      <c r="W153" s="913">
        <v>63.55051666666666</v>
      </c>
      <c r="X153" s="913">
        <v>68.328916666666657</v>
      </c>
      <c r="Y153" s="913">
        <v>60.963487499999999</v>
      </c>
      <c r="Z153" s="913">
        <v>64.547287499999996</v>
      </c>
      <c r="AA153" s="913">
        <v>68.131087499999992</v>
      </c>
      <c r="AB153" s="913">
        <v>71.714887499999989</v>
      </c>
      <c r="AC153" s="913">
        <v>75.298687499999986</v>
      </c>
      <c r="AD153" s="913">
        <v>66.388190000000009</v>
      </c>
      <c r="AE153" s="913">
        <v>69.255229999999997</v>
      </c>
      <c r="AF153" s="913">
        <v>72.122269999999986</v>
      </c>
      <c r="AG153" s="913">
        <v>74.989309999999989</v>
      </c>
      <c r="AH153" s="913">
        <v>77.856349999999992</v>
      </c>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13"/>
      <c r="EL153" s="913"/>
      <c r="EM153" s="913"/>
      <c r="EN153" s="913"/>
      <c r="EO153" s="913"/>
      <c r="EP153" s="913"/>
      <c r="EQ153" s="913"/>
      <c r="ER153" s="913"/>
      <c r="ES153" s="913"/>
      <c r="ET153" s="913"/>
      <c r="EU153" s="913"/>
      <c r="EV153" s="913"/>
      <c r="EW153" s="913"/>
      <c r="EX153" s="913"/>
      <c r="EY153" s="913"/>
      <c r="EZ153" s="913"/>
      <c r="FA153" s="913"/>
      <c r="FB153" s="913"/>
      <c r="FC153" s="913"/>
      <c r="FD153" s="913"/>
      <c r="FE153" s="913"/>
      <c r="FF153" s="923"/>
    </row>
    <row r="154" spans="3:162"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13"/>
      <c r="EL154" s="913"/>
      <c r="EM154" s="913"/>
      <c r="EN154" s="913"/>
      <c r="EO154" s="913"/>
      <c r="EP154" s="913"/>
      <c r="EQ154" s="913"/>
      <c r="ER154" s="913"/>
      <c r="ES154" s="913"/>
      <c r="ET154" s="913"/>
      <c r="EU154" s="913"/>
      <c r="EV154" s="913"/>
      <c r="EW154" s="913"/>
      <c r="EX154" s="913"/>
      <c r="EY154" s="913"/>
      <c r="EZ154" s="913"/>
      <c r="FA154" s="913"/>
      <c r="FB154" s="913"/>
      <c r="FC154" s="913"/>
      <c r="FD154" s="913"/>
      <c r="FE154" s="913"/>
      <c r="FF154" s="923"/>
    </row>
    <row r="155" spans="3:162"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13"/>
      <c r="EL155" s="913"/>
      <c r="EM155" s="913"/>
      <c r="EN155" s="913"/>
      <c r="EO155" s="913"/>
      <c r="EP155" s="913"/>
      <c r="EQ155" s="913"/>
      <c r="ER155" s="913"/>
      <c r="ES155" s="913"/>
      <c r="ET155" s="913"/>
      <c r="EU155" s="913"/>
      <c r="EV155" s="913"/>
      <c r="EW155" s="913"/>
      <c r="EX155" s="913"/>
      <c r="EY155" s="913"/>
      <c r="EZ155" s="913"/>
      <c r="FA155" s="913"/>
      <c r="FB155" s="913"/>
      <c r="FC155" s="913"/>
      <c r="FD155" s="913"/>
      <c r="FE155" s="913"/>
      <c r="FF155" s="923"/>
    </row>
    <row r="156" spans="3:162" x14ac:dyDescent="0.25">
      <c r="N156" s="922" t="s">
        <v>423</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13"/>
      <c r="EK156" s="913"/>
      <c r="EL156" s="913"/>
      <c r="EM156" s="913"/>
      <c r="EN156" s="913"/>
      <c r="EO156" s="913"/>
      <c r="EP156" s="913"/>
      <c r="EQ156" s="913"/>
      <c r="ER156" s="913"/>
      <c r="ES156" s="913"/>
      <c r="ET156" s="913"/>
      <c r="EU156" s="913"/>
      <c r="EV156" s="913"/>
      <c r="EW156" s="913"/>
      <c r="EX156" s="913"/>
      <c r="EY156" s="913"/>
      <c r="EZ156" s="913"/>
      <c r="FA156" s="913"/>
      <c r="FB156" s="913"/>
      <c r="FC156" s="913"/>
      <c r="FD156" s="913"/>
      <c r="FE156" s="913"/>
      <c r="FF156" s="923"/>
    </row>
    <row r="157" spans="3:162"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13"/>
      <c r="EL157" s="913"/>
      <c r="EM157" s="913"/>
      <c r="EN157" s="913"/>
      <c r="EO157" s="913"/>
      <c r="EP157" s="913"/>
      <c r="EQ157" s="913"/>
      <c r="ER157" s="913"/>
      <c r="ES157" s="913"/>
      <c r="ET157" s="913"/>
      <c r="EU157" s="913"/>
      <c r="EV157" s="913"/>
      <c r="EW157" s="913"/>
      <c r="EX157" s="913"/>
      <c r="EY157" s="913"/>
      <c r="EZ157" s="913"/>
      <c r="FA157" s="913"/>
      <c r="FB157" s="913"/>
      <c r="FC157" s="913"/>
      <c r="FD157" s="913"/>
      <c r="FE157" s="913"/>
      <c r="FF157" s="923"/>
    </row>
    <row r="158" spans="3:162" x14ac:dyDescent="0.25">
      <c r="N158" s="922" t="s">
        <v>33</v>
      </c>
      <c r="O158" s="913">
        <v>12</v>
      </c>
      <c r="P158" s="913">
        <v>24</v>
      </c>
      <c r="Q158" s="913">
        <v>36</v>
      </c>
      <c r="R158" s="913">
        <v>48</v>
      </c>
      <c r="S158" s="913">
        <v>60</v>
      </c>
      <c r="T158" s="913">
        <v>72</v>
      </c>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13"/>
      <c r="EK158" s="913"/>
      <c r="EL158" s="913"/>
      <c r="EM158" s="913"/>
      <c r="EN158" s="913"/>
      <c r="EO158" s="913"/>
      <c r="EP158" s="913"/>
      <c r="EQ158" s="913"/>
      <c r="ER158" s="913"/>
      <c r="ES158" s="913"/>
      <c r="ET158" s="913"/>
      <c r="EU158" s="913"/>
      <c r="EV158" s="913"/>
      <c r="EW158" s="913"/>
      <c r="EX158" s="913"/>
      <c r="EY158" s="913"/>
      <c r="EZ158" s="913"/>
      <c r="FA158" s="913"/>
      <c r="FB158" s="913"/>
      <c r="FC158" s="913"/>
      <c r="FD158" s="913"/>
      <c r="FE158" s="913"/>
      <c r="FF158" s="923"/>
    </row>
    <row r="159" spans="3:162" x14ac:dyDescent="0.25">
      <c r="N159" s="926" t="s">
        <v>149</v>
      </c>
      <c r="O159" s="913">
        <v>198.35999999999993</v>
      </c>
      <c r="P159" s="913">
        <v>327.48000000000008</v>
      </c>
      <c r="Q159" s="913">
        <v>456.6</v>
      </c>
      <c r="R159" s="913">
        <v>585.7199999999998</v>
      </c>
      <c r="S159" s="913">
        <v>714.3599999999999</v>
      </c>
      <c r="T159" s="913">
        <v>843.4799999999999</v>
      </c>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13"/>
      <c r="EK159" s="913"/>
      <c r="EL159" s="913"/>
      <c r="EM159" s="913"/>
      <c r="EN159" s="913"/>
      <c r="EO159" s="913"/>
      <c r="EP159" s="913"/>
      <c r="EQ159" s="913"/>
      <c r="ER159" s="913"/>
      <c r="ES159" s="913"/>
      <c r="ET159" s="913"/>
      <c r="EU159" s="913"/>
      <c r="EV159" s="913"/>
      <c r="EW159" s="913"/>
      <c r="EX159" s="913"/>
      <c r="EY159" s="913"/>
      <c r="EZ159" s="913"/>
      <c r="FA159" s="913"/>
      <c r="FB159" s="913"/>
      <c r="FC159" s="913"/>
      <c r="FD159" s="913"/>
      <c r="FE159" s="913"/>
      <c r="FF159" s="923"/>
    </row>
    <row r="160" spans="3:162" x14ac:dyDescent="0.25">
      <c r="N160" s="922" t="s">
        <v>247</v>
      </c>
      <c r="O160" s="913">
        <v>6.5375999999999994</v>
      </c>
      <c r="P160" s="913">
        <v>13.075199999999999</v>
      </c>
      <c r="Q160" s="913">
        <v>19.6128</v>
      </c>
      <c r="R160" s="913">
        <v>26.150399999999998</v>
      </c>
      <c r="S160" s="913">
        <v>32.687999999999995</v>
      </c>
      <c r="T160" s="913">
        <v>39.2256</v>
      </c>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13"/>
      <c r="EK160" s="913"/>
      <c r="EL160" s="913"/>
      <c r="EM160" s="913"/>
      <c r="EN160" s="913"/>
      <c r="EO160" s="913"/>
      <c r="EP160" s="913"/>
      <c r="EQ160" s="913"/>
      <c r="ER160" s="913"/>
      <c r="ES160" s="913"/>
      <c r="ET160" s="913"/>
      <c r="EU160" s="913"/>
      <c r="EV160" s="913"/>
      <c r="EW160" s="913"/>
      <c r="EX160" s="913"/>
      <c r="EY160" s="913"/>
      <c r="EZ160" s="913"/>
      <c r="FA160" s="913"/>
      <c r="FB160" s="913"/>
      <c r="FC160" s="913"/>
      <c r="FD160" s="913"/>
      <c r="FE160" s="913"/>
      <c r="FF160" s="923"/>
    </row>
    <row r="161" spans="14:162" x14ac:dyDescent="0.25">
      <c r="N161" s="926" t="s">
        <v>148</v>
      </c>
      <c r="O161" s="913">
        <v>7.7759999999999998</v>
      </c>
      <c r="P161" s="913">
        <v>15.552</v>
      </c>
      <c r="Q161" s="913">
        <v>23.327999999999999</v>
      </c>
      <c r="R161" s="913">
        <v>31.103999999999999</v>
      </c>
      <c r="S161" s="913">
        <v>38.879999999999995</v>
      </c>
      <c r="T161" s="913">
        <v>46.655999999999999</v>
      </c>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13"/>
      <c r="EK161" s="913"/>
      <c r="EL161" s="913"/>
      <c r="EM161" s="913"/>
      <c r="EN161" s="913"/>
      <c r="EO161" s="913"/>
      <c r="EP161" s="913"/>
      <c r="EQ161" s="913"/>
      <c r="ER161" s="913"/>
      <c r="ES161" s="913"/>
      <c r="ET161" s="913"/>
      <c r="EU161" s="913"/>
      <c r="EV161" s="913"/>
      <c r="EW161" s="913"/>
      <c r="EX161" s="913"/>
      <c r="EY161" s="913"/>
      <c r="EZ161" s="913"/>
      <c r="FA161" s="913"/>
      <c r="FB161" s="913"/>
      <c r="FC161" s="913"/>
      <c r="FD161" s="913"/>
      <c r="FE161" s="913"/>
      <c r="FF161" s="923"/>
    </row>
    <row r="162" spans="14:162" x14ac:dyDescent="0.25">
      <c r="N162" s="922" t="s">
        <v>248</v>
      </c>
      <c r="O162" s="913">
        <v>12</v>
      </c>
      <c r="P162" s="913">
        <v>12</v>
      </c>
      <c r="Q162" s="913">
        <v>12</v>
      </c>
      <c r="R162" s="913">
        <v>12</v>
      </c>
      <c r="S162" s="913">
        <v>12</v>
      </c>
      <c r="T162" s="913">
        <v>12</v>
      </c>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13"/>
      <c r="EK162" s="913"/>
      <c r="EL162" s="913"/>
      <c r="EM162" s="913"/>
      <c r="EN162" s="913"/>
      <c r="EO162" s="913"/>
      <c r="EP162" s="913"/>
      <c r="EQ162" s="913"/>
      <c r="ER162" s="913"/>
      <c r="ES162" s="913"/>
      <c r="ET162" s="913"/>
      <c r="EU162" s="913"/>
      <c r="EV162" s="913"/>
      <c r="EW162" s="913"/>
      <c r="EX162" s="913"/>
      <c r="EY162" s="913"/>
      <c r="EZ162" s="913"/>
      <c r="FA162" s="913"/>
      <c r="FB162" s="913"/>
      <c r="FC162" s="913"/>
      <c r="FD162" s="913"/>
      <c r="FE162" s="913"/>
      <c r="FF162" s="923"/>
    </row>
    <row r="163" spans="14:162" x14ac:dyDescent="0.25">
      <c r="N163" s="922" t="s">
        <v>245</v>
      </c>
      <c r="O163" s="913">
        <v>12.479999999999997</v>
      </c>
      <c r="P163" s="913">
        <v>19.379999999999995</v>
      </c>
      <c r="Q163" s="913">
        <v>26.279999999999994</v>
      </c>
      <c r="R163" s="913">
        <v>33.179999999999986</v>
      </c>
      <c r="S163" s="913">
        <v>40.079999999999984</v>
      </c>
      <c r="T163" s="913">
        <v>46.979999999999983</v>
      </c>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13"/>
      <c r="EK163" s="913"/>
      <c r="EL163" s="913"/>
      <c r="EM163" s="913"/>
      <c r="EN163" s="913"/>
      <c r="EO163" s="913"/>
      <c r="EP163" s="913"/>
      <c r="EQ163" s="913"/>
      <c r="ER163" s="913"/>
      <c r="ES163" s="913"/>
      <c r="ET163" s="913"/>
      <c r="EU163" s="913"/>
      <c r="EV163" s="913"/>
      <c r="EW163" s="913"/>
      <c r="EX163" s="913"/>
      <c r="EY163" s="913"/>
      <c r="EZ163" s="913"/>
      <c r="FA163" s="913"/>
      <c r="FB163" s="913"/>
      <c r="FC163" s="913"/>
      <c r="FD163" s="913"/>
      <c r="FE163" s="913"/>
      <c r="FF163" s="923"/>
    </row>
    <row r="164" spans="14:162" x14ac:dyDescent="0.25">
      <c r="N164" s="922" t="s">
        <v>246</v>
      </c>
      <c r="O164" s="913">
        <v>17.46</v>
      </c>
      <c r="P164" s="913">
        <v>17.46</v>
      </c>
      <c r="Q164" s="913">
        <v>17.46</v>
      </c>
      <c r="R164" s="913">
        <v>17.46</v>
      </c>
      <c r="S164" s="913">
        <v>17.46</v>
      </c>
      <c r="T164" s="913">
        <v>17.46</v>
      </c>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13"/>
      <c r="EK164" s="913"/>
      <c r="EL164" s="913"/>
      <c r="EM164" s="913"/>
      <c r="EN164" s="913"/>
      <c r="EO164" s="913"/>
      <c r="EP164" s="913"/>
      <c r="EQ164" s="913"/>
      <c r="ER164" s="913"/>
      <c r="ES164" s="913"/>
      <c r="ET164" s="913"/>
      <c r="EU164" s="913"/>
      <c r="EV164" s="913"/>
      <c r="EW164" s="913"/>
      <c r="EX164" s="913"/>
      <c r="EY164" s="913"/>
      <c r="EZ164" s="913"/>
      <c r="FA164" s="913"/>
      <c r="FB164" s="913"/>
      <c r="FC164" s="913"/>
      <c r="FD164" s="913"/>
      <c r="FE164" s="913"/>
      <c r="FF164" s="923"/>
    </row>
    <row r="165" spans="14:162" x14ac:dyDescent="0.25">
      <c r="N165" s="922" t="s">
        <v>249</v>
      </c>
      <c r="O165" s="913">
        <v>462.22800000000001</v>
      </c>
      <c r="P165" s="913">
        <v>462.22800000000001</v>
      </c>
      <c r="Q165" s="913">
        <v>462.22800000000001</v>
      </c>
      <c r="R165" s="913">
        <v>462.22800000000001</v>
      </c>
      <c r="S165" s="913">
        <v>462.22800000000001</v>
      </c>
      <c r="T165" s="913">
        <v>462.22800000000001</v>
      </c>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13"/>
      <c r="EK165" s="913"/>
      <c r="EL165" s="913"/>
      <c r="EM165" s="913"/>
      <c r="EN165" s="913"/>
      <c r="EO165" s="913"/>
      <c r="EP165" s="913"/>
      <c r="EQ165" s="913"/>
      <c r="ER165" s="913"/>
      <c r="ES165" s="913"/>
      <c r="ET165" s="913"/>
      <c r="EU165" s="913"/>
      <c r="EV165" s="913"/>
      <c r="EW165" s="913"/>
      <c r="EX165" s="913"/>
      <c r="EY165" s="913"/>
      <c r="EZ165" s="913"/>
      <c r="FA165" s="913"/>
      <c r="FB165" s="913"/>
      <c r="FC165" s="913"/>
      <c r="FD165" s="913"/>
      <c r="FE165" s="913"/>
      <c r="FF165" s="923"/>
    </row>
    <row r="166" spans="14:162"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13"/>
      <c r="EK166" s="913"/>
      <c r="EL166" s="913"/>
      <c r="EM166" s="913"/>
      <c r="EN166" s="913"/>
      <c r="EO166" s="913"/>
      <c r="EP166" s="913"/>
      <c r="EQ166" s="913"/>
      <c r="ER166" s="913"/>
      <c r="ES166" s="913"/>
      <c r="ET166" s="913"/>
      <c r="EU166" s="913"/>
      <c r="EV166" s="913"/>
      <c r="EW166" s="913"/>
      <c r="EX166" s="913"/>
      <c r="EY166" s="913"/>
      <c r="EZ166" s="913"/>
      <c r="FA166" s="913"/>
      <c r="FB166" s="913"/>
      <c r="FC166" s="913"/>
      <c r="FD166" s="913"/>
      <c r="FE166" s="913"/>
      <c r="FF166" s="923"/>
    </row>
    <row r="167" spans="14:162" x14ac:dyDescent="0.25">
      <c r="N167" s="922" t="s">
        <v>77</v>
      </c>
      <c r="O167" s="913">
        <v>716.84159999999997</v>
      </c>
      <c r="P167" s="913">
        <v>867.17520000000013</v>
      </c>
      <c r="Q167" s="913">
        <v>1017.5088000000001</v>
      </c>
      <c r="R167" s="913">
        <v>1167.8423999999998</v>
      </c>
      <c r="S167" s="913">
        <v>1317.6959999999999</v>
      </c>
      <c r="T167" s="913">
        <v>1468.0295999999998</v>
      </c>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13"/>
      <c r="EK167" s="913"/>
      <c r="EL167" s="913"/>
      <c r="EM167" s="913"/>
      <c r="EN167" s="913"/>
      <c r="EO167" s="913"/>
      <c r="EP167" s="913"/>
      <c r="EQ167" s="913"/>
      <c r="ER167" s="913"/>
      <c r="ES167" s="913"/>
      <c r="ET167" s="913"/>
      <c r="EU167" s="913"/>
      <c r="EV167" s="913"/>
      <c r="EW167" s="913"/>
      <c r="EX167" s="913"/>
      <c r="EY167" s="913"/>
      <c r="EZ167" s="913"/>
      <c r="FA167" s="913"/>
      <c r="FB167" s="913"/>
      <c r="FC167" s="913"/>
      <c r="FD167" s="913"/>
      <c r="FE167" s="913"/>
      <c r="FF167" s="923"/>
    </row>
    <row r="168" spans="14:162" x14ac:dyDescent="0.25">
      <c r="N168" s="922" t="s">
        <v>76</v>
      </c>
      <c r="O168" s="913">
        <v>59.736799999999995</v>
      </c>
      <c r="P168" s="913">
        <v>72.264600000000016</v>
      </c>
      <c r="Q168" s="913">
        <v>84.792400000000001</v>
      </c>
      <c r="R168" s="913">
        <v>97.320199999999986</v>
      </c>
      <c r="S168" s="913">
        <v>109.80799999999999</v>
      </c>
      <c r="T168" s="913">
        <v>122.33579999999999</v>
      </c>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13"/>
      <c r="EK168" s="913"/>
      <c r="EL168" s="913"/>
      <c r="EM168" s="913"/>
      <c r="EN168" s="913"/>
      <c r="EO168" s="913"/>
      <c r="EP168" s="913"/>
      <c r="EQ168" s="913"/>
      <c r="ER168" s="913"/>
      <c r="ES168" s="913"/>
      <c r="ET168" s="913"/>
      <c r="EU168" s="913"/>
      <c r="EV168" s="913"/>
      <c r="EW168" s="913"/>
      <c r="EX168" s="913"/>
      <c r="EY168" s="913"/>
      <c r="EZ168" s="913"/>
      <c r="FA168" s="913"/>
      <c r="FB168" s="913"/>
      <c r="FC168" s="913"/>
      <c r="FD168" s="913"/>
      <c r="FE168" s="913"/>
      <c r="FF168" s="923"/>
    </row>
    <row r="169" spans="14:162"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13"/>
      <c r="EK169" s="913"/>
      <c r="EL169" s="913"/>
      <c r="EM169" s="913"/>
      <c r="EN169" s="913"/>
      <c r="EO169" s="913"/>
      <c r="EP169" s="913"/>
      <c r="EQ169" s="913"/>
      <c r="ER169" s="913"/>
      <c r="ES169" s="913"/>
      <c r="ET169" s="913"/>
      <c r="EU169" s="913"/>
      <c r="EV169" s="913"/>
      <c r="EW169" s="913"/>
      <c r="EX169" s="913"/>
      <c r="EY169" s="913"/>
      <c r="EZ169" s="913"/>
      <c r="FA169" s="913"/>
      <c r="FB169" s="913"/>
      <c r="FC169" s="913"/>
      <c r="FD169" s="913"/>
      <c r="FE169" s="913"/>
      <c r="FF169" s="923"/>
    </row>
    <row r="170" spans="14:162"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13"/>
      <c r="EK170" s="913"/>
      <c r="EL170" s="913"/>
      <c r="EM170" s="913"/>
      <c r="EN170" s="913"/>
      <c r="EO170" s="913"/>
      <c r="EP170" s="913"/>
      <c r="EQ170" s="913"/>
      <c r="ER170" s="913"/>
      <c r="ES170" s="913"/>
      <c r="ET170" s="913"/>
      <c r="EU170" s="913"/>
      <c r="EV170" s="913"/>
      <c r="EW170" s="913"/>
      <c r="EX170" s="913"/>
      <c r="EY170" s="913"/>
      <c r="EZ170" s="913"/>
      <c r="FA170" s="913"/>
      <c r="FB170" s="913"/>
      <c r="FC170" s="913"/>
      <c r="FD170" s="913"/>
      <c r="FE170" s="913"/>
      <c r="FF170" s="923"/>
    </row>
    <row r="171" spans="14:162"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13"/>
      <c r="EK171" s="913"/>
      <c r="EL171" s="913"/>
      <c r="EM171" s="913"/>
      <c r="EN171" s="913"/>
      <c r="EO171" s="913"/>
      <c r="EP171" s="913"/>
      <c r="EQ171" s="913"/>
      <c r="ER171" s="913"/>
      <c r="ES171" s="913"/>
      <c r="ET171" s="913"/>
      <c r="EU171" s="913"/>
      <c r="EV171" s="913"/>
      <c r="EW171" s="913"/>
      <c r="EX171" s="913"/>
      <c r="EY171" s="913"/>
      <c r="EZ171" s="913"/>
      <c r="FA171" s="913"/>
      <c r="FB171" s="913"/>
      <c r="FC171" s="913"/>
      <c r="FD171" s="913"/>
      <c r="FE171" s="913"/>
      <c r="FF171" s="923"/>
    </row>
    <row r="172" spans="14:162"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13"/>
      <c r="EK172" s="913"/>
      <c r="EL172" s="913"/>
      <c r="EM172" s="913"/>
      <c r="EN172" s="913"/>
      <c r="EO172" s="913"/>
      <c r="EP172" s="913"/>
      <c r="EQ172" s="913"/>
      <c r="ER172" s="913"/>
      <c r="ES172" s="913"/>
      <c r="ET172" s="913"/>
      <c r="EU172" s="913"/>
      <c r="EV172" s="913"/>
      <c r="EW172" s="913"/>
      <c r="EX172" s="913"/>
      <c r="EY172" s="913"/>
      <c r="EZ172" s="913"/>
      <c r="FA172" s="913"/>
      <c r="FB172" s="913"/>
      <c r="FC172" s="913"/>
      <c r="FD172" s="913"/>
      <c r="FE172" s="913"/>
      <c r="FF172" s="923"/>
    </row>
    <row r="173" spans="14:162"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13"/>
      <c r="EK173" s="913"/>
      <c r="EL173" s="913"/>
      <c r="EM173" s="913"/>
      <c r="EN173" s="913"/>
      <c r="EO173" s="913"/>
      <c r="EP173" s="913"/>
      <c r="EQ173" s="913"/>
      <c r="ER173" s="913"/>
      <c r="ES173" s="913"/>
      <c r="ET173" s="913"/>
      <c r="EU173" s="913"/>
      <c r="EV173" s="913"/>
      <c r="EW173" s="913"/>
      <c r="EX173" s="913"/>
      <c r="EY173" s="913"/>
      <c r="EZ173" s="913"/>
      <c r="FA173" s="913"/>
      <c r="FB173" s="913"/>
      <c r="FC173" s="913"/>
      <c r="FD173" s="913"/>
      <c r="FE173" s="913"/>
      <c r="FF173" s="923"/>
    </row>
    <row r="174" spans="14:162"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13"/>
      <c r="EK174" s="913"/>
      <c r="EL174" s="913"/>
      <c r="EM174" s="913"/>
      <c r="EN174" s="913"/>
      <c r="EO174" s="913"/>
      <c r="EP174" s="913"/>
      <c r="EQ174" s="913"/>
      <c r="ER174" s="913"/>
      <c r="ES174" s="913"/>
      <c r="ET174" s="913"/>
      <c r="EU174" s="913"/>
      <c r="EV174" s="913"/>
      <c r="EW174" s="913"/>
      <c r="EX174" s="913"/>
      <c r="EY174" s="913"/>
      <c r="EZ174" s="913"/>
      <c r="FA174" s="913"/>
      <c r="FB174" s="913"/>
      <c r="FC174" s="913"/>
      <c r="FD174" s="913"/>
      <c r="FE174" s="913"/>
      <c r="FF174" s="923"/>
    </row>
    <row r="175" spans="14:162"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13"/>
      <c r="EK175" s="913"/>
      <c r="EL175" s="913"/>
      <c r="EM175" s="913"/>
      <c r="EN175" s="913"/>
      <c r="EO175" s="913"/>
      <c r="EP175" s="913"/>
      <c r="EQ175" s="913"/>
      <c r="ER175" s="913"/>
      <c r="ES175" s="913"/>
      <c r="ET175" s="913"/>
      <c r="EU175" s="913"/>
      <c r="EV175" s="913"/>
      <c r="EW175" s="913"/>
      <c r="EX175" s="913"/>
      <c r="EY175" s="913"/>
      <c r="EZ175" s="913"/>
      <c r="FA175" s="913"/>
      <c r="FB175" s="913"/>
      <c r="FC175" s="913"/>
      <c r="FD175" s="913"/>
      <c r="FE175" s="913"/>
      <c r="FF175" s="923"/>
    </row>
    <row r="176" spans="14:162"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13"/>
      <c r="EK176" s="913"/>
      <c r="EL176" s="913"/>
      <c r="EM176" s="913"/>
      <c r="EN176" s="913"/>
      <c r="EO176" s="913"/>
      <c r="EP176" s="913"/>
      <c r="EQ176" s="913"/>
      <c r="ER176" s="913"/>
      <c r="ES176" s="913"/>
      <c r="ET176" s="913"/>
      <c r="EU176" s="913"/>
      <c r="EV176" s="913"/>
      <c r="EW176" s="913"/>
      <c r="EX176" s="913"/>
      <c r="EY176" s="913"/>
      <c r="EZ176" s="913"/>
      <c r="FA176" s="913"/>
      <c r="FB176" s="913"/>
      <c r="FC176" s="913"/>
      <c r="FD176" s="913"/>
      <c r="FE176" s="913"/>
      <c r="FF176" s="923"/>
    </row>
    <row r="177" spans="14:162"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13"/>
      <c r="EK177" s="913"/>
      <c r="EL177" s="913"/>
      <c r="EM177" s="913"/>
      <c r="EN177" s="913"/>
      <c r="EO177" s="913"/>
      <c r="EP177" s="913"/>
      <c r="EQ177" s="913"/>
      <c r="ER177" s="913"/>
      <c r="ES177" s="913"/>
      <c r="ET177" s="913"/>
      <c r="EU177" s="913"/>
      <c r="EV177" s="913"/>
      <c r="EW177" s="913"/>
      <c r="EX177" s="913"/>
      <c r="EY177" s="913"/>
      <c r="EZ177" s="913"/>
      <c r="FA177" s="913"/>
      <c r="FB177" s="913"/>
      <c r="FC177" s="913"/>
      <c r="FD177" s="913"/>
      <c r="FE177" s="913"/>
      <c r="FF177" s="923"/>
    </row>
    <row r="178" spans="14:162" x14ac:dyDescent="0.25">
      <c r="N178" s="928"/>
      <c r="O178" s="929"/>
      <c r="P178" s="929"/>
      <c r="Q178" s="929"/>
      <c r="R178" s="929"/>
      <c r="S178" s="929"/>
      <c r="T178" s="929"/>
      <c r="U178" s="929"/>
      <c r="V178" s="929"/>
      <c r="W178" s="929"/>
      <c r="X178" s="929"/>
      <c r="Y178" s="929"/>
      <c r="Z178" s="929"/>
      <c r="AA178" s="929"/>
      <c r="AB178" s="929"/>
      <c r="AC178" s="929"/>
      <c r="AD178" s="929"/>
      <c r="AE178" s="929"/>
      <c r="AF178" s="929"/>
      <c r="AG178" s="929"/>
      <c r="AH178" s="929"/>
      <c r="AI178" s="929"/>
      <c r="AJ178" s="929"/>
      <c r="AK178" s="929"/>
      <c r="AL178" s="929"/>
      <c r="AM178" s="929"/>
      <c r="AN178" s="929"/>
      <c r="AO178" s="929"/>
      <c r="AP178" s="929"/>
      <c r="AQ178" s="929"/>
      <c r="AR178" s="929"/>
      <c r="AS178" s="929"/>
      <c r="AT178" s="929"/>
      <c r="AU178" s="929"/>
      <c r="AV178" s="929"/>
      <c r="AW178" s="929"/>
      <c r="AX178" s="929"/>
      <c r="AY178" s="929"/>
      <c r="AZ178" s="929"/>
      <c r="BA178" s="929"/>
      <c r="BB178" s="929"/>
      <c r="BC178" s="929"/>
      <c r="BD178" s="929"/>
      <c r="BE178" s="929"/>
      <c r="BF178" s="929"/>
      <c r="BG178" s="929"/>
      <c r="BH178" s="929"/>
      <c r="BI178" s="929"/>
      <c r="BJ178" s="929"/>
      <c r="BK178" s="929"/>
      <c r="BL178" s="929"/>
      <c r="BM178" s="929"/>
      <c r="BN178" s="929"/>
      <c r="BO178" s="929"/>
      <c r="BP178" s="929"/>
      <c r="BQ178" s="929"/>
      <c r="BR178" s="929"/>
      <c r="BS178" s="929"/>
      <c r="BT178" s="929"/>
      <c r="BU178" s="929"/>
      <c r="BV178" s="929"/>
      <c r="BW178" s="929"/>
      <c r="BX178" s="929"/>
      <c r="BY178" s="929"/>
      <c r="BZ178" s="929"/>
      <c r="CA178" s="929"/>
      <c r="CB178" s="929"/>
      <c r="CC178" s="929"/>
      <c r="CD178" s="929"/>
      <c r="CE178" s="929"/>
      <c r="CF178" s="929"/>
      <c r="CG178" s="929"/>
      <c r="CH178" s="929"/>
      <c r="CI178" s="929"/>
      <c r="CJ178" s="929"/>
      <c r="CK178" s="929"/>
      <c r="CL178" s="929"/>
      <c r="CM178" s="929"/>
      <c r="CN178" s="929"/>
      <c r="CO178" s="929"/>
      <c r="CP178" s="929"/>
      <c r="CQ178" s="929"/>
      <c r="CR178" s="929"/>
      <c r="CS178" s="929"/>
      <c r="CT178" s="929"/>
      <c r="CU178" s="929"/>
      <c r="CV178" s="929"/>
      <c r="CW178" s="929"/>
      <c r="CX178" s="929"/>
      <c r="CY178" s="929"/>
      <c r="CZ178" s="929"/>
      <c r="DA178" s="929"/>
      <c r="DB178" s="929"/>
      <c r="DC178" s="929"/>
      <c r="DD178" s="929"/>
      <c r="DE178" s="929"/>
      <c r="DF178" s="929"/>
      <c r="DG178" s="929"/>
      <c r="DH178" s="929"/>
      <c r="DI178" s="929"/>
      <c r="DJ178" s="929"/>
      <c r="DK178" s="929"/>
      <c r="DL178" s="929"/>
      <c r="DM178" s="929"/>
      <c r="DN178" s="929"/>
      <c r="DO178" s="929"/>
      <c r="DP178" s="929"/>
      <c r="DQ178" s="929"/>
      <c r="DR178" s="929"/>
      <c r="DS178" s="929"/>
      <c r="DT178" s="929"/>
      <c r="DU178" s="929"/>
      <c r="DV178" s="929"/>
      <c r="DW178" s="929"/>
      <c r="DX178" s="929"/>
      <c r="DY178" s="929"/>
      <c r="DZ178" s="929"/>
      <c r="EA178" s="929"/>
      <c r="EB178" s="929"/>
      <c r="EC178" s="929"/>
      <c r="ED178" s="929"/>
      <c r="EE178" s="929"/>
      <c r="EF178" s="929"/>
      <c r="EG178" s="929"/>
      <c r="EH178" s="929"/>
      <c r="EI178" s="929"/>
      <c r="EJ178" s="929"/>
      <c r="EK178" s="929"/>
      <c r="EL178" s="929"/>
      <c r="EM178" s="929"/>
      <c r="EN178" s="929"/>
      <c r="EO178" s="929"/>
      <c r="EP178" s="929"/>
      <c r="EQ178" s="929"/>
      <c r="ER178" s="929"/>
      <c r="ES178" s="929"/>
      <c r="ET178" s="929"/>
      <c r="EU178" s="929"/>
      <c r="EV178" s="929"/>
      <c r="EW178" s="929"/>
      <c r="EX178" s="929"/>
      <c r="EY178" s="929"/>
      <c r="EZ178" s="929"/>
      <c r="FA178" s="929"/>
      <c r="FB178" s="929"/>
      <c r="FC178" s="929"/>
      <c r="FD178" s="929"/>
      <c r="FE178" s="929"/>
      <c r="FF178" s="930"/>
    </row>
    <row r="282" spans="24:25" x14ac:dyDescent="0.25">
      <c r="X282" s="110"/>
      <c r="Y282" s="109"/>
    </row>
  </sheetData>
  <sheetProtection algorithmName="SHA-512" hashValue="OZabEvACz7UOw+rL0HFmnmE3H+hJx0eaKjdbwbH/Sa5BdbRyApGtf1Q6NwLM5wqBZmdUX0Gg15dAtu0rzaji+g==" saltValue="koGL2EdPD5iCykWjbB7u0Q==" spinCount="100000" sheet="1" objects="1" scenarios="1"/>
  <mergeCells count="7">
    <mergeCell ref="N71:N72"/>
    <mergeCell ref="D15:W15"/>
    <mergeCell ref="AT15:IX15"/>
    <mergeCell ref="AU17:AV19"/>
    <mergeCell ref="AW17:IG18"/>
    <mergeCell ref="IQ18:IW18"/>
    <mergeCell ref="N44:N45"/>
  </mergeCells>
  <conditionalFormatting sqref="R46:Z57">
    <cfRule type="colorScale" priority="8">
      <colorScale>
        <cfvo type="min"/>
        <cfvo type="percentile" val="50"/>
        <cfvo type="max"/>
        <color rgb="FF63BE7B"/>
        <color rgb="FFFFEB84"/>
        <color rgb="FFF8696B"/>
      </colorScale>
    </cfRule>
  </conditionalFormatting>
  <conditionalFormatting sqref="E18:M29">
    <cfRule type="colorScale" priority="6">
      <colorScale>
        <cfvo type="min"/>
        <cfvo type="percentile" val="50"/>
        <cfvo type="max"/>
        <color rgb="FF63BE7B"/>
        <color rgb="FFFFEB84"/>
        <color rgb="FFF8696B"/>
      </colorScale>
    </cfRule>
  </conditionalFormatting>
  <conditionalFormatting sqref="R103:Z105">
    <cfRule type="colorScale" priority="5">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2">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X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6"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18" customWidth="1"/>
    <col min="19" max="19" width="13.42578125" customWidth="1"/>
    <col min="20" max="20" width="10.28515625" customWidth="1"/>
    <col min="21" max="21" width="18"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3.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188" t="s">
        <v>36</v>
      </c>
      <c r="C1" s="213" t="s">
        <v>195</v>
      </c>
      <c r="D1" s="189"/>
      <c r="E1" s="189"/>
      <c r="F1" s="189"/>
      <c r="G1" s="189"/>
      <c r="H1" s="189"/>
      <c r="I1" s="190"/>
    </row>
    <row r="2" spans="2:25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8" ht="18.75" x14ac:dyDescent="0.3">
      <c r="B3" s="214" t="s">
        <v>181</v>
      </c>
      <c r="C3" s="187" t="str">
        <f>IF('DATA ENTRY'!B9="mm",'DATA ENTRY'!B10/25.4,'DATA ENTRY'!B10)</f>
        <v>ENTER LENGTH</v>
      </c>
      <c r="D3" s="179"/>
      <c r="E3" s="40"/>
      <c r="F3" s="40"/>
      <c r="G3" s="215" t="s">
        <v>229</v>
      </c>
      <c r="H3" s="187">
        <v>12</v>
      </c>
      <c r="I3" s="191">
        <v>240</v>
      </c>
      <c r="N3" s="41"/>
      <c r="O3" s="40"/>
      <c r="P3" s="40"/>
      <c r="Q3" s="40"/>
      <c r="R3" s="40"/>
      <c r="S3" s="40"/>
      <c r="T3" s="40"/>
      <c r="U3" s="40"/>
      <c r="V3" s="40"/>
      <c r="W3" s="169"/>
    </row>
    <row r="4" spans="2:258" ht="18.75" x14ac:dyDescent="0.3">
      <c r="B4" s="214" t="s">
        <v>38</v>
      </c>
      <c r="C4" s="187" t="str">
        <f>IF('DATA ENTRY'!B9="mm",'DATA ENTRY'!B11/25.4,'DATA ENTRY'!B11)</f>
        <v>ENTER WIDTH</v>
      </c>
      <c r="D4" s="179"/>
      <c r="E4" s="40"/>
      <c r="F4" s="40"/>
      <c r="G4" s="215" t="s">
        <v>230</v>
      </c>
      <c r="H4" s="187">
        <v>12</v>
      </c>
      <c r="I4" s="191">
        <v>120</v>
      </c>
      <c r="N4" s="41"/>
      <c r="O4" s="173" t="str">
        <f>C1&amp;"_MODEL"</f>
        <v>BCZE445_MODEL</v>
      </c>
      <c r="P4" s="173" t="s">
        <v>196</v>
      </c>
      <c r="Q4" s="173"/>
      <c r="R4" s="173"/>
      <c r="S4" s="173"/>
      <c r="T4" s="40"/>
      <c r="U4" s="40"/>
      <c r="V4" s="179" t="s">
        <v>93</v>
      </c>
      <c r="W4" s="169"/>
    </row>
    <row r="5" spans="2:258" ht="18.75" x14ac:dyDescent="0.3">
      <c r="B5" s="214" t="s">
        <v>39</v>
      </c>
      <c r="C5" s="187" t="str">
        <f>IF('DATA ENTRY'!B9="mm",'DATA ENTRY'!B12/25.4,'DATA ENTRY'!B12)</f>
        <v>ENTER HEIGHT</v>
      </c>
      <c r="D5" s="179"/>
      <c r="E5" s="40"/>
      <c r="F5" s="40"/>
      <c r="G5" s="215" t="s">
        <v>231</v>
      </c>
      <c r="H5" s="187">
        <v>10.5</v>
      </c>
      <c r="I5" s="191">
        <v>72</v>
      </c>
      <c r="N5" s="171" t="s">
        <v>79</v>
      </c>
      <c r="O5" s="173" t="str">
        <f>C1&amp;"_FA"</f>
        <v>BCZE445_FA</v>
      </c>
      <c r="P5" s="175" t="str">
        <f>D83</f>
        <v/>
      </c>
      <c r="Q5" s="173" t="s">
        <v>42</v>
      </c>
      <c r="R5" s="40"/>
      <c r="S5" s="40"/>
      <c r="T5" s="40"/>
      <c r="U5" s="40"/>
      <c r="V5" s="173" t="str">
        <f>C1&amp;"_W"</f>
        <v>BCZE445_W</v>
      </c>
      <c r="W5" s="178" t="str">
        <f>C3</f>
        <v>ENTER LENGTH</v>
      </c>
    </row>
    <row r="6" spans="2:258" ht="18.75" x14ac:dyDescent="0.3">
      <c r="B6" s="214" t="s">
        <v>40</v>
      </c>
      <c r="C6" s="483" t="str">
        <f>IF('DATA ENTRY'!B9="mm",'DATA ENTRY'!B13*2.1188799727597,'DATA ENTRY'!B13)</f>
        <v>ENTER AIR VOLUME</v>
      </c>
      <c r="D6" s="215"/>
      <c r="E6" s="215"/>
      <c r="F6" s="40"/>
      <c r="G6" s="40"/>
      <c r="H6" s="40"/>
      <c r="I6" s="169"/>
      <c r="N6" s="171" t="s">
        <v>56</v>
      </c>
      <c r="O6" s="173" t="str">
        <f>C1&amp;"_FA%"</f>
        <v>BCZE445_FA%</v>
      </c>
      <c r="P6" s="176" t="e">
        <f>D85</f>
        <v>#VALUE!</v>
      </c>
      <c r="Q6" s="173" t="s">
        <v>13</v>
      </c>
      <c r="R6" s="40"/>
      <c r="S6" s="40"/>
      <c r="T6" s="40"/>
      <c r="U6" s="40"/>
      <c r="V6" s="173" t="str">
        <f>C1&amp;"_H"</f>
        <v>BCZE445_H</v>
      </c>
      <c r="W6" s="178" t="str">
        <f>C4</f>
        <v>ENTER WIDTH</v>
      </c>
    </row>
    <row r="7" spans="2:258" ht="18.75" x14ac:dyDescent="0.3">
      <c r="B7" s="214" t="s">
        <v>41</v>
      </c>
      <c r="C7" s="215" t="str">
        <f>'DATA ENTRY'!B14</f>
        <v>SELECT AIR DIRECTION</v>
      </c>
      <c r="D7" s="215"/>
      <c r="E7" s="215"/>
      <c r="F7" s="40"/>
      <c r="G7" s="40"/>
      <c r="H7" s="40"/>
      <c r="I7" s="169"/>
      <c r="N7" s="171" t="s">
        <v>82</v>
      </c>
      <c r="O7" s="173" t="str">
        <f>C1&amp;"_VEL"</f>
        <v>BCZE445_VEL</v>
      </c>
      <c r="P7" s="176" t="e">
        <f>D87</f>
        <v>#VALUE!</v>
      </c>
      <c r="Q7" s="173" t="s">
        <v>0</v>
      </c>
      <c r="R7" s="40"/>
      <c r="S7" s="40"/>
      <c r="T7" s="40"/>
      <c r="U7" s="40"/>
      <c r="V7" s="173" t="str">
        <f>C1&amp;"_SL"</f>
        <v>BCZE445_SL</v>
      </c>
      <c r="W7" s="178" t="e">
        <f>C9</f>
        <v>#VALUE!</v>
      </c>
    </row>
    <row r="8" spans="2:258" ht="18.75" x14ac:dyDescent="0.3">
      <c r="B8" s="214"/>
      <c r="C8" s="215"/>
      <c r="D8" s="215"/>
      <c r="E8" s="215"/>
      <c r="F8" s="40"/>
      <c r="G8" s="40"/>
      <c r="H8" s="40"/>
      <c r="I8" s="169"/>
      <c r="N8" s="171" t="s">
        <v>80</v>
      </c>
      <c r="O8" s="173" t="str">
        <f>C1&amp;"_Intake"</f>
        <v>BCZE445_Intake</v>
      </c>
      <c r="P8" s="177" t="e">
        <f>D88</f>
        <v>#VALUE!</v>
      </c>
      <c r="Q8" s="173" t="s">
        <v>85</v>
      </c>
      <c r="R8" s="40"/>
      <c r="S8" s="40"/>
      <c r="T8" s="40"/>
      <c r="U8" s="40"/>
      <c r="V8" s="173" t="str">
        <f>C1&amp;"_SW"</f>
        <v>BCZE445_SW</v>
      </c>
      <c r="W8" s="178" t="e">
        <f>F9</f>
        <v>#VALUE!</v>
      </c>
    </row>
    <row r="9" spans="2:258" ht="18.75" x14ac:dyDescent="0.3">
      <c r="B9" s="214" t="s">
        <v>183</v>
      </c>
      <c r="C9" s="462" t="e">
        <f>CEILING(C3/60,1)</f>
        <v>#VALUE!</v>
      </c>
      <c r="D9" s="215"/>
      <c r="E9" s="215" t="s">
        <v>60</v>
      </c>
      <c r="F9" s="462" t="e">
        <f>CEILING(C4/60,1)</f>
        <v>#VALUE!</v>
      </c>
      <c r="G9" s="40"/>
      <c r="H9" s="215" t="s">
        <v>61</v>
      </c>
      <c r="I9" s="463" t="e">
        <f>CEILING(C5/72,1)</f>
        <v>#VALUE!</v>
      </c>
      <c r="N9" s="171" t="s">
        <v>81</v>
      </c>
      <c r="O9" s="173" t="str">
        <f>C1&amp;"_Exhaust"</f>
        <v>BCZE445_Exhaust</v>
      </c>
      <c r="P9" s="177" t="e">
        <f>D89</f>
        <v>#VALUE!</v>
      </c>
      <c r="Q9" s="173" t="s">
        <v>85</v>
      </c>
      <c r="R9" s="40"/>
      <c r="S9" s="40"/>
      <c r="T9" s="40"/>
      <c r="U9" s="40"/>
      <c r="V9" s="173" t="str">
        <f>C1&amp;"_TA"</f>
        <v>BCZE445_TA</v>
      </c>
      <c r="W9" s="178">
        <f>IF(OR(C3&lt;H3,C4&lt;H4,C5&lt;H5,C3&gt;I3,C4&gt;I4,C5&gt;I5),0,(C3*C4)/144)</f>
        <v>0</v>
      </c>
    </row>
    <row r="10" spans="2:258" ht="18.75" x14ac:dyDescent="0.3">
      <c r="B10" s="214" t="s">
        <v>184</v>
      </c>
      <c r="C10" s="462" t="e">
        <f>(C3/C9)</f>
        <v>#VALUE!</v>
      </c>
      <c r="D10" s="215"/>
      <c r="E10" s="215" t="s">
        <v>58</v>
      </c>
      <c r="F10" s="462" t="e">
        <f>(C4/F9)</f>
        <v>#VALUE!</v>
      </c>
      <c r="G10" s="40"/>
      <c r="H10" s="215" t="s">
        <v>51</v>
      </c>
      <c r="I10" s="463" t="e">
        <f>(C5/I9)</f>
        <v>#VALUE!</v>
      </c>
      <c r="N10" s="171" t="s">
        <v>86</v>
      </c>
      <c r="O10" s="173" t="str">
        <f>C1&amp;"_SEC"</f>
        <v>BCZE445_SEC</v>
      </c>
      <c r="P10" s="173">
        <f>IF(OR(C3&lt;H3,C4&lt;H4,C5&lt;H5,C3&gt;I3,C4&gt;I4,C5&gt;I5),0,D13)</f>
        <v>0</v>
      </c>
      <c r="Q10" s="173"/>
      <c r="R10" s="40"/>
      <c r="S10" s="40"/>
      <c r="T10" s="40"/>
      <c r="U10" s="40"/>
      <c r="V10" s="40"/>
      <c r="W10" s="169"/>
    </row>
    <row r="11" spans="2:258" ht="18.75" x14ac:dyDescent="0.3">
      <c r="B11" s="214"/>
      <c r="C11" s="215"/>
      <c r="D11" s="215"/>
      <c r="E11" s="215"/>
      <c r="F11" s="215"/>
      <c r="G11" s="40"/>
      <c r="H11" s="40"/>
      <c r="I11" s="169"/>
      <c r="N11" s="171" t="s">
        <v>83</v>
      </c>
      <c r="O11" s="173" t="str">
        <f>C1&amp;"_SECW"</f>
        <v>BCZE445_SECW</v>
      </c>
      <c r="P11" s="194" t="e">
        <f>IF(OR(D3&gt;I3,D4&gt;I4,D5&gt;I5),0,AB81)</f>
        <v>#VALUE!</v>
      </c>
      <c r="Q11" s="173" t="s">
        <v>72</v>
      </c>
      <c r="R11" s="40"/>
      <c r="S11" s="40"/>
      <c r="T11" s="40"/>
      <c r="U11" s="40"/>
      <c r="V11" s="40"/>
      <c r="W11" s="169"/>
    </row>
    <row r="12" spans="2:258" ht="19.5" thickBot="1" x14ac:dyDescent="0.35">
      <c r="B12" s="41"/>
      <c r="C12" s="214" t="s">
        <v>185</v>
      </c>
      <c r="D12" s="462" t="e">
        <f>C9*I9</f>
        <v>#VALUE!</v>
      </c>
      <c r="E12" s="215"/>
      <c r="F12" s="215" t="s">
        <v>186</v>
      </c>
      <c r="G12" s="462" t="e">
        <f>F9*I9</f>
        <v>#VALUE!</v>
      </c>
      <c r="H12" s="40"/>
      <c r="I12" s="169"/>
      <c r="N12" s="172" t="s">
        <v>84</v>
      </c>
      <c r="O12" s="174" t="str">
        <f>C1&amp;"_TW"</f>
        <v>BCZE445_TW</v>
      </c>
      <c r="P12" s="416">
        <f>IF(OR(C3&lt;H3,C4&lt;H4,C5&lt;H5,C3&gt;I3,C4&gt;I4,C5&gt;I5),0,AB80)</f>
        <v>0</v>
      </c>
      <c r="Q12" s="174" t="s">
        <v>72</v>
      </c>
      <c r="R12" s="43"/>
      <c r="S12" s="43"/>
      <c r="T12" s="43"/>
      <c r="U12" s="43"/>
      <c r="V12" s="43"/>
      <c r="W12" s="170"/>
    </row>
    <row r="13" spans="2:258" ht="18.75" x14ac:dyDescent="0.3">
      <c r="B13" s="41"/>
      <c r="C13" s="215" t="s">
        <v>187</v>
      </c>
      <c r="D13" s="462" t="e">
        <f>IF(OR(C10=0,F10=0,I10=0),0,((2*D12)+(2*G12)))</f>
        <v>#VALUE!</v>
      </c>
      <c r="E13" s="187"/>
      <c r="F13" s="187"/>
      <c r="G13" s="187"/>
      <c r="H13" s="40"/>
      <c r="I13" s="169"/>
      <c r="L13" s="71"/>
      <c r="M13" s="71"/>
      <c r="N13" s="425"/>
      <c r="O13" s="425"/>
      <c r="P13" s="425"/>
      <c r="Q13" s="425"/>
      <c r="R13" s="193"/>
      <c r="S13" s="193"/>
      <c r="T13" s="193"/>
      <c r="U13" s="193"/>
      <c r="V13" s="193"/>
      <c r="W13" s="193"/>
      <c r="X13" s="71"/>
    </row>
    <row r="14" spans="2:258" ht="15.75" thickBot="1" x14ac:dyDescent="0.3">
      <c r="B14" s="42"/>
      <c r="C14" s="43"/>
      <c r="D14" s="43"/>
      <c r="E14" s="43"/>
      <c r="F14" s="43"/>
      <c r="G14" s="43"/>
      <c r="H14" s="43"/>
      <c r="I14" s="170"/>
      <c r="L14" s="71"/>
      <c r="M14" s="71"/>
      <c r="N14" s="71"/>
      <c r="O14" s="71"/>
      <c r="P14" s="71"/>
      <c r="Q14" s="71"/>
      <c r="R14" s="71"/>
      <c r="S14" s="71"/>
      <c r="T14" s="71"/>
      <c r="U14" s="71"/>
      <c r="V14" s="71"/>
      <c r="W14" s="71"/>
      <c r="X14" s="71"/>
    </row>
    <row r="15" spans="2:258" ht="27.75" thickTop="1" thickBot="1" x14ac:dyDescent="0.45">
      <c r="B15" s="73" t="s">
        <v>50</v>
      </c>
      <c r="C15" s="74"/>
      <c r="D15" s="998" t="s">
        <v>227</v>
      </c>
      <c r="E15" s="999"/>
      <c r="F15" s="999"/>
      <c r="G15" s="999"/>
      <c r="H15" s="999"/>
      <c r="I15" s="999"/>
      <c r="J15" s="999"/>
      <c r="K15" s="999"/>
      <c r="L15" s="999"/>
      <c r="M15" s="999"/>
      <c r="N15" s="999"/>
      <c r="O15" s="999"/>
      <c r="P15" s="999"/>
      <c r="Q15" s="999"/>
      <c r="R15" s="999"/>
      <c r="S15" s="999"/>
      <c r="T15" s="999"/>
      <c r="U15" s="999"/>
      <c r="V15" s="999"/>
      <c r="W15" s="1000"/>
      <c r="X15" s="74"/>
      <c r="Y15" s="75"/>
      <c r="AT15" s="978" t="s">
        <v>357</v>
      </c>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79"/>
      <c r="DW15" s="979"/>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79"/>
      <c r="ET15" s="979"/>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79"/>
      <c r="FT15" s="979"/>
      <c r="FU15" s="979"/>
      <c r="FV15" s="979"/>
      <c r="FW15" s="979"/>
      <c r="FX15" s="979"/>
      <c r="FY15" s="979"/>
      <c r="FZ15" s="979"/>
      <c r="GA15" s="979"/>
      <c r="GB15" s="979"/>
      <c r="GC15" s="979"/>
      <c r="GD15" s="979"/>
      <c r="GE15" s="979"/>
      <c r="GF15" s="979"/>
      <c r="GG15" s="979"/>
      <c r="GH15" s="979"/>
      <c r="GI15" s="979"/>
      <c r="GJ15" s="979"/>
      <c r="GK15" s="979"/>
      <c r="GL15" s="979"/>
      <c r="GM15" s="979"/>
      <c r="GN15" s="979"/>
      <c r="GO15" s="979"/>
      <c r="GP15" s="979"/>
      <c r="GQ15" s="979"/>
      <c r="GR15" s="979"/>
      <c r="GS15" s="979"/>
      <c r="GT15" s="979"/>
      <c r="GU15" s="979"/>
      <c r="GV15" s="979"/>
      <c r="GW15" s="979"/>
      <c r="GX15" s="979"/>
      <c r="GY15" s="979"/>
      <c r="GZ15" s="979"/>
      <c r="HA15" s="979"/>
      <c r="HB15" s="979"/>
      <c r="HC15" s="979"/>
      <c r="HD15" s="979"/>
      <c r="HE15" s="979"/>
      <c r="HF15" s="979"/>
      <c r="HG15" s="979"/>
      <c r="HH15" s="979"/>
      <c r="HI15" s="979"/>
      <c r="HJ15" s="979"/>
      <c r="HK15" s="979"/>
      <c r="HL15" s="979"/>
      <c r="HM15" s="979"/>
      <c r="HN15" s="979"/>
      <c r="HO15" s="979"/>
      <c r="HP15" s="979"/>
      <c r="HQ15" s="979"/>
      <c r="HR15" s="979"/>
      <c r="HS15" s="979"/>
      <c r="HT15" s="979"/>
      <c r="HU15" s="979"/>
      <c r="HV15" s="979"/>
      <c r="HW15" s="979"/>
      <c r="HX15" s="979"/>
      <c r="HY15" s="979"/>
      <c r="HZ15" s="979"/>
      <c r="IA15" s="979"/>
      <c r="IB15" s="979"/>
      <c r="IC15" s="979"/>
      <c r="ID15" s="979"/>
      <c r="IE15" s="979"/>
      <c r="IF15" s="979"/>
      <c r="IG15" s="979"/>
      <c r="IH15" s="979"/>
      <c r="II15" s="979"/>
      <c r="IJ15" s="979"/>
      <c r="IK15" s="979"/>
      <c r="IL15" s="979"/>
      <c r="IM15" s="979"/>
      <c r="IN15" s="979"/>
      <c r="IO15" s="979"/>
      <c r="IP15" s="979"/>
      <c r="IQ15" s="979"/>
      <c r="IR15" s="979"/>
      <c r="IS15" s="979"/>
      <c r="IT15" s="979"/>
      <c r="IU15" s="979"/>
      <c r="IV15" s="979"/>
      <c r="IW15" s="979"/>
      <c r="IX15" s="980"/>
    </row>
    <row r="16" spans="2:258" ht="15.75" customHeight="1" thickBot="1" x14ac:dyDescent="0.3">
      <c r="B16" s="47"/>
      <c r="C16" s="49"/>
      <c r="D16" s="49">
        <v>9</v>
      </c>
      <c r="E16" s="49">
        <v>12</v>
      </c>
      <c r="F16" s="49">
        <f>E16+6</f>
        <v>18</v>
      </c>
      <c r="G16" s="49">
        <f>F16+6</f>
        <v>24</v>
      </c>
      <c r="H16" s="49">
        <f>G16+6</f>
        <v>30</v>
      </c>
      <c r="I16" s="49">
        <f>H16+6</f>
        <v>36</v>
      </c>
      <c r="J16" s="49">
        <v>42</v>
      </c>
      <c r="K16" s="49">
        <v>48</v>
      </c>
      <c r="L16" s="49">
        <v>54</v>
      </c>
      <c r="M16" s="49">
        <v>60</v>
      </c>
      <c r="N16" s="49">
        <v>66</v>
      </c>
      <c r="O16" s="49">
        <v>72</v>
      </c>
      <c r="P16" s="49">
        <v>78</v>
      </c>
      <c r="Q16" s="49">
        <v>84</v>
      </c>
      <c r="R16" s="49">
        <v>90</v>
      </c>
      <c r="S16" s="49">
        <v>96</v>
      </c>
      <c r="T16" s="49">
        <v>102</v>
      </c>
      <c r="U16" s="49">
        <v>108</v>
      </c>
      <c r="V16" s="49">
        <v>114</v>
      </c>
      <c r="W16" s="49">
        <v>120</v>
      </c>
      <c r="X16" s="45"/>
      <c r="Y16" s="46"/>
      <c r="AT16" s="3"/>
      <c r="AU16" s="4"/>
      <c r="AV16" s="4"/>
      <c r="AW16" s="4"/>
      <c r="AX16" s="4"/>
      <c r="AY16" s="4"/>
      <c r="AZ16" s="4"/>
      <c r="BA16" s="4"/>
      <c r="BB16" s="4"/>
      <c r="BC16" s="4"/>
      <c r="BD16" s="4"/>
      <c r="BE16" s="4"/>
      <c r="BF16" s="4"/>
      <c r="BG16" s="4"/>
      <c r="BH16" s="5"/>
      <c r="BI16" s="6"/>
      <c r="BJ16" s="6"/>
      <c r="BK16" s="6"/>
      <c r="BL16" s="6"/>
      <c r="BM16" s="6"/>
      <c r="BN16" s="6"/>
      <c r="BO16" s="6"/>
      <c r="BP16" s="6"/>
      <c r="BQ16" s="6"/>
      <c r="BR16" s="5"/>
      <c r="BS16" s="6"/>
      <c r="BT16" s="6"/>
      <c r="BU16" s="6"/>
      <c r="BV16" s="6"/>
      <c r="BW16" s="6"/>
      <c r="BX16" s="6"/>
      <c r="BY16" s="6"/>
      <c r="BZ16" s="6"/>
      <c r="CA16" s="6"/>
      <c r="CB16" s="5"/>
      <c r="CC16" s="6"/>
      <c r="CD16" s="6"/>
      <c r="CE16" s="6"/>
      <c r="CF16" s="6"/>
      <c r="CG16" s="6"/>
      <c r="CH16" s="6"/>
      <c r="CI16" s="6"/>
      <c r="CJ16" s="6"/>
      <c r="CK16" s="6"/>
      <c r="CL16" s="5"/>
      <c r="CM16" s="6"/>
      <c r="CN16" s="6"/>
      <c r="CO16" s="6"/>
      <c r="CP16" s="6"/>
      <c r="CQ16" s="6"/>
      <c r="CR16" s="6"/>
      <c r="CS16" s="6"/>
      <c r="CT16" s="6"/>
      <c r="CU16" s="6"/>
      <c r="CV16" s="5"/>
      <c r="CW16" s="6"/>
      <c r="CX16" s="6"/>
      <c r="CY16" s="6"/>
      <c r="CZ16" s="6"/>
      <c r="DA16" s="6"/>
      <c r="DB16" s="6"/>
      <c r="DC16" s="6"/>
      <c r="DD16" s="6"/>
      <c r="DE16" s="6"/>
      <c r="DF16" s="5"/>
      <c r="DG16" s="6"/>
      <c r="DH16" s="6"/>
      <c r="DI16" s="6"/>
      <c r="DJ16" s="6"/>
      <c r="DK16" s="6"/>
      <c r="DL16" s="6"/>
      <c r="DM16" s="6"/>
      <c r="DN16" s="6"/>
      <c r="DO16" s="6"/>
      <c r="DP16" s="5"/>
      <c r="DQ16" s="6"/>
      <c r="DR16" s="6"/>
      <c r="DS16" s="6"/>
      <c r="DT16" s="6"/>
      <c r="DU16" s="6"/>
      <c r="DV16" s="6"/>
      <c r="DW16" s="6"/>
      <c r="DX16" s="6"/>
      <c r="DY16" s="6"/>
      <c r="DZ16" s="5"/>
      <c r="EA16" s="6"/>
      <c r="EB16" s="6"/>
      <c r="EC16" s="6"/>
      <c r="ED16" s="6"/>
      <c r="EE16" s="6"/>
      <c r="EF16" s="6"/>
      <c r="EG16" s="6"/>
      <c r="EH16" s="6"/>
      <c r="EI16" s="6"/>
      <c r="EJ16" s="5"/>
      <c r="EK16" s="6"/>
      <c r="EL16" s="6"/>
      <c r="EM16" s="6"/>
      <c r="EN16" s="6"/>
      <c r="EO16" s="6"/>
      <c r="EP16" s="6"/>
      <c r="EQ16" s="6"/>
      <c r="ER16" s="6"/>
      <c r="ES16" s="6"/>
      <c r="ET16" s="5"/>
      <c r="EU16" s="6"/>
      <c r="EV16" s="6"/>
      <c r="EW16" s="6"/>
      <c r="EX16" s="6"/>
      <c r="EY16" s="6"/>
      <c r="EZ16" s="6"/>
      <c r="FA16" s="6"/>
      <c r="FB16" s="6"/>
      <c r="FC16" s="6"/>
      <c r="FD16" s="5"/>
      <c r="FE16" s="6"/>
      <c r="FF16" s="6"/>
      <c r="FG16" s="6"/>
      <c r="FH16" s="6"/>
      <c r="FI16" s="6"/>
      <c r="FJ16" s="6"/>
      <c r="FK16" s="6"/>
      <c r="FL16" s="6"/>
      <c r="FM16" s="6"/>
      <c r="FN16" s="5"/>
      <c r="FO16" s="6"/>
      <c r="FP16" s="6"/>
      <c r="FQ16" s="6"/>
      <c r="FR16" s="6"/>
      <c r="FS16" s="6"/>
      <c r="FT16" s="6"/>
      <c r="FU16" s="6"/>
      <c r="FV16" s="6"/>
      <c r="FW16" s="6"/>
      <c r="FX16" s="5"/>
      <c r="FY16" s="6"/>
      <c r="FZ16" s="6"/>
      <c r="GA16" s="6"/>
      <c r="GB16" s="6"/>
      <c r="GC16" s="6"/>
      <c r="GD16" s="6"/>
      <c r="GE16" s="6"/>
      <c r="GF16" s="6"/>
      <c r="GG16" s="6"/>
      <c r="GH16" s="5"/>
      <c r="GI16" s="6"/>
      <c r="GJ16" s="6"/>
      <c r="GK16" s="6"/>
      <c r="GL16" s="6"/>
      <c r="GM16" s="6"/>
      <c r="GN16" s="6"/>
      <c r="GO16" s="6"/>
      <c r="GP16" s="6"/>
      <c r="GQ16" s="6"/>
      <c r="GR16" s="5"/>
      <c r="GS16" s="6"/>
      <c r="GT16" s="6"/>
      <c r="GU16" s="6"/>
      <c r="GV16" s="6"/>
      <c r="GW16" s="6"/>
      <c r="GX16" s="6"/>
      <c r="GY16" s="6"/>
      <c r="GZ16" s="6"/>
      <c r="HA16" s="6"/>
      <c r="HB16" s="5"/>
      <c r="HC16" s="6"/>
      <c r="HD16" s="6"/>
      <c r="HE16" s="6"/>
      <c r="HF16" s="6"/>
      <c r="HG16" s="6"/>
      <c r="HH16" s="6"/>
      <c r="HI16" s="6"/>
      <c r="HJ16" s="6"/>
      <c r="HK16" s="6"/>
      <c r="HL16" s="5"/>
      <c r="HM16" s="6"/>
      <c r="HN16" s="6"/>
      <c r="HO16" s="6"/>
      <c r="HP16" s="6"/>
      <c r="HQ16" s="6"/>
      <c r="HR16" s="6"/>
      <c r="HS16" s="6"/>
      <c r="HT16" s="6"/>
      <c r="HU16" s="6"/>
      <c r="HV16" s="5"/>
      <c r="HW16" s="6"/>
      <c r="HX16" s="6"/>
      <c r="HY16" s="6"/>
      <c r="HZ16" s="6"/>
      <c r="IA16" s="6"/>
      <c r="IB16" s="6"/>
      <c r="IC16" s="6"/>
      <c r="ID16" s="6"/>
      <c r="IE16" s="6"/>
      <c r="IF16" s="5"/>
      <c r="IG16" s="6"/>
      <c r="IH16" s="6"/>
      <c r="II16" s="6"/>
      <c r="IJ16" s="6"/>
      <c r="IK16" s="6"/>
      <c r="IL16" s="6"/>
      <c r="IM16" s="6"/>
      <c r="IN16" s="4"/>
      <c r="IO16" s="4"/>
      <c r="IP16" s="4"/>
      <c r="IQ16" s="4"/>
      <c r="IR16" s="4"/>
      <c r="IS16" s="4"/>
      <c r="IT16" s="4"/>
      <c r="IU16" s="4"/>
      <c r="IV16" s="4"/>
      <c r="IW16" s="4"/>
      <c r="IX16" s="7"/>
    </row>
    <row r="17" spans="2:258" ht="16.5" thickBot="1" x14ac:dyDescent="0.3">
      <c r="B17" s="81" t="s">
        <v>95</v>
      </c>
      <c r="C17" s="148">
        <v>1</v>
      </c>
      <c r="D17" s="464">
        <v>2</v>
      </c>
      <c r="E17" s="465">
        <v>3</v>
      </c>
      <c r="F17" s="465">
        <v>4</v>
      </c>
      <c r="G17" s="465">
        <v>5</v>
      </c>
      <c r="H17" s="465">
        <v>6</v>
      </c>
      <c r="I17" s="465">
        <v>7</v>
      </c>
      <c r="J17" s="465">
        <v>8</v>
      </c>
      <c r="K17" s="465">
        <v>9</v>
      </c>
      <c r="L17" s="465">
        <v>10</v>
      </c>
      <c r="M17" s="465">
        <v>11</v>
      </c>
      <c r="N17" s="465">
        <v>12</v>
      </c>
      <c r="O17" s="465">
        <v>13</v>
      </c>
      <c r="P17" s="465">
        <v>14</v>
      </c>
      <c r="Q17" s="465">
        <v>15</v>
      </c>
      <c r="R17" s="465">
        <v>16</v>
      </c>
      <c r="S17" s="465">
        <v>17</v>
      </c>
      <c r="T17" s="465">
        <v>18</v>
      </c>
      <c r="U17" s="465">
        <v>19</v>
      </c>
      <c r="V17" s="465">
        <v>20</v>
      </c>
      <c r="W17" s="466">
        <v>21</v>
      </c>
      <c r="X17" s="113"/>
      <c r="Y17" s="46"/>
      <c r="AT17" s="3"/>
      <c r="AU17" s="981" t="s">
        <v>14</v>
      </c>
      <c r="AV17" s="982"/>
      <c r="AW17" s="987" t="s">
        <v>15</v>
      </c>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8"/>
      <c r="GE17" s="988"/>
      <c r="GF17" s="988"/>
      <c r="GG17" s="988"/>
      <c r="GH17" s="988"/>
      <c r="GI17" s="988"/>
      <c r="GJ17" s="988"/>
      <c r="GK17" s="988"/>
      <c r="GL17" s="988"/>
      <c r="GM17" s="988"/>
      <c r="GN17" s="988"/>
      <c r="GO17" s="988"/>
      <c r="GP17" s="988"/>
      <c r="GQ17" s="988"/>
      <c r="GR17" s="988"/>
      <c r="GS17" s="988"/>
      <c r="GT17" s="988"/>
      <c r="GU17" s="988"/>
      <c r="GV17" s="988"/>
      <c r="GW17" s="988"/>
      <c r="GX17" s="988"/>
      <c r="GY17" s="988"/>
      <c r="GZ17" s="988"/>
      <c r="HA17" s="988"/>
      <c r="HB17" s="988"/>
      <c r="HC17" s="988"/>
      <c r="HD17" s="988"/>
      <c r="HE17" s="988"/>
      <c r="HF17" s="988"/>
      <c r="HG17" s="988"/>
      <c r="HH17" s="988"/>
      <c r="HI17" s="988"/>
      <c r="HJ17" s="988"/>
      <c r="HK17" s="988"/>
      <c r="HL17" s="988"/>
      <c r="HM17" s="988"/>
      <c r="HN17" s="988"/>
      <c r="HO17" s="988"/>
      <c r="HP17" s="988"/>
      <c r="HQ17" s="988"/>
      <c r="HR17" s="988"/>
      <c r="HS17" s="988"/>
      <c r="HT17" s="988"/>
      <c r="HU17" s="988"/>
      <c r="HV17" s="988"/>
      <c r="HW17" s="988"/>
      <c r="HX17" s="988"/>
      <c r="HY17" s="988"/>
      <c r="HZ17" s="988"/>
      <c r="IA17" s="988"/>
      <c r="IB17" s="988"/>
      <c r="IC17" s="988"/>
      <c r="ID17" s="988"/>
      <c r="IE17" s="988"/>
      <c r="IF17" s="988"/>
      <c r="IG17" s="988"/>
      <c r="IH17" s="456"/>
      <c r="II17" s="456"/>
      <c r="IJ17" s="456"/>
      <c r="IK17" s="456"/>
      <c r="IL17" s="456"/>
      <c r="IM17" s="456"/>
      <c r="IN17" s="141"/>
      <c r="IO17" s="143"/>
      <c r="IP17" s="4"/>
      <c r="IQ17" s="8"/>
      <c r="IR17" s="8"/>
      <c r="IS17" s="8"/>
      <c r="IT17" s="8"/>
      <c r="IU17" s="8"/>
      <c r="IV17" s="8"/>
      <c r="IW17" s="8"/>
      <c r="IX17" s="7"/>
    </row>
    <row r="18" spans="2:258" ht="15" customHeight="1" thickBot="1" x14ac:dyDescent="0.3">
      <c r="B18" s="79">
        <f>H5</f>
        <v>10.5</v>
      </c>
      <c r="C18" s="149">
        <v>2</v>
      </c>
      <c r="D18" s="486"/>
      <c r="E18" s="467">
        <f t="shared" ref="E18:E29" si="0">BH21/((E$16*B18)/144)</f>
        <v>0.20871428571428571</v>
      </c>
      <c r="F18" s="467">
        <f t="shared" ref="F18:F29" si="1">BR21/((F$16*$B18)/144)</f>
        <v>0.23190476190476195</v>
      </c>
      <c r="G18" s="467">
        <f t="shared" ref="G18:G29" si="2">CB21/((G$16*$B18)/144)</f>
        <v>0.24350000000000002</v>
      </c>
      <c r="H18" s="467">
        <f t="shared" ref="H18:H29" si="3">CL21/((H$16*$B18)/144)</f>
        <v>0.25045714285714288</v>
      </c>
      <c r="I18" s="467">
        <f t="shared" ref="I18:I29" si="4">CV21/((I$16*$B18)/144)</f>
        <v>0.2550952380952381</v>
      </c>
      <c r="J18" s="467">
        <f t="shared" ref="J18:J29" si="5">DF21/((J$16*$B18)/144)</f>
        <v>0.25840816326530613</v>
      </c>
      <c r="K18" s="467">
        <f t="shared" ref="K18:K29" si="6">DP21/((K$16*$B18)/144)</f>
        <v>0.26089285714285715</v>
      </c>
      <c r="L18" s="467">
        <f t="shared" ref="L18:L29" si="7">DZ21/((L$16*$B18)/144)</f>
        <v>0.25767195767195766</v>
      </c>
      <c r="M18" s="467">
        <f t="shared" ref="M18:M29" si="8">EJ21/((M$16*$B18)/144)</f>
        <v>0.25973333333333337</v>
      </c>
      <c r="N18" s="489"/>
      <c r="O18" s="489"/>
      <c r="P18" s="489"/>
      <c r="Q18" s="489"/>
      <c r="R18" s="489"/>
      <c r="S18" s="489"/>
      <c r="T18" s="489"/>
      <c r="U18" s="489"/>
      <c r="V18" s="489"/>
      <c r="W18" s="489"/>
      <c r="X18" s="76"/>
      <c r="Y18" s="77"/>
      <c r="Z18" s="61"/>
      <c r="AA18" s="61"/>
      <c r="AT18" s="3"/>
      <c r="AU18" s="983"/>
      <c r="AV18" s="984"/>
      <c r="AW18" s="989"/>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c r="EE18" s="990"/>
      <c r="EF18" s="990"/>
      <c r="EG18" s="990"/>
      <c r="EH18" s="990"/>
      <c r="EI18" s="990"/>
      <c r="EJ18" s="990"/>
      <c r="EK18" s="990"/>
      <c r="EL18" s="990"/>
      <c r="EM18" s="990"/>
      <c r="EN18" s="990"/>
      <c r="EO18" s="990"/>
      <c r="EP18" s="990"/>
      <c r="EQ18" s="990"/>
      <c r="ER18" s="990"/>
      <c r="ES18" s="990"/>
      <c r="ET18" s="990"/>
      <c r="EU18" s="990"/>
      <c r="EV18" s="990"/>
      <c r="EW18" s="990"/>
      <c r="EX18" s="990"/>
      <c r="EY18" s="990"/>
      <c r="EZ18" s="990"/>
      <c r="FA18" s="990"/>
      <c r="FB18" s="990"/>
      <c r="FC18" s="990"/>
      <c r="FD18" s="990"/>
      <c r="FE18" s="990"/>
      <c r="FF18" s="990"/>
      <c r="FG18" s="990"/>
      <c r="FH18" s="990"/>
      <c r="FI18" s="990"/>
      <c r="FJ18" s="990"/>
      <c r="FK18" s="990"/>
      <c r="FL18" s="990"/>
      <c r="FM18" s="990"/>
      <c r="FN18" s="990"/>
      <c r="FO18" s="990"/>
      <c r="FP18" s="990"/>
      <c r="FQ18" s="990"/>
      <c r="FR18" s="990"/>
      <c r="FS18" s="990"/>
      <c r="FT18" s="990"/>
      <c r="FU18" s="990"/>
      <c r="FV18" s="990"/>
      <c r="FW18" s="990"/>
      <c r="FX18" s="990"/>
      <c r="FY18" s="990"/>
      <c r="FZ18" s="990"/>
      <c r="GA18" s="990"/>
      <c r="GB18" s="990"/>
      <c r="GC18" s="990"/>
      <c r="GD18" s="990"/>
      <c r="GE18" s="990"/>
      <c r="GF18" s="990"/>
      <c r="GG18" s="990"/>
      <c r="GH18" s="990"/>
      <c r="GI18" s="990"/>
      <c r="GJ18" s="990"/>
      <c r="GK18" s="990"/>
      <c r="GL18" s="990"/>
      <c r="GM18" s="990"/>
      <c r="GN18" s="990"/>
      <c r="GO18" s="990"/>
      <c r="GP18" s="990"/>
      <c r="GQ18" s="990"/>
      <c r="GR18" s="990"/>
      <c r="GS18" s="990"/>
      <c r="GT18" s="990"/>
      <c r="GU18" s="990"/>
      <c r="GV18" s="990"/>
      <c r="GW18" s="990"/>
      <c r="GX18" s="990"/>
      <c r="GY18" s="990"/>
      <c r="GZ18" s="990"/>
      <c r="HA18" s="990"/>
      <c r="HB18" s="990"/>
      <c r="HC18" s="990"/>
      <c r="HD18" s="990"/>
      <c r="HE18" s="990"/>
      <c r="HF18" s="990"/>
      <c r="HG18" s="990"/>
      <c r="HH18" s="990"/>
      <c r="HI18" s="990"/>
      <c r="HJ18" s="990"/>
      <c r="HK18" s="990"/>
      <c r="HL18" s="990"/>
      <c r="HM18" s="990"/>
      <c r="HN18" s="990"/>
      <c r="HO18" s="990"/>
      <c r="HP18" s="990"/>
      <c r="HQ18" s="990"/>
      <c r="HR18" s="990"/>
      <c r="HS18" s="990"/>
      <c r="HT18" s="990"/>
      <c r="HU18" s="990"/>
      <c r="HV18" s="990"/>
      <c r="HW18" s="990"/>
      <c r="HX18" s="990"/>
      <c r="HY18" s="990"/>
      <c r="HZ18" s="990"/>
      <c r="IA18" s="990"/>
      <c r="IB18" s="990"/>
      <c r="IC18" s="990"/>
      <c r="ID18" s="990"/>
      <c r="IE18" s="990"/>
      <c r="IF18" s="990"/>
      <c r="IG18" s="990"/>
      <c r="IH18" s="457"/>
      <c r="II18" s="457"/>
      <c r="IJ18" s="457"/>
      <c r="IK18" s="457"/>
      <c r="IL18" s="457"/>
      <c r="IM18" s="457"/>
      <c r="IN18" s="142"/>
      <c r="IO18" s="144"/>
      <c r="IP18" s="4"/>
      <c r="IQ18" s="991" t="s">
        <v>16</v>
      </c>
      <c r="IR18" s="992"/>
      <c r="IS18" s="992"/>
      <c r="IT18" s="992"/>
      <c r="IU18" s="992"/>
      <c r="IV18" s="992"/>
      <c r="IW18" s="993"/>
      <c r="IX18" s="7"/>
    </row>
    <row r="19" spans="2:258" ht="15.75" thickBot="1" x14ac:dyDescent="0.3">
      <c r="B19" s="79">
        <v>12</v>
      </c>
      <c r="C19" s="148">
        <v>3</v>
      </c>
      <c r="D19" s="487"/>
      <c r="E19" s="468">
        <f t="shared" si="0"/>
        <v>0.26924999999999999</v>
      </c>
      <c r="F19" s="468">
        <f t="shared" si="1"/>
        <v>0.29916666666666669</v>
      </c>
      <c r="G19" s="468">
        <f t="shared" si="2"/>
        <v>0.31412499999999999</v>
      </c>
      <c r="H19" s="468">
        <f t="shared" si="3"/>
        <v>0.3231</v>
      </c>
      <c r="I19" s="468">
        <f t="shared" si="4"/>
        <v>0.32908333333333334</v>
      </c>
      <c r="J19" s="468">
        <f t="shared" si="5"/>
        <v>0.33335714285714285</v>
      </c>
      <c r="K19" s="468">
        <f t="shared" si="6"/>
        <v>0.33656249999999999</v>
      </c>
      <c r="L19" s="468">
        <f t="shared" si="7"/>
        <v>0.33240740740740737</v>
      </c>
      <c r="M19" s="468">
        <f t="shared" si="8"/>
        <v>0.33506666666666668</v>
      </c>
      <c r="N19" s="488"/>
      <c r="O19" s="488"/>
      <c r="P19" s="488"/>
      <c r="Q19" s="488"/>
      <c r="R19" s="488"/>
      <c r="S19" s="488"/>
      <c r="T19" s="488"/>
      <c r="U19" s="488"/>
      <c r="V19" s="488"/>
      <c r="W19" s="488"/>
      <c r="X19" s="76"/>
      <c r="Y19" s="46"/>
      <c r="AA19" s="61"/>
      <c r="AT19" s="3"/>
      <c r="AU19" s="985"/>
      <c r="AV19" s="986"/>
      <c r="AW19" s="9"/>
      <c r="AX19" s="145">
        <v>9</v>
      </c>
      <c r="AY19" s="11" t="str">
        <f>"("&amp;ROUND(AX19*25.4/50,0)*50&amp;")"</f>
        <v>(250)</v>
      </c>
      <c r="AZ19" s="12" t="s">
        <v>17</v>
      </c>
      <c r="BA19" s="12" t="s">
        <v>18</v>
      </c>
      <c r="BB19" s="12" t="s">
        <v>19</v>
      </c>
      <c r="BC19" s="12" t="s">
        <v>20</v>
      </c>
      <c r="BD19" s="12" t="s">
        <v>21</v>
      </c>
      <c r="BE19" s="12" t="s">
        <v>22</v>
      </c>
      <c r="BF19" s="12" t="s">
        <v>23</v>
      </c>
      <c r="BG19" s="12" t="s">
        <v>24</v>
      </c>
      <c r="BH19" s="10">
        <v>12</v>
      </c>
      <c r="BI19" s="11" t="str">
        <f>"("&amp;ROUND(BH19*25.4/50,0)*50&amp;")"</f>
        <v>(300)</v>
      </c>
      <c r="BJ19" s="12" t="s">
        <v>17</v>
      </c>
      <c r="BK19" s="12" t="s">
        <v>18</v>
      </c>
      <c r="BL19" s="12" t="s">
        <v>19</v>
      </c>
      <c r="BM19" s="12" t="s">
        <v>20</v>
      </c>
      <c r="BN19" s="12" t="s">
        <v>21</v>
      </c>
      <c r="BO19" s="12" t="s">
        <v>22</v>
      </c>
      <c r="BP19" s="12" t="s">
        <v>23</v>
      </c>
      <c r="BQ19" s="12" t="s">
        <v>24</v>
      </c>
      <c r="BR19" s="10">
        <f>BH19+6</f>
        <v>18</v>
      </c>
      <c r="BS19" s="11" t="str">
        <f>"("&amp;ROUND(BR19*25.4/50,0)*50&amp;")"</f>
        <v>(450)</v>
      </c>
      <c r="BT19" s="12" t="s">
        <v>17</v>
      </c>
      <c r="BU19" s="12" t="s">
        <v>18</v>
      </c>
      <c r="BV19" s="12" t="s">
        <v>19</v>
      </c>
      <c r="BW19" s="12" t="s">
        <v>20</v>
      </c>
      <c r="BX19" s="12" t="s">
        <v>21</v>
      </c>
      <c r="BY19" s="12" t="s">
        <v>22</v>
      </c>
      <c r="BZ19" s="12" t="s">
        <v>23</v>
      </c>
      <c r="CA19" s="12" t="s">
        <v>24</v>
      </c>
      <c r="CB19" s="10">
        <f>BR19+6</f>
        <v>24</v>
      </c>
      <c r="CC19" s="11" t="str">
        <f>"("&amp;ROUND(CB19*25.4/50,0)*50&amp;")"</f>
        <v>(600)</v>
      </c>
      <c r="CD19" s="12" t="s">
        <v>17</v>
      </c>
      <c r="CE19" s="12" t="s">
        <v>18</v>
      </c>
      <c r="CF19" s="12" t="s">
        <v>19</v>
      </c>
      <c r="CG19" s="12" t="s">
        <v>20</v>
      </c>
      <c r="CH19" s="12" t="s">
        <v>21</v>
      </c>
      <c r="CI19" s="12" t="s">
        <v>22</v>
      </c>
      <c r="CJ19" s="12" t="s">
        <v>23</v>
      </c>
      <c r="CK19" s="12" t="s">
        <v>24</v>
      </c>
      <c r="CL19" s="10">
        <f>CB19+6</f>
        <v>30</v>
      </c>
      <c r="CM19" s="11" t="str">
        <f>"("&amp;ROUND(CL19*25.4/50,0)*50&amp;")"</f>
        <v>(750)</v>
      </c>
      <c r="CN19" s="12" t="s">
        <v>17</v>
      </c>
      <c r="CO19" s="12" t="s">
        <v>18</v>
      </c>
      <c r="CP19" s="12" t="s">
        <v>19</v>
      </c>
      <c r="CQ19" s="12" t="s">
        <v>20</v>
      </c>
      <c r="CR19" s="12" t="s">
        <v>21</v>
      </c>
      <c r="CS19" s="12" t="s">
        <v>22</v>
      </c>
      <c r="CT19" s="12" t="s">
        <v>23</v>
      </c>
      <c r="CU19" s="12" t="s">
        <v>24</v>
      </c>
      <c r="CV19" s="10">
        <f>CL19+6</f>
        <v>36</v>
      </c>
      <c r="CW19" s="11" t="str">
        <f>"("&amp;ROUND(CV19*25.4/50,0)*50&amp;")"</f>
        <v>(900)</v>
      </c>
      <c r="CX19" s="12" t="s">
        <v>17</v>
      </c>
      <c r="CY19" s="12" t="s">
        <v>18</v>
      </c>
      <c r="CZ19" s="12" t="s">
        <v>19</v>
      </c>
      <c r="DA19" s="12" t="s">
        <v>20</v>
      </c>
      <c r="DB19" s="12" t="s">
        <v>21</v>
      </c>
      <c r="DC19" s="12" t="s">
        <v>22</v>
      </c>
      <c r="DD19" s="12" t="s">
        <v>23</v>
      </c>
      <c r="DE19" s="12" t="s">
        <v>24</v>
      </c>
      <c r="DF19" s="10">
        <f>CV19+6</f>
        <v>42</v>
      </c>
      <c r="DG19" s="11" t="str">
        <f>"("&amp;ROUND(DF19*25.4/50,0)*50&amp;")"</f>
        <v>(1050)</v>
      </c>
      <c r="DH19" s="12" t="s">
        <v>17</v>
      </c>
      <c r="DI19" s="12" t="s">
        <v>18</v>
      </c>
      <c r="DJ19" s="12" t="s">
        <v>19</v>
      </c>
      <c r="DK19" s="12" t="s">
        <v>20</v>
      </c>
      <c r="DL19" s="12" t="s">
        <v>21</v>
      </c>
      <c r="DM19" s="12" t="s">
        <v>22</v>
      </c>
      <c r="DN19" s="12" t="s">
        <v>23</v>
      </c>
      <c r="DO19" s="12" t="s">
        <v>24</v>
      </c>
      <c r="DP19" s="10">
        <f>DF19+6</f>
        <v>48</v>
      </c>
      <c r="DQ19" s="11" t="str">
        <f>"("&amp;ROUND(DP19*25.4/50,0)*50&amp;")"</f>
        <v>(1200)</v>
      </c>
      <c r="DR19" s="12" t="s">
        <v>17</v>
      </c>
      <c r="DS19" s="12" t="s">
        <v>18</v>
      </c>
      <c r="DT19" s="12" t="s">
        <v>19</v>
      </c>
      <c r="DU19" s="12" t="s">
        <v>20</v>
      </c>
      <c r="DV19" s="12" t="s">
        <v>21</v>
      </c>
      <c r="DW19" s="12" t="s">
        <v>22</v>
      </c>
      <c r="DX19" s="12" t="s">
        <v>23</v>
      </c>
      <c r="DY19" s="12" t="s">
        <v>24</v>
      </c>
      <c r="DZ19" s="10">
        <f>DP19+6</f>
        <v>54</v>
      </c>
      <c r="EA19" s="11" t="str">
        <f>"("&amp;ROUND(DZ19*25.4/50,0)*50&amp;")"</f>
        <v>(1350)</v>
      </c>
      <c r="EB19" s="12" t="s">
        <v>17</v>
      </c>
      <c r="EC19" s="12" t="s">
        <v>18</v>
      </c>
      <c r="ED19" s="12" t="s">
        <v>19</v>
      </c>
      <c r="EE19" s="12" t="s">
        <v>20</v>
      </c>
      <c r="EF19" s="12" t="s">
        <v>21</v>
      </c>
      <c r="EG19" s="12" t="s">
        <v>22</v>
      </c>
      <c r="EH19" s="12" t="s">
        <v>23</v>
      </c>
      <c r="EI19" s="12" t="s">
        <v>24</v>
      </c>
      <c r="EJ19" s="10">
        <f>DZ19+6</f>
        <v>60</v>
      </c>
      <c r="EK19" s="11" t="str">
        <f>"("&amp;ROUND(EJ19*25.4/50,0)*50&amp;")"</f>
        <v>(1500)</v>
      </c>
      <c r="EL19" s="12" t="s">
        <v>17</v>
      </c>
      <c r="EM19" s="12" t="s">
        <v>18</v>
      </c>
      <c r="EN19" s="12" t="s">
        <v>19</v>
      </c>
      <c r="EO19" s="12" t="s">
        <v>20</v>
      </c>
      <c r="EP19" s="12" t="s">
        <v>21</v>
      </c>
      <c r="EQ19" s="12" t="s">
        <v>22</v>
      </c>
      <c r="ER19" s="12" t="s">
        <v>23</v>
      </c>
      <c r="ES19" s="12" t="s">
        <v>24</v>
      </c>
      <c r="ET19" s="10">
        <f>EJ19+6</f>
        <v>66</v>
      </c>
      <c r="EU19" s="11" t="str">
        <f>"("&amp;ROUND(ET19*25.4/50,0)*50&amp;")"</f>
        <v>(1700)</v>
      </c>
      <c r="EV19" s="12" t="s">
        <v>17</v>
      </c>
      <c r="EW19" s="12" t="s">
        <v>18</v>
      </c>
      <c r="EX19" s="12" t="s">
        <v>19</v>
      </c>
      <c r="EY19" s="12" t="s">
        <v>20</v>
      </c>
      <c r="EZ19" s="12" t="s">
        <v>21</v>
      </c>
      <c r="FA19" s="12" t="s">
        <v>22</v>
      </c>
      <c r="FB19" s="12" t="s">
        <v>23</v>
      </c>
      <c r="FC19" s="12" t="s">
        <v>24</v>
      </c>
      <c r="FD19" s="10">
        <f>ET19+6</f>
        <v>72</v>
      </c>
      <c r="FE19" s="11" t="str">
        <f>"("&amp;ROUND(FD19*25.4/50,0)*50&amp;")"</f>
        <v>(1850)</v>
      </c>
      <c r="FF19" s="12" t="s">
        <v>17</v>
      </c>
      <c r="FG19" s="12" t="s">
        <v>18</v>
      </c>
      <c r="FH19" s="12" t="s">
        <v>19</v>
      </c>
      <c r="FI19" s="12" t="s">
        <v>20</v>
      </c>
      <c r="FJ19" s="12" t="s">
        <v>21</v>
      </c>
      <c r="FK19" s="12" t="s">
        <v>22</v>
      </c>
      <c r="FL19" s="12" t="s">
        <v>23</v>
      </c>
      <c r="FM19" s="12" t="s">
        <v>24</v>
      </c>
      <c r="FN19" s="10">
        <f>FD19+6</f>
        <v>78</v>
      </c>
      <c r="FO19" s="11" t="str">
        <f>"("&amp;ROUND(FN19*25.4/50,0)*50&amp;")"</f>
        <v>(2000)</v>
      </c>
      <c r="FP19" s="12" t="s">
        <v>17</v>
      </c>
      <c r="FQ19" s="12" t="s">
        <v>18</v>
      </c>
      <c r="FR19" s="12" t="s">
        <v>19</v>
      </c>
      <c r="FS19" s="12" t="s">
        <v>20</v>
      </c>
      <c r="FT19" s="12" t="s">
        <v>21</v>
      </c>
      <c r="FU19" s="12" t="s">
        <v>22</v>
      </c>
      <c r="FV19" s="12" t="s">
        <v>23</v>
      </c>
      <c r="FW19" s="12" t="s">
        <v>24</v>
      </c>
      <c r="FX19" s="10">
        <f>FN19+6</f>
        <v>84</v>
      </c>
      <c r="FY19" s="11" t="str">
        <f>"("&amp;ROUND(FX19*25.4/50,0)*50&amp;")"</f>
        <v>(2150)</v>
      </c>
      <c r="FZ19" s="12" t="s">
        <v>17</v>
      </c>
      <c r="GA19" s="12" t="s">
        <v>18</v>
      </c>
      <c r="GB19" s="12" t="s">
        <v>19</v>
      </c>
      <c r="GC19" s="12" t="s">
        <v>20</v>
      </c>
      <c r="GD19" s="12" t="s">
        <v>21</v>
      </c>
      <c r="GE19" s="12" t="s">
        <v>22</v>
      </c>
      <c r="GF19" s="12" t="s">
        <v>23</v>
      </c>
      <c r="GG19" s="12" t="s">
        <v>24</v>
      </c>
      <c r="GH19" s="10">
        <f>FX19+6</f>
        <v>90</v>
      </c>
      <c r="GI19" s="11" t="str">
        <f>"("&amp;ROUND(GH19*25.4/50,0)*50&amp;")"</f>
        <v>(2300)</v>
      </c>
      <c r="GJ19" s="12" t="s">
        <v>17</v>
      </c>
      <c r="GK19" s="12" t="s">
        <v>18</v>
      </c>
      <c r="GL19" s="12" t="s">
        <v>19</v>
      </c>
      <c r="GM19" s="12" t="s">
        <v>20</v>
      </c>
      <c r="GN19" s="12" t="s">
        <v>21</v>
      </c>
      <c r="GO19" s="12" t="s">
        <v>22</v>
      </c>
      <c r="GP19" s="12" t="s">
        <v>23</v>
      </c>
      <c r="GQ19" s="12" t="s">
        <v>24</v>
      </c>
      <c r="GR19" s="10">
        <f>GH19+6</f>
        <v>96</v>
      </c>
      <c r="GS19" s="11" t="str">
        <f>"("&amp;ROUND(GR19*25.4/50,0)*50&amp;")"</f>
        <v>(2450)</v>
      </c>
      <c r="GT19" s="12" t="s">
        <v>17</v>
      </c>
      <c r="GU19" s="12" t="s">
        <v>18</v>
      </c>
      <c r="GV19" s="12" t="s">
        <v>19</v>
      </c>
      <c r="GW19" s="12" t="s">
        <v>20</v>
      </c>
      <c r="GX19" s="12" t="s">
        <v>21</v>
      </c>
      <c r="GY19" s="12" t="s">
        <v>22</v>
      </c>
      <c r="GZ19" s="12" t="s">
        <v>23</v>
      </c>
      <c r="HA19" s="12" t="s">
        <v>24</v>
      </c>
      <c r="HB19" s="10">
        <f>GR19+6</f>
        <v>102</v>
      </c>
      <c r="HC19" s="11" t="str">
        <f>"("&amp;ROUND(HB19*25.4/50,0)*50&amp;")"</f>
        <v>(2600)</v>
      </c>
      <c r="HD19" s="12" t="s">
        <v>17</v>
      </c>
      <c r="HE19" s="12" t="s">
        <v>18</v>
      </c>
      <c r="HF19" s="12" t="s">
        <v>19</v>
      </c>
      <c r="HG19" s="12" t="s">
        <v>20</v>
      </c>
      <c r="HH19" s="12" t="s">
        <v>21</v>
      </c>
      <c r="HI19" s="12" t="s">
        <v>22</v>
      </c>
      <c r="HJ19" s="12" t="s">
        <v>23</v>
      </c>
      <c r="HK19" s="12" t="s">
        <v>24</v>
      </c>
      <c r="HL19" s="10">
        <f>HB19+6</f>
        <v>108</v>
      </c>
      <c r="HM19" s="11" t="str">
        <f>"("&amp;ROUND(HL19*25.4/50,0)*50&amp;")"</f>
        <v>(2750)</v>
      </c>
      <c r="HN19" s="12" t="s">
        <v>17</v>
      </c>
      <c r="HO19" s="12" t="s">
        <v>18</v>
      </c>
      <c r="HP19" s="12" t="s">
        <v>19</v>
      </c>
      <c r="HQ19" s="12" t="s">
        <v>20</v>
      </c>
      <c r="HR19" s="12" t="s">
        <v>21</v>
      </c>
      <c r="HS19" s="12" t="s">
        <v>22</v>
      </c>
      <c r="HT19" s="12" t="s">
        <v>23</v>
      </c>
      <c r="HU19" s="12" t="s">
        <v>24</v>
      </c>
      <c r="HV19" s="10">
        <f>HL19+6</f>
        <v>114</v>
      </c>
      <c r="HW19" s="11" t="str">
        <f>"("&amp;ROUND(HV19*25.4/50,0)*50&amp;")"</f>
        <v>(2900)</v>
      </c>
      <c r="HX19" s="12" t="s">
        <v>17</v>
      </c>
      <c r="HY19" s="12" t="s">
        <v>18</v>
      </c>
      <c r="HZ19" s="12" t="s">
        <v>19</v>
      </c>
      <c r="IA19" s="12" t="s">
        <v>20</v>
      </c>
      <c r="IB19" s="12" t="s">
        <v>21</v>
      </c>
      <c r="IC19" s="12" t="s">
        <v>22</v>
      </c>
      <c r="ID19" s="12" t="s">
        <v>23</v>
      </c>
      <c r="IE19" s="12" t="s">
        <v>24</v>
      </c>
      <c r="IF19" s="10">
        <f>HV19+6</f>
        <v>120</v>
      </c>
      <c r="IG19" s="11" t="str">
        <f>"("&amp;ROUND(IF19*25.4/50,0)*50&amp;")"</f>
        <v>(3050)</v>
      </c>
      <c r="IH19" s="12" t="s">
        <v>17</v>
      </c>
      <c r="II19" s="12" t="s">
        <v>18</v>
      </c>
      <c r="IJ19" s="12" t="s">
        <v>19</v>
      </c>
      <c r="IK19" s="12" t="s">
        <v>20</v>
      </c>
      <c r="IL19" s="12" t="s">
        <v>21</v>
      </c>
      <c r="IM19" s="12" t="s">
        <v>22</v>
      </c>
      <c r="IN19" s="12" t="s">
        <v>23</v>
      </c>
      <c r="IO19" s="12" t="s">
        <v>24</v>
      </c>
      <c r="IP19" s="14"/>
      <c r="IQ19" s="15" t="s">
        <v>25</v>
      </c>
      <c r="IR19" s="15" t="s">
        <v>26</v>
      </c>
      <c r="IS19" s="15" t="s">
        <v>27</v>
      </c>
      <c r="IT19" s="15" t="s">
        <v>28</v>
      </c>
      <c r="IU19" s="15" t="s">
        <v>29</v>
      </c>
      <c r="IV19" s="15" t="s">
        <v>30</v>
      </c>
      <c r="IW19" s="15" t="s">
        <v>31</v>
      </c>
      <c r="IX19" s="7"/>
    </row>
    <row r="20" spans="2:258" ht="15.75" thickBot="1" x14ac:dyDescent="0.3">
      <c r="B20" s="79">
        <f>B19+6</f>
        <v>18</v>
      </c>
      <c r="C20" s="147">
        <v>4</v>
      </c>
      <c r="D20" s="487"/>
      <c r="E20" s="468">
        <f t="shared" si="0"/>
        <v>0.33437500000000003</v>
      </c>
      <c r="F20" s="468">
        <f t="shared" si="1"/>
        <v>0.37152777777777779</v>
      </c>
      <c r="G20" s="468">
        <f t="shared" si="2"/>
        <v>0.3901041666666667</v>
      </c>
      <c r="H20" s="468">
        <f t="shared" si="3"/>
        <v>0.40125000000000005</v>
      </c>
      <c r="I20" s="468">
        <f t="shared" si="4"/>
        <v>0.40868055555555549</v>
      </c>
      <c r="J20" s="468">
        <f t="shared" si="5"/>
        <v>0.41398809523809532</v>
      </c>
      <c r="K20" s="468">
        <f t="shared" si="6"/>
        <v>0.41796875</v>
      </c>
      <c r="L20" s="468">
        <f t="shared" si="7"/>
        <v>0.41280864197530864</v>
      </c>
      <c r="M20" s="468">
        <f t="shared" si="8"/>
        <v>0.41611111111111115</v>
      </c>
      <c r="N20" s="488"/>
      <c r="O20" s="488"/>
      <c r="P20" s="488"/>
      <c r="Q20" s="488"/>
      <c r="R20" s="488"/>
      <c r="S20" s="488"/>
      <c r="T20" s="488"/>
      <c r="U20" s="488"/>
      <c r="V20" s="488"/>
      <c r="W20" s="488"/>
      <c r="X20" s="76"/>
      <c r="Y20" s="46"/>
      <c r="AA20" s="61"/>
      <c r="AT20" s="3"/>
      <c r="AU20" s="9"/>
      <c r="AV20" s="16"/>
      <c r="AW20" s="17"/>
      <c r="AX20" s="17"/>
      <c r="AY20" s="17"/>
      <c r="AZ20" s="11"/>
      <c r="BA20" s="11"/>
      <c r="BB20" s="11"/>
      <c r="BC20" s="11"/>
      <c r="BD20" s="11"/>
      <c r="BE20" s="11"/>
      <c r="BF20" s="11"/>
      <c r="BG20" s="11"/>
      <c r="BH20" s="10"/>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4"/>
      <c r="IQ20" s="15"/>
      <c r="IR20" s="15"/>
      <c r="IS20" s="15"/>
      <c r="IT20" s="15"/>
      <c r="IU20" s="15"/>
      <c r="IV20" s="15"/>
      <c r="IW20" s="15"/>
      <c r="IX20" s="7"/>
    </row>
    <row r="21" spans="2:258" ht="18" customHeight="1" thickBot="1" x14ac:dyDescent="0.3">
      <c r="B21" s="79">
        <f t="shared" ref="B21:B37" si="9">B20+6</f>
        <v>24</v>
      </c>
      <c r="C21" s="148">
        <v>5</v>
      </c>
      <c r="D21" s="487"/>
      <c r="E21" s="468">
        <f t="shared" si="0"/>
        <v>0.32968750000000002</v>
      </c>
      <c r="F21" s="468">
        <f t="shared" si="1"/>
        <v>0.36631944444444442</v>
      </c>
      <c r="G21" s="468">
        <f t="shared" si="2"/>
        <v>0.38463541666666667</v>
      </c>
      <c r="H21" s="468">
        <f t="shared" si="3"/>
        <v>0.395625</v>
      </c>
      <c r="I21" s="468">
        <f t="shared" si="4"/>
        <v>0.40295138888888893</v>
      </c>
      <c r="J21" s="468">
        <f t="shared" si="5"/>
        <v>0.4081845238095238</v>
      </c>
      <c r="K21" s="468">
        <f t="shared" si="6"/>
        <v>0.41210937500000006</v>
      </c>
      <c r="L21" s="468">
        <f t="shared" si="7"/>
        <v>0.40702160493827161</v>
      </c>
      <c r="M21" s="468">
        <f t="shared" si="8"/>
        <v>0.4102777777777778</v>
      </c>
      <c r="N21" s="488"/>
      <c r="O21" s="488"/>
      <c r="P21" s="488"/>
      <c r="Q21" s="488"/>
      <c r="R21" s="488"/>
      <c r="S21" s="488"/>
      <c r="T21" s="488"/>
      <c r="U21" s="488"/>
      <c r="V21" s="488"/>
      <c r="W21" s="488"/>
      <c r="X21" s="76"/>
      <c r="Y21" s="46"/>
      <c r="AA21" s="61"/>
      <c r="AT21" s="3"/>
      <c r="AU21" s="145">
        <f>H5</f>
        <v>10.5</v>
      </c>
      <c r="AV21" s="11" t="str">
        <f t="shared" ref="AV21:AV40" si="10">"("&amp;ROUND(AU21*25.4/50,0)*50&amp;")"</f>
        <v>(250)</v>
      </c>
      <c r="AW21" s="146"/>
      <c r="AX21" s="19">
        <f t="shared" ref="AX21:AX40" si="11">($IR21+(($IQ21-1)*$IS21)+$IT21)*BG21/144</f>
        <v>0.12175</v>
      </c>
      <c r="AY21" s="20" t="str">
        <f t="shared" ref="AY21:AY40" si="12">"("&amp;FIXED(AX21*0.092903,2)&amp;")"</f>
        <v>(0.01)</v>
      </c>
      <c r="AZ21" s="21">
        <v>2</v>
      </c>
      <c r="BA21" s="21">
        <f t="shared" ref="BA21:BA40" si="13">$IU$22*AZ21</f>
        <v>3</v>
      </c>
      <c r="BB21" s="21">
        <v>0</v>
      </c>
      <c r="BC21" s="21">
        <f t="shared" ref="BC21:BC40" si="14">$IW$22*BB21</f>
        <v>0</v>
      </c>
      <c r="BD21" s="21">
        <v>0</v>
      </c>
      <c r="BE21" s="21">
        <f t="shared" ref="BE21:BE40" si="15">$IV$22*BD21</f>
        <v>0</v>
      </c>
      <c r="BF21" s="21">
        <f t="shared" ref="BF21:BF40" si="16">BA21+BC21+BE21</f>
        <v>3</v>
      </c>
      <c r="BG21" s="22">
        <f t="shared" ref="BG21:BG40" si="17">AX$19-BA21-BC21-BE21</f>
        <v>6</v>
      </c>
      <c r="BH21" s="19">
        <f t="shared" ref="BH21:BH40" si="18">($IR21+(($IQ21-1)*$IS21)+$IT21)*BQ21/144</f>
        <v>0.18262500000000001</v>
      </c>
      <c r="BI21" s="20" t="str">
        <f t="shared" ref="BI21:BI40" si="19">"("&amp;FIXED(BH21*0.092903,2)&amp;")"</f>
        <v>(0.02)</v>
      </c>
      <c r="BJ21" s="21">
        <v>2</v>
      </c>
      <c r="BK21" s="21">
        <f t="shared" ref="BK21:BK40" si="20">$IU$22*BJ21</f>
        <v>3</v>
      </c>
      <c r="BL21" s="21">
        <v>0</v>
      </c>
      <c r="BM21" s="21">
        <f t="shared" ref="BM21:BM40" si="21">$IW$22*BL21</f>
        <v>0</v>
      </c>
      <c r="BN21" s="21">
        <v>0</v>
      </c>
      <c r="BO21" s="21">
        <f t="shared" ref="BO21:BO40" si="22">$IV$22*BN21</f>
        <v>0</v>
      </c>
      <c r="BP21" s="21">
        <f t="shared" ref="BP21:BP40" si="23">BK21+BM21+BO21</f>
        <v>3</v>
      </c>
      <c r="BQ21" s="22">
        <f t="shared" ref="BQ21:BQ40" si="24">BH$19-BK21-BM21-BO21</f>
        <v>9</v>
      </c>
      <c r="BR21" s="19">
        <f t="shared" ref="BR21:BR40" si="25">($IR21+(($IQ21-1)*$IS21)+$IT21)*CA21/144</f>
        <v>0.30437500000000006</v>
      </c>
      <c r="BS21" s="20" t="str">
        <f t="shared" ref="BS21:BS40" si="26">"("&amp;ROUND(BR21*0.092903,2)&amp;")"</f>
        <v>(0.03)</v>
      </c>
      <c r="BT21" s="21">
        <v>2</v>
      </c>
      <c r="BU21" s="21">
        <f t="shared" ref="BU21:BU40" si="27">$IU$22*BT21</f>
        <v>3</v>
      </c>
      <c r="BV21" s="21">
        <v>0</v>
      </c>
      <c r="BW21" s="21">
        <f t="shared" ref="BW21:BW40" si="28">$IW$22*BV21</f>
        <v>0</v>
      </c>
      <c r="BX21" s="21">
        <v>0</v>
      </c>
      <c r="BY21" s="21">
        <f t="shared" ref="BY21:BY40" si="29">$IV$22*BX21</f>
        <v>0</v>
      </c>
      <c r="BZ21" s="21">
        <f t="shared" ref="BZ21:BZ40" si="30">BU21+BW21+BY21</f>
        <v>3</v>
      </c>
      <c r="CA21" s="22">
        <f t="shared" ref="CA21:CA40" si="31">BR$19-BU21-BW21-BY21</f>
        <v>15</v>
      </c>
      <c r="CB21" s="19">
        <f t="shared" ref="CB21:CB40" si="32">($IR21+(($IQ21-1)*$IS21)+$IT21)*CK21/144</f>
        <v>0.42612500000000003</v>
      </c>
      <c r="CC21" s="20" t="str">
        <f t="shared" ref="CC21:CC40" si="33">"("&amp;ROUND(CB21*0.092903,2)&amp;")"</f>
        <v>(0.04)</v>
      </c>
      <c r="CD21" s="21">
        <v>2</v>
      </c>
      <c r="CE21" s="21">
        <f t="shared" ref="CE21:CE40" si="34">$IU$22*CD21</f>
        <v>3</v>
      </c>
      <c r="CF21" s="21">
        <v>0</v>
      </c>
      <c r="CG21" s="21">
        <f t="shared" ref="CG21:CG40" si="35">$IW$22*CF21</f>
        <v>0</v>
      </c>
      <c r="CH21" s="21">
        <v>0</v>
      </c>
      <c r="CI21" s="21">
        <f t="shared" ref="CI21:CI40" si="36">$IV$22*CH21</f>
        <v>0</v>
      </c>
      <c r="CJ21" s="21">
        <f t="shared" ref="CJ21:CJ40" si="37">CE21+CG21+CI21</f>
        <v>3</v>
      </c>
      <c r="CK21" s="22">
        <f t="shared" ref="CK21:CK40" si="38">CB$19-CE21-CG21-CI21</f>
        <v>21</v>
      </c>
      <c r="CL21" s="19">
        <f t="shared" ref="CL21:CL40" si="39">($IR21+(($IQ21-1)*$IS21)+$IT21)*CU21/144</f>
        <v>0.547875</v>
      </c>
      <c r="CM21" s="20" t="str">
        <f t="shared" ref="CM21:CM40" si="40">"("&amp;ROUND(CL21*0.092903,2)&amp;")"</f>
        <v>(0.05)</v>
      </c>
      <c r="CN21" s="21">
        <v>2</v>
      </c>
      <c r="CO21" s="21">
        <f t="shared" ref="CO21:CO40" si="41">$IU$22*CN21</f>
        <v>3</v>
      </c>
      <c r="CP21" s="21">
        <v>0</v>
      </c>
      <c r="CQ21" s="21">
        <f t="shared" ref="CQ21:CQ40" si="42">$IW$22*CP21</f>
        <v>0</v>
      </c>
      <c r="CR21" s="21">
        <v>0</v>
      </c>
      <c r="CS21" s="21">
        <f t="shared" ref="CS21:CS40" si="43">$IV$22*CR21</f>
        <v>0</v>
      </c>
      <c r="CT21" s="21">
        <f t="shared" ref="CT21:CT40" si="44">CO21+CQ21+CS21</f>
        <v>3</v>
      </c>
      <c r="CU21" s="22">
        <f t="shared" ref="CU21:CU40" si="45">CL$19-CO21-CQ21-CS21</f>
        <v>27</v>
      </c>
      <c r="CV21" s="19">
        <f t="shared" ref="CV21:CV40" si="46">($IR21+(($IQ21-1)*$IS21)+$IT21)*DE21/144</f>
        <v>0.66962500000000003</v>
      </c>
      <c r="CW21" s="20" t="str">
        <f t="shared" ref="CW21:CW40" si="47">"("&amp;ROUND(CV21*0.092903,2)&amp;")"</f>
        <v>(0.06)</v>
      </c>
      <c r="CX21" s="21">
        <v>2</v>
      </c>
      <c r="CY21" s="21">
        <f t="shared" ref="CY21:CY40" si="48">$IU$22*CX21</f>
        <v>3</v>
      </c>
      <c r="CZ21" s="21">
        <v>0</v>
      </c>
      <c r="DA21" s="21">
        <f t="shared" ref="DA21:DA40" si="49">$IW$22*CZ21</f>
        <v>0</v>
      </c>
      <c r="DB21" s="21">
        <v>0</v>
      </c>
      <c r="DC21" s="21">
        <f t="shared" ref="DC21:DC40" si="50">$IV$22*DB21</f>
        <v>0</v>
      </c>
      <c r="DD21" s="21">
        <f t="shared" ref="DD21:DD40" si="51">CY21+DA21+DC21</f>
        <v>3</v>
      </c>
      <c r="DE21" s="22">
        <f t="shared" ref="DE21:DE40" si="52">CV$19-CY21-DA21-DC21</f>
        <v>33</v>
      </c>
      <c r="DF21" s="19">
        <f t="shared" ref="DF21:DF40" si="53">($IR21+(($IQ21-1)*$IS21)+$IT21)*DO21/144</f>
        <v>0.79137500000000005</v>
      </c>
      <c r="DG21" s="20" t="str">
        <f t="shared" ref="DG21:DG40" si="54">"("&amp;ROUND(DF21*0.092903,2)&amp;")"</f>
        <v>(0.07)</v>
      </c>
      <c r="DH21" s="21">
        <v>2</v>
      </c>
      <c r="DI21" s="21">
        <f t="shared" ref="DI21:DI40" si="55">$IU$22*DH21</f>
        <v>3</v>
      </c>
      <c r="DJ21" s="21">
        <v>0</v>
      </c>
      <c r="DK21" s="21">
        <f t="shared" ref="DK21:DK40" si="56">$IW$22*DJ21</f>
        <v>0</v>
      </c>
      <c r="DL21" s="21">
        <v>0</v>
      </c>
      <c r="DM21" s="21">
        <f t="shared" ref="DM21:DM40" si="57">$IV$22*DL21</f>
        <v>0</v>
      </c>
      <c r="DN21" s="21">
        <f t="shared" ref="DN21:DN40" si="58">DI21+DK21+DM21</f>
        <v>3</v>
      </c>
      <c r="DO21" s="22">
        <f t="shared" ref="DO21:DO40" si="59">DF$19-DI21-DK21-DM21</f>
        <v>39</v>
      </c>
      <c r="DP21" s="19">
        <f t="shared" ref="DP21:DP40" si="60">($IR21+(($IQ21-1)*$IS21)+$IT21)*DY21/144</f>
        <v>0.91312500000000008</v>
      </c>
      <c r="DQ21" s="20" t="str">
        <f t="shared" ref="DQ21:DQ40" si="61">"("&amp;ROUND(DP21*0.092903,2)&amp;")"</f>
        <v>(0.08)</v>
      </c>
      <c r="DR21" s="21">
        <v>2</v>
      </c>
      <c r="DS21" s="21">
        <f t="shared" ref="DS21:DS40" si="62">$IU$22*DR21</f>
        <v>3</v>
      </c>
      <c r="DT21" s="21">
        <v>0</v>
      </c>
      <c r="DU21" s="21">
        <f t="shared" ref="DU21:DU40" si="63">$IW$22*DT21</f>
        <v>0</v>
      </c>
      <c r="DV21" s="21">
        <v>0</v>
      </c>
      <c r="DW21" s="21">
        <f t="shared" ref="DW21:DW40" si="64">$IV$22*DV21</f>
        <v>0</v>
      </c>
      <c r="DX21" s="21">
        <f t="shared" ref="DX21:DX40" si="65">DS21+DU21+DW21</f>
        <v>3</v>
      </c>
      <c r="DY21" s="22">
        <f t="shared" ref="DY21:DY40" si="66">DP$19-DS21-DU21-DW21</f>
        <v>45</v>
      </c>
      <c r="DZ21" s="19">
        <f t="shared" ref="DZ21:DZ40" si="67">($IR21+(($IQ21-1)*$IS21)+$IT21)*EI21/144</f>
        <v>1.0145833333333334</v>
      </c>
      <c r="EA21" s="20" t="str">
        <f t="shared" ref="EA21:EA40" si="68">"("&amp;FIXED(DZ21*0.092903,2)&amp;")"</f>
        <v>(0.09)</v>
      </c>
      <c r="EB21" s="21">
        <v>2</v>
      </c>
      <c r="EC21" s="21">
        <f t="shared" ref="EC21:EC40" si="69">$IU$22*EB21</f>
        <v>3</v>
      </c>
      <c r="ED21" s="21">
        <v>0</v>
      </c>
      <c r="EE21" s="21">
        <f t="shared" ref="EE21:EE40" si="70">$IW$22*ED21</f>
        <v>0</v>
      </c>
      <c r="EF21" s="21">
        <v>1</v>
      </c>
      <c r="EG21" s="21">
        <f t="shared" ref="EG21:EG40" si="71">$IV$22*EF21</f>
        <v>1</v>
      </c>
      <c r="EH21" s="21">
        <f t="shared" ref="EH21:EH40" si="72">EC21+EE21+EG21</f>
        <v>4</v>
      </c>
      <c r="EI21" s="22">
        <f t="shared" ref="EI21:EI40" si="73">DZ$19-EC21-EE21-EG21</f>
        <v>50</v>
      </c>
      <c r="EJ21" s="19">
        <f t="shared" ref="EJ21:EJ40" si="74">($IR21+(($IQ21-1)*$IS21)+$IT21)*ES21/144</f>
        <v>1.1363333333333334</v>
      </c>
      <c r="EK21" s="20" t="str">
        <f t="shared" ref="EK21:EK40" si="75">"("&amp;FIXED(EJ21*0.092903,2)&amp;")"</f>
        <v>(0.11)</v>
      </c>
      <c r="EL21" s="21">
        <v>2</v>
      </c>
      <c r="EM21" s="21">
        <f t="shared" ref="EM21:EM40" si="76">$IU$22*EL21</f>
        <v>3</v>
      </c>
      <c r="EN21" s="21">
        <v>0</v>
      </c>
      <c r="EO21" s="21">
        <f t="shared" ref="EO21:EO40" si="77">$IW$22*EN21</f>
        <v>0</v>
      </c>
      <c r="EP21" s="21">
        <v>1</v>
      </c>
      <c r="EQ21" s="21">
        <f t="shared" ref="EQ21:EQ40" si="78">$IV$22*EP21</f>
        <v>1</v>
      </c>
      <c r="ER21" s="21">
        <f t="shared" ref="ER21:ER40" si="79">EM21+EO21+EQ21</f>
        <v>4</v>
      </c>
      <c r="ES21" s="22">
        <f t="shared" ref="ES21:ES40" si="80">EJ$19-EM21-EO21-EQ21</f>
        <v>56</v>
      </c>
      <c r="ET21" s="19">
        <f t="shared" ref="ET21:ET40" si="81">($IR21+(($IQ21-1)*$IS21)+$IT21)*FC21/144</f>
        <v>1.2580833333333334</v>
      </c>
      <c r="EU21" s="20" t="str">
        <f t="shared" ref="EU21:EU40" si="82">"("&amp;FIXED(ET21*0.092903,2)&amp;")"</f>
        <v>(0.12)</v>
      </c>
      <c r="EV21" s="21">
        <v>2</v>
      </c>
      <c r="EW21" s="21">
        <f t="shared" ref="EW21:EW40" si="83">$IU$22*EV21</f>
        <v>3</v>
      </c>
      <c r="EX21" s="21">
        <v>0</v>
      </c>
      <c r="EY21" s="21">
        <f t="shared" ref="EY21:EY40" si="84">$IW$22*EX21</f>
        <v>0</v>
      </c>
      <c r="EZ21" s="21">
        <v>1</v>
      </c>
      <c r="FA21" s="21">
        <f t="shared" ref="FA21:FA40" si="85">$IV$22*EZ21</f>
        <v>1</v>
      </c>
      <c r="FB21" s="21">
        <f t="shared" ref="FB21:FB40" si="86">EW21+EY21+FA21</f>
        <v>4</v>
      </c>
      <c r="FC21" s="22">
        <f t="shared" ref="FC21:FC40" si="87">ET$19-EW21-EY21-FA21</f>
        <v>62</v>
      </c>
      <c r="FD21" s="19">
        <f t="shared" ref="FD21:FD40" si="88">($IR21+(($IQ21-1)*$IS21)+$IT21)*FM21/144</f>
        <v>1.4001250000000001</v>
      </c>
      <c r="FE21" s="20" t="str">
        <f t="shared" ref="FE21:FE40" si="89">"("&amp;FIXED(FD21*0.092903,2)&amp;")"</f>
        <v>(0.13)</v>
      </c>
      <c r="FF21" s="21">
        <v>2</v>
      </c>
      <c r="FG21" s="21">
        <f t="shared" ref="FG21:FG40" si="90">$IU$22*FF21</f>
        <v>3</v>
      </c>
      <c r="FH21" s="469">
        <v>0</v>
      </c>
      <c r="FI21" s="21">
        <f t="shared" ref="FI21:FI40" si="91">$IW$22*FH21</f>
        <v>0</v>
      </c>
      <c r="FJ21" s="21">
        <v>0</v>
      </c>
      <c r="FK21" s="21">
        <f t="shared" ref="FK21:FK40" si="92">$IV$22*FJ21</f>
        <v>0</v>
      </c>
      <c r="FL21" s="21">
        <f t="shared" ref="FL21:FL40" si="93">FG21+FI21+FK21</f>
        <v>3</v>
      </c>
      <c r="FM21" s="22">
        <f t="shared" ref="FM21:FM40" si="94">FD$19-FG21-FI21-FK21</f>
        <v>69</v>
      </c>
      <c r="FN21" s="19">
        <f t="shared" ref="FN21:FN32" si="95">($IR21+(($IQ21-1)*$IS21)+$IT21)*FW21/144</f>
        <v>1.4990468750000001</v>
      </c>
      <c r="FO21" s="20" t="str">
        <f t="shared" ref="FO21:FO32" si="96">"("&amp;FIXED(FN21*0.092903,2)&amp;")"</f>
        <v>(0.14)</v>
      </c>
      <c r="FP21" s="21">
        <v>2</v>
      </c>
      <c r="FQ21" s="21">
        <f t="shared" ref="FQ21:FQ32" si="97">$IU$22*FP21</f>
        <v>3</v>
      </c>
      <c r="FR21" s="21">
        <v>1</v>
      </c>
      <c r="FS21" s="21">
        <f t="shared" ref="FS21:FS32" si="98">$IW$22*FR21</f>
        <v>1.125</v>
      </c>
      <c r="FT21" s="21">
        <v>0</v>
      </c>
      <c r="FU21" s="21">
        <f t="shared" ref="FU21:FU32" si="99">$IV$22*FT21</f>
        <v>0</v>
      </c>
      <c r="FV21" s="21">
        <f t="shared" ref="FV21:FV32" si="100">FQ21+FS21+FU21</f>
        <v>4.125</v>
      </c>
      <c r="FW21" s="22">
        <f t="shared" ref="FW21:FW32" si="101">FN$19-FQ21-FS21-FU21</f>
        <v>73.875</v>
      </c>
      <c r="FX21" s="19">
        <f t="shared" ref="FX21:FX32" si="102">($IR21+(($IQ21-1)*$IS21)+$IT21)*GG21/144</f>
        <v>1.6207968750000001</v>
      </c>
      <c r="FY21" s="20" t="str">
        <f t="shared" ref="FY21:FY32" si="103">"("&amp;FIXED(FX21*0.092903,2)&amp;")"</f>
        <v>(0.15)</v>
      </c>
      <c r="FZ21" s="21">
        <v>2</v>
      </c>
      <c r="GA21" s="21">
        <f t="shared" ref="GA21:GA32" si="104">$IU$22*FZ21</f>
        <v>3</v>
      </c>
      <c r="GB21" s="21">
        <v>1</v>
      </c>
      <c r="GC21" s="21">
        <f t="shared" ref="GC21:GC32" si="105">$IW$22*GB21</f>
        <v>1.125</v>
      </c>
      <c r="GD21" s="21">
        <v>0</v>
      </c>
      <c r="GE21" s="21">
        <f t="shared" ref="GE21:GE32" si="106">$IV$22*GD21</f>
        <v>0</v>
      </c>
      <c r="GF21" s="21">
        <f t="shared" ref="GF21:GF32" si="107">GA21+GC21+GE21</f>
        <v>4.125</v>
      </c>
      <c r="GG21" s="22">
        <f t="shared" ref="GG21:GG32" si="108">FX$19-GA21-GC21-GE21</f>
        <v>79.875</v>
      </c>
      <c r="GH21" s="19">
        <f t="shared" ref="GH21:GH32" si="109">($IR21+(($IQ21-1)*$IS21)+$IT21)*GQ21/144</f>
        <v>1.7425468750000002</v>
      </c>
      <c r="GI21" s="20" t="str">
        <f t="shared" ref="GI21:GI32" si="110">"("&amp;FIXED(GH21*0.092903,2)&amp;")"</f>
        <v>(0.16)</v>
      </c>
      <c r="GJ21" s="21">
        <v>2</v>
      </c>
      <c r="GK21" s="21">
        <f t="shared" ref="GK21:GK32" si="111">$IU$22*GJ21</f>
        <v>3</v>
      </c>
      <c r="GL21" s="21">
        <v>1</v>
      </c>
      <c r="GM21" s="21">
        <f t="shared" ref="GM21:GM32" si="112">$IW$22*GL21</f>
        <v>1.125</v>
      </c>
      <c r="GN21" s="21">
        <v>0</v>
      </c>
      <c r="GO21" s="21">
        <f t="shared" ref="GO21:GO32" si="113">$IV$22*GN21</f>
        <v>0</v>
      </c>
      <c r="GP21" s="21">
        <f t="shared" ref="GP21:GP32" si="114">GK21+GM21+GO21</f>
        <v>4.125</v>
      </c>
      <c r="GQ21" s="22">
        <f t="shared" ref="GQ21:GQ32" si="115">GH$19-GK21-GM21-GO21</f>
        <v>85.875</v>
      </c>
      <c r="GR21" s="19">
        <f t="shared" ref="GR21:GR32" si="116">($IR21+(($IQ21-1)*$IS21)+$IT21)*HA21/144</f>
        <v>1.864296875</v>
      </c>
      <c r="GS21" s="20" t="str">
        <f t="shared" ref="GS21:GS32" si="117">"("&amp;FIXED(GR21*0.092903,2)&amp;")"</f>
        <v>(0.17)</v>
      </c>
      <c r="GT21" s="21">
        <v>2</v>
      </c>
      <c r="GU21" s="21">
        <f t="shared" ref="GU21:GU32" si="118">$IU$22*GT21</f>
        <v>3</v>
      </c>
      <c r="GV21" s="21">
        <v>1</v>
      </c>
      <c r="GW21" s="21">
        <f t="shared" ref="GW21:GW32" si="119">$IW$22*GV21</f>
        <v>1.125</v>
      </c>
      <c r="GX21" s="21">
        <v>0</v>
      </c>
      <c r="GY21" s="21">
        <f t="shared" ref="GY21:GY32" si="120">$IV$22*GX21</f>
        <v>0</v>
      </c>
      <c r="GZ21" s="21">
        <f t="shared" ref="GZ21:GZ32" si="121">GU21+GW21+GY21</f>
        <v>4.125</v>
      </c>
      <c r="HA21" s="22">
        <f t="shared" ref="HA21:HA32" si="122">GR$19-GU21-GW21-GY21</f>
        <v>91.875</v>
      </c>
      <c r="HB21" s="19">
        <f t="shared" ref="HB21:HB32" si="123">($IR21+(($IQ21-1)*$IS21)+$IT21)*HK21/144</f>
        <v>1.986046875</v>
      </c>
      <c r="HC21" s="20" t="str">
        <f t="shared" ref="HC21:HC32" si="124">"("&amp;FIXED(HB21*0.092903,2)&amp;")"</f>
        <v>(0.18)</v>
      </c>
      <c r="HD21" s="21">
        <v>2</v>
      </c>
      <c r="HE21" s="21">
        <f t="shared" ref="HE21:HE32" si="125">$IU$22*HD21</f>
        <v>3</v>
      </c>
      <c r="HF21" s="21">
        <v>1</v>
      </c>
      <c r="HG21" s="21">
        <f t="shared" ref="HG21:HG32" si="126">$IW$22*HF21</f>
        <v>1.125</v>
      </c>
      <c r="HH21" s="21">
        <v>0</v>
      </c>
      <c r="HI21" s="21">
        <f t="shared" ref="HI21:HI32" si="127">$IV$22*HH21</f>
        <v>0</v>
      </c>
      <c r="HJ21" s="21">
        <f t="shared" ref="HJ21:HJ32" si="128">HE21+HG21+HI21</f>
        <v>4.125</v>
      </c>
      <c r="HK21" s="22">
        <f t="shared" ref="HK21:HK32" si="129">HB$19-HE21-HG21-HI21</f>
        <v>97.875</v>
      </c>
      <c r="HL21" s="19">
        <f t="shared" ref="HL21:HL32" si="130">($IR21+(($IQ21-1)*$IS21)+$IT21)*HU21/144</f>
        <v>2.0672135416666668</v>
      </c>
      <c r="HM21" s="20" t="str">
        <f t="shared" ref="HM21:HM32" si="131">"("&amp;FIXED(HL21*0.092903,2)&amp;")"</f>
        <v>(0.19)</v>
      </c>
      <c r="HN21" s="21">
        <v>2</v>
      </c>
      <c r="HO21" s="21">
        <f t="shared" ref="HO21:HO32" si="132">$IU$22*HN21</f>
        <v>3</v>
      </c>
      <c r="HP21" s="21">
        <v>1</v>
      </c>
      <c r="HQ21" s="21">
        <f t="shared" ref="HQ21:HQ32" si="133">$IW$22*HP21</f>
        <v>1.125</v>
      </c>
      <c r="HR21" s="21">
        <v>2</v>
      </c>
      <c r="HS21" s="21">
        <f t="shared" ref="HS21:HS32" si="134">$IV$22*HR21</f>
        <v>2</v>
      </c>
      <c r="HT21" s="21">
        <f t="shared" ref="HT21:HT32" si="135">HO21+HQ21+HS21</f>
        <v>6.125</v>
      </c>
      <c r="HU21" s="22">
        <f t="shared" ref="HU21:HU32" si="136">HL$19-HO21-HQ21-HS21</f>
        <v>101.875</v>
      </c>
      <c r="HV21" s="19">
        <f t="shared" ref="HV21:HV32" si="137">($IR21+(($IQ21-1)*$IS21)+$IT21)*IE21/144</f>
        <v>2.1889635416666668</v>
      </c>
      <c r="HW21" s="20" t="str">
        <f t="shared" ref="HW21:HW32" si="138">"("&amp;FIXED(HV21*0.092903,2)&amp;")"</f>
        <v>(0.20)</v>
      </c>
      <c r="HX21" s="21">
        <v>2</v>
      </c>
      <c r="HY21" s="21">
        <f t="shared" ref="HY21:HY32" si="139">$IU$22*HX21</f>
        <v>3</v>
      </c>
      <c r="HZ21" s="21">
        <v>1</v>
      </c>
      <c r="IA21" s="21">
        <f t="shared" ref="IA21:IA32" si="140">$IW$22*HZ21</f>
        <v>1.125</v>
      </c>
      <c r="IB21" s="21">
        <v>2</v>
      </c>
      <c r="IC21" s="21">
        <f t="shared" ref="IC21:IC32" si="141">$IV$22*IB21</f>
        <v>2</v>
      </c>
      <c r="ID21" s="21">
        <f t="shared" ref="ID21:ID32" si="142">HY21+IA21+IC21</f>
        <v>6.125</v>
      </c>
      <c r="IE21" s="22">
        <f t="shared" ref="IE21:IE32" si="143">HV$19-HY21-IA21-IC21</f>
        <v>107.875</v>
      </c>
      <c r="IF21" s="19">
        <f t="shared" ref="IF21:IF32" si="144">($IR21+(($IQ21-1)*$IS21)+$IT21)*IO21/144</f>
        <v>2.3107135416666669</v>
      </c>
      <c r="IG21" s="20" t="str">
        <f t="shared" ref="IG21:IG32" si="145">"("&amp;FIXED(IF21*0.092903,2)&amp;")"</f>
        <v>(0.21)</v>
      </c>
      <c r="IH21" s="21">
        <v>2</v>
      </c>
      <c r="II21" s="21">
        <f t="shared" ref="II21:II32" si="146">$IU$22*IH21</f>
        <v>3</v>
      </c>
      <c r="IJ21" s="21">
        <v>1</v>
      </c>
      <c r="IK21" s="21">
        <f t="shared" ref="IK21:IK32" si="147">$IW$22*IJ21</f>
        <v>1.125</v>
      </c>
      <c r="IL21" s="21">
        <v>2</v>
      </c>
      <c r="IM21" s="21">
        <f t="shared" ref="IM21:IM32" si="148">$IV$22*IL21</f>
        <v>2</v>
      </c>
      <c r="IN21" s="21">
        <f t="shared" ref="IN21:IN32" si="149">II21+IK21+IM21</f>
        <v>6.125</v>
      </c>
      <c r="IO21" s="22">
        <f t="shared" ref="IO21:IO32" si="150">IF$19-II21-IK21-IM21</f>
        <v>113.875</v>
      </c>
      <c r="IP21" s="14"/>
      <c r="IQ21" s="24">
        <v>1</v>
      </c>
      <c r="IR21" s="25">
        <v>2.5</v>
      </c>
      <c r="IS21" s="25">
        <v>2.8079999999999998</v>
      </c>
      <c r="IT21" s="25">
        <v>0.42199999999999999</v>
      </c>
      <c r="IU21" s="25">
        <v>1.5</v>
      </c>
      <c r="IV21" s="25">
        <v>1</v>
      </c>
      <c r="IW21" s="25">
        <v>1.125</v>
      </c>
      <c r="IX21" s="7"/>
    </row>
    <row r="22" spans="2:258" ht="15.75" thickBot="1" x14ac:dyDescent="0.3">
      <c r="B22" s="79">
        <f t="shared" si="9"/>
        <v>30</v>
      </c>
      <c r="C22" s="147">
        <v>6</v>
      </c>
      <c r="D22" s="487"/>
      <c r="E22" s="468">
        <f t="shared" si="0"/>
        <v>0.34549999999999997</v>
      </c>
      <c r="F22" s="468">
        <f t="shared" si="1"/>
        <v>0.38388888888888884</v>
      </c>
      <c r="G22" s="468">
        <f t="shared" si="2"/>
        <v>0.40308333333333329</v>
      </c>
      <c r="H22" s="468">
        <f t="shared" si="3"/>
        <v>0.41460000000000002</v>
      </c>
      <c r="I22" s="468">
        <f t="shared" si="4"/>
        <v>0.4222777777777777</v>
      </c>
      <c r="J22" s="468">
        <f t="shared" si="5"/>
        <v>0.42776190476190468</v>
      </c>
      <c r="K22" s="468">
        <f t="shared" si="6"/>
        <v>0.43187499999999995</v>
      </c>
      <c r="L22" s="468">
        <f t="shared" si="7"/>
        <v>0.42654320987654315</v>
      </c>
      <c r="M22" s="468">
        <f t="shared" si="8"/>
        <v>0.42995555555555554</v>
      </c>
      <c r="N22" s="488"/>
      <c r="O22" s="488"/>
      <c r="P22" s="488"/>
      <c r="Q22" s="488"/>
      <c r="R22" s="488"/>
      <c r="S22" s="488"/>
      <c r="T22" s="488"/>
      <c r="U22" s="488"/>
      <c r="V22" s="488"/>
      <c r="W22" s="488"/>
      <c r="X22" s="76"/>
      <c r="Y22" s="46"/>
      <c r="AA22" s="61"/>
      <c r="AT22" s="3"/>
      <c r="AU22" s="13">
        <v>12</v>
      </c>
      <c r="AV22" s="11" t="str">
        <f t="shared" si="10"/>
        <v>(300)</v>
      </c>
      <c r="AW22" s="18"/>
      <c r="AX22" s="19">
        <f t="shared" si="11"/>
        <v>0.17949999999999999</v>
      </c>
      <c r="AY22" s="20" t="str">
        <f t="shared" si="12"/>
        <v>(0.02)</v>
      </c>
      <c r="AZ22" s="21">
        <v>2</v>
      </c>
      <c r="BA22" s="21">
        <f t="shared" si="13"/>
        <v>3</v>
      </c>
      <c r="BB22" s="21">
        <v>0</v>
      </c>
      <c r="BC22" s="21">
        <f t="shared" si="14"/>
        <v>0</v>
      </c>
      <c r="BD22" s="21">
        <v>0</v>
      </c>
      <c r="BE22" s="21">
        <f t="shared" si="15"/>
        <v>0</v>
      </c>
      <c r="BF22" s="21">
        <f t="shared" si="16"/>
        <v>3</v>
      </c>
      <c r="BG22" s="22">
        <f t="shared" si="17"/>
        <v>6</v>
      </c>
      <c r="BH22" s="205">
        <f t="shared" si="18"/>
        <v>0.26924999999999999</v>
      </c>
      <c r="BI22" s="206" t="str">
        <f t="shared" si="19"/>
        <v>(0.03)</v>
      </c>
      <c r="BJ22" s="207">
        <v>2</v>
      </c>
      <c r="BK22" s="207">
        <f t="shared" si="20"/>
        <v>3</v>
      </c>
      <c r="BL22" s="207">
        <v>0</v>
      </c>
      <c r="BM22" s="207">
        <f t="shared" si="21"/>
        <v>0</v>
      </c>
      <c r="BN22" s="207">
        <v>0</v>
      </c>
      <c r="BO22" s="207">
        <f t="shared" si="22"/>
        <v>0</v>
      </c>
      <c r="BP22" s="207">
        <f t="shared" si="23"/>
        <v>3</v>
      </c>
      <c r="BQ22" s="208">
        <f t="shared" si="24"/>
        <v>9</v>
      </c>
      <c r="BR22" s="205">
        <f t="shared" si="25"/>
        <v>0.44875000000000004</v>
      </c>
      <c r="BS22" s="206" t="str">
        <f t="shared" si="26"/>
        <v>(0.04)</v>
      </c>
      <c r="BT22" s="207">
        <v>2</v>
      </c>
      <c r="BU22" s="207">
        <f t="shared" si="27"/>
        <v>3</v>
      </c>
      <c r="BV22" s="207">
        <v>0</v>
      </c>
      <c r="BW22" s="207">
        <f t="shared" si="28"/>
        <v>0</v>
      </c>
      <c r="BX22" s="207">
        <v>0</v>
      </c>
      <c r="BY22" s="207">
        <f t="shared" si="29"/>
        <v>0</v>
      </c>
      <c r="BZ22" s="207">
        <f t="shared" si="30"/>
        <v>3</v>
      </c>
      <c r="CA22" s="208">
        <f t="shared" si="31"/>
        <v>15</v>
      </c>
      <c r="CB22" s="205">
        <f t="shared" si="32"/>
        <v>0.62824999999999998</v>
      </c>
      <c r="CC22" s="206" t="str">
        <f t="shared" si="33"/>
        <v>(0.06)</v>
      </c>
      <c r="CD22" s="207">
        <v>2</v>
      </c>
      <c r="CE22" s="207">
        <f t="shared" si="34"/>
        <v>3</v>
      </c>
      <c r="CF22" s="207">
        <v>0</v>
      </c>
      <c r="CG22" s="207">
        <f t="shared" si="35"/>
        <v>0</v>
      </c>
      <c r="CH22" s="207">
        <v>0</v>
      </c>
      <c r="CI22" s="207">
        <f t="shared" si="36"/>
        <v>0</v>
      </c>
      <c r="CJ22" s="207">
        <f t="shared" si="37"/>
        <v>3</v>
      </c>
      <c r="CK22" s="208">
        <f t="shared" si="38"/>
        <v>21</v>
      </c>
      <c r="CL22" s="205">
        <f t="shared" si="39"/>
        <v>0.80774999999999997</v>
      </c>
      <c r="CM22" s="206" t="str">
        <f t="shared" si="40"/>
        <v>(0.08)</v>
      </c>
      <c r="CN22" s="207">
        <v>2</v>
      </c>
      <c r="CO22" s="207">
        <f t="shared" si="41"/>
        <v>3</v>
      </c>
      <c r="CP22" s="207">
        <v>0</v>
      </c>
      <c r="CQ22" s="207">
        <f t="shared" si="42"/>
        <v>0</v>
      </c>
      <c r="CR22" s="207">
        <v>0</v>
      </c>
      <c r="CS22" s="207">
        <f t="shared" si="43"/>
        <v>0</v>
      </c>
      <c r="CT22" s="207">
        <f t="shared" si="44"/>
        <v>3</v>
      </c>
      <c r="CU22" s="208">
        <f t="shared" si="45"/>
        <v>27</v>
      </c>
      <c r="CV22" s="205">
        <f t="shared" si="46"/>
        <v>0.98724999999999996</v>
      </c>
      <c r="CW22" s="206" t="str">
        <f t="shared" si="47"/>
        <v>(0.09)</v>
      </c>
      <c r="CX22" s="207">
        <v>2</v>
      </c>
      <c r="CY22" s="207">
        <f t="shared" si="48"/>
        <v>3</v>
      </c>
      <c r="CZ22" s="207">
        <v>0</v>
      </c>
      <c r="DA22" s="207">
        <f t="shared" si="49"/>
        <v>0</v>
      </c>
      <c r="DB22" s="207">
        <v>0</v>
      </c>
      <c r="DC22" s="207">
        <f t="shared" si="50"/>
        <v>0</v>
      </c>
      <c r="DD22" s="207">
        <f t="shared" si="51"/>
        <v>3</v>
      </c>
      <c r="DE22" s="208">
        <f t="shared" si="52"/>
        <v>33</v>
      </c>
      <c r="DF22" s="205">
        <f t="shared" si="53"/>
        <v>1.16675</v>
      </c>
      <c r="DG22" s="206" t="str">
        <f t="shared" si="54"/>
        <v>(0.11)</v>
      </c>
      <c r="DH22" s="207">
        <v>2</v>
      </c>
      <c r="DI22" s="207">
        <f t="shared" si="55"/>
        <v>3</v>
      </c>
      <c r="DJ22" s="207">
        <v>0</v>
      </c>
      <c r="DK22" s="207">
        <f t="shared" si="56"/>
        <v>0</v>
      </c>
      <c r="DL22" s="207">
        <v>0</v>
      </c>
      <c r="DM22" s="207">
        <f t="shared" si="57"/>
        <v>0</v>
      </c>
      <c r="DN22" s="207">
        <f t="shared" si="58"/>
        <v>3</v>
      </c>
      <c r="DO22" s="208">
        <f t="shared" si="59"/>
        <v>39</v>
      </c>
      <c r="DP22" s="205">
        <f t="shared" si="60"/>
        <v>1.3462499999999999</v>
      </c>
      <c r="DQ22" s="206" t="str">
        <f t="shared" si="61"/>
        <v>(0.13)</v>
      </c>
      <c r="DR22" s="207">
        <v>2</v>
      </c>
      <c r="DS22" s="207">
        <f t="shared" si="62"/>
        <v>3</v>
      </c>
      <c r="DT22" s="207">
        <v>0</v>
      </c>
      <c r="DU22" s="207">
        <f t="shared" si="63"/>
        <v>0</v>
      </c>
      <c r="DV22" s="207">
        <v>0</v>
      </c>
      <c r="DW22" s="207">
        <f t="shared" si="64"/>
        <v>0</v>
      </c>
      <c r="DX22" s="207">
        <f t="shared" si="65"/>
        <v>3</v>
      </c>
      <c r="DY22" s="208">
        <f t="shared" si="66"/>
        <v>45</v>
      </c>
      <c r="DZ22" s="205">
        <f t="shared" si="67"/>
        <v>1.4958333333333331</v>
      </c>
      <c r="EA22" s="206" t="str">
        <f t="shared" si="68"/>
        <v>(0.14)</v>
      </c>
      <c r="EB22" s="207">
        <v>2</v>
      </c>
      <c r="EC22" s="207">
        <f t="shared" si="69"/>
        <v>3</v>
      </c>
      <c r="ED22" s="207">
        <v>0</v>
      </c>
      <c r="EE22" s="207">
        <f t="shared" si="70"/>
        <v>0</v>
      </c>
      <c r="EF22" s="207">
        <v>1</v>
      </c>
      <c r="EG22" s="207">
        <f t="shared" si="71"/>
        <v>1</v>
      </c>
      <c r="EH22" s="207">
        <f t="shared" si="72"/>
        <v>4</v>
      </c>
      <c r="EI22" s="208">
        <f t="shared" si="73"/>
        <v>50</v>
      </c>
      <c r="EJ22" s="205">
        <f t="shared" si="74"/>
        <v>1.6753333333333333</v>
      </c>
      <c r="EK22" s="206" t="str">
        <f t="shared" si="75"/>
        <v>(0.16)</v>
      </c>
      <c r="EL22" s="207">
        <v>2</v>
      </c>
      <c r="EM22" s="207">
        <f t="shared" si="76"/>
        <v>3</v>
      </c>
      <c r="EN22" s="207">
        <v>0</v>
      </c>
      <c r="EO22" s="207">
        <f t="shared" si="77"/>
        <v>0</v>
      </c>
      <c r="EP22" s="207">
        <v>1</v>
      </c>
      <c r="EQ22" s="207">
        <f t="shared" si="78"/>
        <v>1</v>
      </c>
      <c r="ER22" s="207">
        <f t="shared" si="79"/>
        <v>4</v>
      </c>
      <c r="ES22" s="208">
        <f t="shared" si="80"/>
        <v>56</v>
      </c>
      <c r="ET22" s="205">
        <f t="shared" si="81"/>
        <v>1.8548333333333333</v>
      </c>
      <c r="EU22" s="206" t="str">
        <f t="shared" si="82"/>
        <v>(0.17)</v>
      </c>
      <c r="EV22" s="207">
        <v>2</v>
      </c>
      <c r="EW22" s="207">
        <f t="shared" si="83"/>
        <v>3</v>
      </c>
      <c r="EX22" s="207">
        <v>0</v>
      </c>
      <c r="EY22" s="207">
        <f t="shared" si="84"/>
        <v>0</v>
      </c>
      <c r="EZ22" s="207">
        <v>1</v>
      </c>
      <c r="FA22" s="207">
        <f t="shared" si="85"/>
        <v>1</v>
      </c>
      <c r="FB22" s="207">
        <f t="shared" si="86"/>
        <v>4</v>
      </c>
      <c r="FC22" s="208">
        <f t="shared" si="87"/>
        <v>62</v>
      </c>
      <c r="FD22" s="205">
        <f t="shared" si="88"/>
        <v>2.0642499999999999</v>
      </c>
      <c r="FE22" s="206" t="str">
        <f t="shared" si="89"/>
        <v>(0.19)</v>
      </c>
      <c r="FF22" s="207">
        <v>2</v>
      </c>
      <c r="FG22" s="207">
        <f t="shared" si="90"/>
        <v>3</v>
      </c>
      <c r="FH22" s="469">
        <v>0</v>
      </c>
      <c r="FI22" s="207">
        <f t="shared" si="91"/>
        <v>0</v>
      </c>
      <c r="FJ22" s="207">
        <v>0</v>
      </c>
      <c r="FK22" s="207">
        <f t="shared" si="92"/>
        <v>0</v>
      </c>
      <c r="FL22" s="207">
        <f t="shared" si="93"/>
        <v>3</v>
      </c>
      <c r="FM22" s="208">
        <f t="shared" si="94"/>
        <v>69</v>
      </c>
      <c r="FN22" s="205">
        <f t="shared" si="95"/>
        <v>2.21009375</v>
      </c>
      <c r="FO22" s="206" t="str">
        <f t="shared" si="96"/>
        <v>(0.21)</v>
      </c>
      <c r="FP22" s="207">
        <v>2</v>
      </c>
      <c r="FQ22" s="207">
        <f t="shared" si="97"/>
        <v>3</v>
      </c>
      <c r="FR22" s="207">
        <v>1</v>
      </c>
      <c r="FS22" s="207">
        <f t="shared" si="98"/>
        <v>1.125</v>
      </c>
      <c r="FT22" s="207">
        <v>0</v>
      </c>
      <c r="FU22" s="207">
        <f t="shared" si="99"/>
        <v>0</v>
      </c>
      <c r="FV22" s="207">
        <f t="shared" si="100"/>
        <v>4.125</v>
      </c>
      <c r="FW22" s="208">
        <f t="shared" si="101"/>
        <v>73.875</v>
      </c>
      <c r="FX22" s="205">
        <f t="shared" si="102"/>
        <v>2.38959375</v>
      </c>
      <c r="FY22" s="206" t="str">
        <f t="shared" si="103"/>
        <v>(0.22)</v>
      </c>
      <c r="FZ22" s="207">
        <v>2</v>
      </c>
      <c r="GA22" s="207">
        <f t="shared" si="104"/>
        <v>3</v>
      </c>
      <c r="GB22" s="207">
        <v>1</v>
      </c>
      <c r="GC22" s="207">
        <f t="shared" si="105"/>
        <v>1.125</v>
      </c>
      <c r="GD22" s="207">
        <v>0</v>
      </c>
      <c r="GE22" s="207">
        <f t="shared" si="106"/>
        <v>0</v>
      </c>
      <c r="GF22" s="207">
        <f t="shared" si="107"/>
        <v>4.125</v>
      </c>
      <c r="GG22" s="208">
        <f t="shared" si="108"/>
        <v>79.875</v>
      </c>
      <c r="GH22" s="205">
        <f t="shared" si="109"/>
        <v>2.56909375</v>
      </c>
      <c r="GI22" s="206" t="str">
        <f t="shared" si="110"/>
        <v>(0.24)</v>
      </c>
      <c r="GJ22" s="207">
        <v>2</v>
      </c>
      <c r="GK22" s="207">
        <f t="shared" si="111"/>
        <v>3</v>
      </c>
      <c r="GL22" s="207">
        <v>1</v>
      </c>
      <c r="GM22" s="207">
        <f t="shared" si="112"/>
        <v>1.125</v>
      </c>
      <c r="GN22" s="207">
        <v>0</v>
      </c>
      <c r="GO22" s="207">
        <f t="shared" si="113"/>
        <v>0</v>
      </c>
      <c r="GP22" s="207">
        <f t="shared" si="114"/>
        <v>4.125</v>
      </c>
      <c r="GQ22" s="208">
        <f t="shared" si="115"/>
        <v>85.875</v>
      </c>
      <c r="GR22" s="205">
        <f t="shared" si="116"/>
        <v>2.7485937499999995</v>
      </c>
      <c r="GS22" s="206" t="str">
        <f t="shared" si="117"/>
        <v>(0.26)</v>
      </c>
      <c r="GT22" s="207">
        <v>2</v>
      </c>
      <c r="GU22" s="207">
        <f t="shared" si="118"/>
        <v>3</v>
      </c>
      <c r="GV22" s="207">
        <v>1</v>
      </c>
      <c r="GW22" s="207">
        <f t="shared" si="119"/>
        <v>1.125</v>
      </c>
      <c r="GX22" s="207">
        <v>0</v>
      </c>
      <c r="GY22" s="207">
        <f t="shared" si="120"/>
        <v>0</v>
      </c>
      <c r="GZ22" s="207">
        <f t="shared" si="121"/>
        <v>4.125</v>
      </c>
      <c r="HA22" s="208">
        <f t="shared" si="122"/>
        <v>91.875</v>
      </c>
      <c r="HB22" s="205">
        <f t="shared" si="123"/>
        <v>2.9280937499999999</v>
      </c>
      <c r="HC22" s="206" t="str">
        <f t="shared" si="124"/>
        <v>(0.27)</v>
      </c>
      <c r="HD22" s="207">
        <v>2</v>
      </c>
      <c r="HE22" s="207">
        <f t="shared" si="125"/>
        <v>3</v>
      </c>
      <c r="HF22" s="207">
        <v>1</v>
      </c>
      <c r="HG22" s="207">
        <f t="shared" si="126"/>
        <v>1.125</v>
      </c>
      <c r="HH22" s="207">
        <v>0</v>
      </c>
      <c r="HI22" s="207">
        <f t="shared" si="127"/>
        <v>0</v>
      </c>
      <c r="HJ22" s="207">
        <f t="shared" si="128"/>
        <v>4.125</v>
      </c>
      <c r="HK22" s="208">
        <f t="shared" si="129"/>
        <v>97.875</v>
      </c>
      <c r="HL22" s="205">
        <f t="shared" si="130"/>
        <v>3.0477604166666667</v>
      </c>
      <c r="HM22" s="206" t="str">
        <f t="shared" si="131"/>
        <v>(0.28)</v>
      </c>
      <c r="HN22" s="207">
        <v>2</v>
      </c>
      <c r="HO22" s="207">
        <f t="shared" si="132"/>
        <v>3</v>
      </c>
      <c r="HP22" s="207">
        <v>1</v>
      </c>
      <c r="HQ22" s="207">
        <f t="shared" si="133"/>
        <v>1.125</v>
      </c>
      <c r="HR22" s="207">
        <v>2</v>
      </c>
      <c r="HS22" s="207">
        <f t="shared" si="134"/>
        <v>2</v>
      </c>
      <c r="HT22" s="207">
        <f t="shared" si="135"/>
        <v>6.125</v>
      </c>
      <c r="HU22" s="208">
        <f t="shared" si="136"/>
        <v>101.875</v>
      </c>
      <c r="HV22" s="205">
        <f t="shared" si="137"/>
        <v>3.2272604166666663</v>
      </c>
      <c r="HW22" s="206" t="str">
        <f t="shared" si="138"/>
        <v>(0.30)</v>
      </c>
      <c r="HX22" s="207">
        <v>2</v>
      </c>
      <c r="HY22" s="207">
        <f t="shared" si="139"/>
        <v>3</v>
      </c>
      <c r="HZ22" s="207">
        <v>1</v>
      </c>
      <c r="IA22" s="207">
        <f t="shared" si="140"/>
        <v>1.125</v>
      </c>
      <c r="IB22" s="207">
        <v>2</v>
      </c>
      <c r="IC22" s="207">
        <f t="shared" si="141"/>
        <v>2</v>
      </c>
      <c r="ID22" s="207">
        <f t="shared" si="142"/>
        <v>6.125</v>
      </c>
      <c r="IE22" s="208">
        <f t="shared" si="143"/>
        <v>107.875</v>
      </c>
      <c r="IF22" s="205">
        <f t="shared" si="144"/>
        <v>3.4067604166666663</v>
      </c>
      <c r="IG22" s="206" t="str">
        <f t="shared" si="145"/>
        <v>(0.32)</v>
      </c>
      <c r="IH22" s="21">
        <v>2</v>
      </c>
      <c r="II22" s="21">
        <f t="shared" si="146"/>
        <v>3</v>
      </c>
      <c r="IJ22" s="21">
        <v>1</v>
      </c>
      <c r="IK22" s="21">
        <f t="shared" si="147"/>
        <v>1.125</v>
      </c>
      <c r="IL22" s="21">
        <v>2</v>
      </c>
      <c r="IM22" s="21">
        <f t="shared" si="148"/>
        <v>2</v>
      </c>
      <c r="IN22" s="21">
        <f t="shared" si="149"/>
        <v>6.125</v>
      </c>
      <c r="IO22" s="22">
        <f t="shared" si="150"/>
        <v>113.875</v>
      </c>
      <c r="IP22" s="23"/>
      <c r="IQ22" s="24">
        <v>1</v>
      </c>
      <c r="IR22" s="25">
        <v>2.5</v>
      </c>
      <c r="IS22" s="25">
        <v>2.8079999999999998</v>
      </c>
      <c r="IT22" s="25">
        <v>1.8080000000000001</v>
      </c>
      <c r="IU22" s="25">
        <v>1.5</v>
      </c>
      <c r="IV22" s="25">
        <v>1</v>
      </c>
      <c r="IW22" s="25">
        <v>1.125</v>
      </c>
      <c r="IX22" s="7"/>
    </row>
    <row r="23" spans="2:258" ht="15.75" thickBot="1" x14ac:dyDescent="0.3">
      <c r="B23" s="79">
        <f t="shared" si="9"/>
        <v>36</v>
      </c>
      <c r="C23" s="148">
        <v>7</v>
      </c>
      <c r="D23" s="487"/>
      <c r="E23" s="468">
        <f t="shared" si="0"/>
        <v>0.36299999999999999</v>
      </c>
      <c r="F23" s="468">
        <f t="shared" si="1"/>
        <v>0.40333333333333338</v>
      </c>
      <c r="G23" s="468">
        <f t="shared" si="2"/>
        <v>0.42349999999999999</v>
      </c>
      <c r="H23" s="468">
        <f t="shared" si="3"/>
        <v>0.43559999999999999</v>
      </c>
      <c r="I23" s="468">
        <f t="shared" si="4"/>
        <v>0.44366666666666665</v>
      </c>
      <c r="J23" s="468">
        <f t="shared" si="5"/>
        <v>0.4494285714285714</v>
      </c>
      <c r="K23" s="468">
        <f t="shared" si="6"/>
        <v>0.45374999999999993</v>
      </c>
      <c r="L23" s="468">
        <f t="shared" si="7"/>
        <v>0.44814814814814813</v>
      </c>
      <c r="M23" s="468">
        <f t="shared" si="8"/>
        <v>0.45173333333333332</v>
      </c>
      <c r="N23" s="488"/>
      <c r="O23" s="488"/>
      <c r="P23" s="488"/>
      <c r="Q23" s="488"/>
      <c r="R23" s="488"/>
      <c r="S23" s="488"/>
      <c r="T23" s="488"/>
      <c r="U23" s="488"/>
      <c r="V23" s="488"/>
      <c r="W23" s="488"/>
      <c r="X23" s="76"/>
      <c r="Y23" s="46"/>
      <c r="AA23" s="61"/>
      <c r="AT23" s="3"/>
      <c r="AU23" s="13">
        <f t="shared" ref="AU23:AU40" si="151">AU22+6</f>
        <v>18</v>
      </c>
      <c r="AV23" s="11" t="str">
        <f t="shared" si="10"/>
        <v>(450)</v>
      </c>
      <c r="AW23" s="18"/>
      <c r="AX23" s="19">
        <f t="shared" si="11"/>
        <v>0.33437500000000003</v>
      </c>
      <c r="AY23" s="20" t="str">
        <f t="shared" si="12"/>
        <v>(0.03)</v>
      </c>
      <c r="AZ23" s="21">
        <v>2</v>
      </c>
      <c r="BA23" s="21">
        <f t="shared" si="13"/>
        <v>3</v>
      </c>
      <c r="BB23" s="21">
        <v>0</v>
      </c>
      <c r="BC23" s="21">
        <f t="shared" si="14"/>
        <v>0</v>
      </c>
      <c r="BD23" s="21">
        <v>0</v>
      </c>
      <c r="BE23" s="21">
        <f t="shared" si="15"/>
        <v>0</v>
      </c>
      <c r="BF23" s="21">
        <f t="shared" si="16"/>
        <v>3</v>
      </c>
      <c r="BG23" s="22">
        <f t="shared" si="17"/>
        <v>6</v>
      </c>
      <c r="BH23" s="205">
        <f t="shared" si="18"/>
        <v>0.50156250000000002</v>
      </c>
      <c r="BI23" s="206" t="str">
        <f t="shared" si="19"/>
        <v>(0.05)</v>
      </c>
      <c r="BJ23" s="207">
        <v>2</v>
      </c>
      <c r="BK23" s="207">
        <f t="shared" si="20"/>
        <v>3</v>
      </c>
      <c r="BL23" s="207">
        <v>0</v>
      </c>
      <c r="BM23" s="207">
        <f t="shared" si="21"/>
        <v>0</v>
      </c>
      <c r="BN23" s="207">
        <v>0</v>
      </c>
      <c r="BO23" s="207">
        <f t="shared" si="22"/>
        <v>0</v>
      </c>
      <c r="BP23" s="207">
        <f t="shared" si="23"/>
        <v>3</v>
      </c>
      <c r="BQ23" s="208">
        <f t="shared" si="24"/>
        <v>9</v>
      </c>
      <c r="BR23" s="205">
        <f t="shared" si="25"/>
        <v>0.8359375</v>
      </c>
      <c r="BS23" s="206" t="str">
        <f t="shared" si="26"/>
        <v>(0.08)</v>
      </c>
      <c r="BT23" s="207">
        <v>2</v>
      </c>
      <c r="BU23" s="207">
        <f t="shared" si="27"/>
        <v>3</v>
      </c>
      <c r="BV23" s="207">
        <v>0</v>
      </c>
      <c r="BW23" s="207">
        <f t="shared" si="28"/>
        <v>0</v>
      </c>
      <c r="BX23" s="207">
        <v>0</v>
      </c>
      <c r="BY23" s="207">
        <f t="shared" si="29"/>
        <v>0</v>
      </c>
      <c r="BZ23" s="207">
        <f t="shared" si="30"/>
        <v>3</v>
      </c>
      <c r="CA23" s="208">
        <f t="shared" si="31"/>
        <v>15</v>
      </c>
      <c r="CB23" s="205">
        <f t="shared" si="32"/>
        <v>1.1703125000000001</v>
      </c>
      <c r="CC23" s="206" t="str">
        <f t="shared" si="33"/>
        <v>(0.11)</v>
      </c>
      <c r="CD23" s="207">
        <v>2</v>
      </c>
      <c r="CE23" s="207">
        <f t="shared" si="34"/>
        <v>3</v>
      </c>
      <c r="CF23" s="207">
        <v>0</v>
      </c>
      <c r="CG23" s="207">
        <f t="shared" si="35"/>
        <v>0</v>
      </c>
      <c r="CH23" s="207">
        <v>0</v>
      </c>
      <c r="CI23" s="207">
        <f t="shared" si="36"/>
        <v>0</v>
      </c>
      <c r="CJ23" s="207">
        <f t="shared" si="37"/>
        <v>3</v>
      </c>
      <c r="CK23" s="208">
        <f t="shared" si="38"/>
        <v>21</v>
      </c>
      <c r="CL23" s="205">
        <f t="shared" si="39"/>
        <v>1.5046875000000002</v>
      </c>
      <c r="CM23" s="206" t="str">
        <f t="shared" si="40"/>
        <v>(0.14)</v>
      </c>
      <c r="CN23" s="207">
        <v>2</v>
      </c>
      <c r="CO23" s="207">
        <f t="shared" si="41"/>
        <v>3</v>
      </c>
      <c r="CP23" s="207">
        <v>0</v>
      </c>
      <c r="CQ23" s="207">
        <f t="shared" si="42"/>
        <v>0</v>
      </c>
      <c r="CR23" s="207">
        <v>0</v>
      </c>
      <c r="CS23" s="207">
        <f t="shared" si="43"/>
        <v>0</v>
      </c>
      <c r="CT23" s="207">
        <f t="shared" si="44"/>
        <v>3</v>
      </c>
      <c r="CU23" s="208">
        <f t="shared" si="45"/>
        <v>27</v>
      </c>
      <c r="CV23" s="205">
        <f t="shared" si="46"/>
        <v>1.8390624999999998</v>
      </c>
      <c r="CW23" s="206" t="str">
        <f t="shared" si="47"/>
        <v>(0.17)</v>
      </c>
      <c r="CX23" s="207">
        <v>2</v>
      </c>
      <c r="CY23" s="207">
        <f t="shared" si="48"/>
        <v>3</v>
      </c>
      <c r="CZ23" s="207">
        <v>0</v>
      </c>
      <c r="DA23" s="207">
        <f t="shared" si="49"/>
        <v>0</v>
      </c>
      <c r="DB23" s="207">
        <v>0</v>
      </c>
      <c r="DC23" s="207">
        <f t="shared" si="50"/>
        <v>0</v>
      </c>
      <c r="DD23" s="207">
        <f t="shared" si="51"/>
        <v>3</v>
      </c>
      <c r="DE23" s="208">
        <f t="shared" si="52"/>
        <v>33</v>
      </c>
      <c r="DF23" s="205">
        <f t="shared" si="53"/>
        <v>2.1734375000000004</v>
      </c>
      <c r="DG23" s="206" t="str">
        <f t="shared" si="54"/>
        <v>(0.2)</v>
      </c>
      <c r="DH23" s="207">
        <v>2</v>
      </c>
      <c r="DI23" s="207">
        <f t="shared" si="55"/>
        <v>3</v>
      </c>
      <c r="DJ23" s="207">
        <v>0</v>
      </c>
      <c r="DK23" s="207">
        <f t="shared" si="56"/>
        <v>0</v>
      </c>
      <c r="DL23" s="207">
        <v>0</v>
      </c>
      <c r="DM23" s="207">
        <f t="shared" si="57"/>
        <v>0</v>
      </c>
      <c r="DN23" s="207">
        <f t="shared" si="58"/>
        <v>3</v>
      </c>
      <c r="DO23" s="208">
        <f t="shared" si="59"/>
        <v>39</v>
      </c>
      <c r="DP23" s="205">
        <f t="shared" si="60"/>
        <v>2.5078125</v>
      </c>
      <c r="DQ23" s="206" t="str">
        <f t="shared" si="61"/>
        <v>(0.23)</v>
      </c>
      <c r="DR23" s="207">
        <v>2</v>
      </c>
      <c r="DS23" s="207">
        <f t="shared" si="62"/>
        <v>3</v>
      </c>
      <c r="DT23" s="207">
        <v>0</v>
      </c>
      <c r="DU23" s="207">
        <f t="shared" si="63"/>
        <v>0</v>
      </c>
      <c r="DV23" s="207">
        <v>0</v>
      </c>
      <c r="DW23" s="207">
        <f t="shared" si="64"/>
        <v>0</v>
      </c>
      <c r="DX23" s="207">
        <f t="shared" si="65"/>
        <v>3</v>
      </c>
      <c r="DY23" s="208">
        <f t="shared" si="66"/>
        <v>45</v>
      </c>
      <c r="DZ23" s="205">
        <f t="shared" si="67"/>
        <v>2.7864583333333335</v>
      </c>
      <c r="EA23" s="206" t="str">
        <f t="shared" si="68"/>
        <v>(0.26)</v>
      </c>
      <c r="EB23" s="207">
        <v>2</v>
      </c>
      <c r="EC23" s="207">
        <f t="shared" si="69"/>
        <v>3</v>
      </c>
      <c r="ED23" s="207">
        <v>0</v>
      </c>
      <c r="EE23" s="207">
        <f t="shared" si="70"/>
        <v>0</v>
      </c>
      <c r="EF23" s="207">
        <v>1</v>
      </c>
      <c r="EG23" s="207">
        <f t="shared" si="71"/>
        <v>1</v>
      </c>
      <c r="EH23" s="207">
        <f t="shared" si="72"/>
        <v>4</v>
      </c>
      <c r="EI23" s="208">
        <f t="shared" si="73"/>
        <v>50</v>
      </c>
      <c r="EJ23" s="205">
        <f t="shared" si="74"/>
        <v>3.1208333333333336</v>
      </c>
      <c r="EK23" s="206" t="str">
        <f t="shared" si="75"/>
        <v>(0.29)</v>
      </c>
      <c r="EL23" s="207">
        <v>2</v>
      </c>
      <c r="EM23" s="207">
        <f t="shared" si="76"/>
        <v>3</v>
      </c>
      <c r="EN23" s="207">
        <v>0</v>
      </c>
      <c r="EO23" s="207">
        <f t="shared" si="77"/>
        <v>0</v>
      </c>
      <c r="EP23" s="207">
        <v>1</v>
      </c>
      <c r="EQ23" s="207">
        <f t="shared" si="78"/>
        <v>1</v>
      </c>
      <c r="ER23" s="207">
        <f t="shared" si="79"/>
        <v>4</v>
      </c>
      <c r="ES23" s="208">
        <f t="shared" si="80"/>
        <v>56</v>
      </c>
      <c r="ET23" s="205">
        <f t="shared" si="81"/>
        <v>3.4552083333333332</v>
      </c>
      <c r="EU23" s="206" t="str">
        <f t="shared" si="82"/>
        <v>(0.32)</v>
      </c>
      <c r="EV23" s="207">
        <v>2</v>
      </c>
      <c r="EW23" s="207">
        <f t="shared" si="83"/>
        <v>3</v>
      </c>
      <c r="EX23" s="207">
        <v>0</v>
      </c>
      <c r="EY23" s="207">
        <f t="shared" si="84"/>
        <v>0</v>
      </c>
      <c r="EZ23" s="207">
        <v>1</v>
      </c>
      <c r="FA23" s="207">
        <f t="shared" si="85"/>
        <v>1</v>
      </c>
      <c r="FB23" s="207">
        <f t="shared" si="86"/>
        <v>4</v>
      </c>
      <c r="FC23" s="208">
        <f t="shared" si="87"/>
        <v>62</v>
      </c>
      <c r="FD23" s="205">
        <f t="shared" si="88"/>
        <v>3.8453125000000004</v>
      </c>
      <c r="FE23" s="206" t="str">
        <f t="shared" si="89"/>
        <v>(0.36)</v>
      </c>
      <c r="FF23" s="207">
        <v>2</v>
      </c>
      <c r="FG23" s="207">
        <f t="shared" si="90"/>
        <v>3</v>
      </c>
      <c r="FH23" s="469">
        <v>0</v>
      </c>
      <c r="FI23" s="207">
        <f t="shared" si="91"/>
        <v>0</v>
      </c>
      <c r="FJ23" s="207">
        <v>0</v>
      </c>
      <c r="FK23" s="207">
        <f t="shared" si="92"/>
        <v>0</v>
      </c>
      <c r="FL23" s="207">
        <f t="shared" si="93"/>
        <v>3</v>
      </c>
      <c r="FM23" s="208">
        <f t="shared" si="94"/>
        <v>69</v>
      </c>
      <c r="FN23" s="205">
        <f t="shared" si="95"/>
        <v>4.1169921875000002</v>
      </c>
      <c r="FO23" s="206" t="str">
        <f t="shared" si="96"/>
        <v>(0.38)</v>
      </c>
      <c r="FP23" s="207">
        <v>2</v>
      </c>
      <c r="FQ23" s="207">
        <f t="shared" si="97"/>
        <v>3</v>
      </c>
      <c r="FR23" s="207">
        <v>1</v>
      </c>
      <c r="FS23" s="207">
        <f t="shared" si="98"/>
        <v>1.125</v>
      </c>
      <c r="FT23" s="207">
        <v>0</v>
      </c>
      <c r="FU23" s="207">
        <f t="shared" si="99"/>
        <v>0</v>
      </c>
      <c r="FV23" s="207">
        <f t="shared" si="100"/>
        <v>4.125</v>
      </c>
      <c r="FW23" s="208">
        <f t="shared" si="101"/>
        <v>73.875</v>
      </c>
      <c r="FX23" s="205">
        <f t="shared" si="102"/>
        <v>4.4513671875000007</v>
      </c>
      <c r="FY23" s="206" t="str">
        <f t="shared" si="103"/>
        <v>(0.41)</v>
      </c>
      <c r="FZ23" s="207">
        <v>2</v>
      </c>
      <c r="GA23" s="207">
        <f t="shared" si="104"/>
        <v>3</v>
      </c>
      <c r="GB23" s="207">
        <v>1</v>
      </c>
      <c r="GC23" s="207">
        <f t="shared" si="105"/>
        <v>1.125</v>
      </c>
      <c r="GD23" s="207">
        <v>0</v>
      </c>
      <c r="GE23" s="207">
        <f t="shared" si="106"/>
        <v>0</v>
      </c>
      <c r="GF23" s="207">
        <f t="shared" si="107"/>
        <v>4.125</v>
      </c>
      <c r="GG23" s="208">
        <f t="shared" si="108"/>
        <v>79.875</v>
      </c>
      <c r="GH23" s="205">
        <f t="shared" si="109"/>
        <v>4.7857421875000004</v>
      </c>
      <c r="GI23" s="206" t="str">
        <f t="shared" si="110"/>
        <v>(0.44)</v>
      </c>
      <c r="GJ23" s="207">
        <v>2</v>
      </c>
      <c r="GK23" s="207">
        <f t="shared" si="111"/>
        <v>3</v>
      </c>
      <c r="GL23" s="207">
        <v>1</v>
      </c>
      <c r="GM23" s="207">
        <f t="shared" si="112"/>
        <v>1.125</v>
      </c>
      <c r="GN23" s="207">
        <v>0</v>
      </c>
      <c r="GO23" s="207">
        <f t="shared" si="113"/>
        <v>0</v>
      </c>
      <c r="GP23" s="207">
        <f t="shared" si="114"/>
        <v>4.125</v>
      </c>
      <c r="GQ23" s="208">
        <f t="shared" si="115"/>
        <v>85.875</v>
      </c>
      <c r="GR23" s="205">
        <f t="shared" si="116"/>
        <v>5.1201171875</v>
      </c>
      <c r="GS23" s="206" t="str">
        <f t="shared" si="117"/>
        <v>(0.48)</v>
      </c>
      <c r="GT23" s="207">
        <v>2</v>
      </c>
      <c r="GU23" s="207">
        <f t="shared" si="118"/>
        <v>3</v>
      </c>
      <c r="GV23" s="207">
        <v>1</v>
      </c>
      <c r="GW23" s="207">
        <f t="shared" si="119"/>
        <v>1.125</v>
      </c>
      <c r="GX23" s="207">
        <v>0</v>
      </c>
      <c r="GY23" s="207">
        <f t="shared" si="120"/>
        <v>0</v>
      </c>
      <c r="GZ23" s="207">
        <f t="shared" si="121"/>
        <v>4.125</v>
      </c>
      <c r="HA23" s="208">
        <f t="shared" si="122"/>
        <v>91.875</v>
      </c>
      <c r="HB23" s="205">
        <f t="shared" si="123"/>
        <v>5.4544921875000005</v>
      </c>
      <c r="HC23" s="206" t="str">
        <f t="shared" si="124"/>
        <v>(0.51)</v>
      </c>
      <c r="HD23" s="207">
        <v>2</v>
      </c>
      <c r="HE23" s="207">
        <f t="shared" si="125"/>
        <v>3</v>
      </c>
      <c r="HF23" s="207">
        <v>1</v>
      </c>
      <c r="HG23" s="207">
        <f t="shared" si="126"/>
        <v>1.125</v>
      </c>
      <c r="HH23" s="207">
        <v>0</v>
      </c>
      <c r="HI23" s="207">
        <f t="shared" si="127"/>
        <v>0</v>
      </c>
      <c r="HJ23" s="207">
        <f t="shared" si="128"/>
        <v>4.125</v>
      </c>
      <c r="HK23" s="208">
        <f t="shared" si="129"/>
        <v>97.875</v>
      </c>
      <c r="HL23" s="205">
        <f t="shared" si="130"/>
        <v>5.677408854166667</v>
      </c>
      <c r="HM23" s="206" t="str">
        <f t="shared" si="131"/>
        <v>(0.53)</v>
      </c>
      <c r="HN23" s="207">
        <v>2</v>
      </c>
      <c r="HO23" s="207">
        <f t="shared" si="132"/>
        <v>3</v>
      </c>
      <c r="HP23" s="207">
        <v>1</v>
      </c>
      <c r="HQ23" s="207">
        <f t="shared" si="133"/>
        <v>1.125</v>
      </c>
      <c r="HR23" s="207">
        <v>2</v>
      </c>
      <c r="HS23" s="207">
        <f t="shared" si="134"/>
        <v>2</v>
      </c>
      <c r="HT23" s="207">
        <f t="shared" si="135"/>
        <v>6.125</v>
      </c>
      <c r="HU23" s="208">
        <f t="shared" si="136"/>
        <v>101.875</v>
      </c>
      <c r="HV23" s="205">
        <f t="shared" si="137"/>
        <v>6.0117838541666675</v>
      </c>
      <c r="HW23" s="206" t="str">
        <f t="shared" si="138"/>
        <v>(0.56)</v>
      </c>
      <c r="HX23" s="207">
        <v>2</v>
      </c>
      <c r="HY23" s="207">
        <f t="shared" si="139"/>
        <v>3</v>
      </c>
      <c r="HZ23" s="207">
        <v>1</v>
      </c>
      <c r="IA23" s="207">
        <f t="shared" si="140"/>
        <v>1.125</v>
      </c>
      <c r="IB23" s="207">
        <v>2</v>
      </c>
      <c r="IC23" s="207">
        <f t="shared" si="141"/>
        <v>2</v>
      </c>
      <c r="ID23" s="207">
        <f t="shared" si="142"/>
        <v>6.125</v>
      </c>
      <c r="IE23" s="208">
        <f t="shared" si="143"/>
        <v>107.875</v>
      </c>
      <c r="IF23" s="205">
        <f t="shared" si="144"/>
        <v>6.3461588541666671</v>
      </c>
      <c r="IG23" s="206" t="str">
        <f t="shared" si="145"/>
        <v>(0.59)</v>
      </c>
      <c r="IH23" s="21">
        <v>2</v>
      </c>
      <c r="II23" s="21">
        <f t="shared" si="146"/>
        <v>3</v>
      </c>
      <c r="IJ23" s="21">
        <v>1</v>
      </c>
      <c r="IK23" s="21">
        <f t="shared" si="147"/>
        <v>1.125</v>
      </c>
      <c r="IL23" s="21">
        <v>2</v>
      </c>
      <c r="IM23" s="21">
        <f t="shared" si="148"/>
        <v>2</v>
      </c>
      <c r="IN23" s="21">
        <f t="shared" si="149"/>
        <v>6.125</v>
      </c>
      <c r="IO23" s="22">
        <f t="shared" si="150"/>
        <v>113.875</v>
      </c>
      <c r="IP23" s="23"/>
      <c r="IQ23" s="24">
        <v>2</v>
      </c>
      <c r="IR23" s="25">
        <v>2.5</v>
      </c>
      <c r="IS23" s="25">
        <v>2.8079999999999998</v>
      </c>
      <c r="IT23" s="25">
        <v>2.7170000000000001</v>
      </c>
      <c r="IU23" s="25">
        <v>1.5</v>
      </c>
      <c r="IV23" s="25">
        <v>1</v>
      </c>
      <c r="IW23" s="25">
        <v>1.125</v>
      </c>
      <c r="IX23" s="7"/>
    </row>
    <row r="24" spans="2:258" ht="15.75" thickBot="1" x14ac:dyDescent="0.3">
      <c r="B24" s="79">
        <f t="shared" si="9"/>
        <v>42</v>
      </c>
      <c r="C24" s="147">
        <v>8</v>
      </c>
      <c r="D24" s="487"/>
      <c r="E24" s="468">
        <f t="shared" si="0"/>
        <v>0.37778571428571428</v>
      </c>
      <c r="F24" s="468">
        <f t="shared" si="1"/>
        <v>0.41976190476190473</v>
      </c>
      <c r="G24" s="468">
        <f t="shared" si="2"/>
        <v>0.44074999999999998</v>
      </c>
      <c r="H24" s="468">
        <f t="shared" si="3"/>
        <v>0.4533428571428571</v>
      </c>
      <c r="I24" s="468">
        <f t="shared" si="4"/>
        <v>0.46173809523809517</v>
      </c>
      <c r="J24" s="468">
        <f t="shared" si="5"/>
        <v>0.46773469387755096</v>
      </c>
      <c r="K24" s="468">
        <f t="shared" si="6"/>
        <v>0.47223214285714288</v>
      </c>
      <c r="L24" s="468">
        <f t="shared" si="7"/>
        <v>0.46640211640211637</v>
      </c>
      <c r="M24" s="468">
        <f t="shared" si="8"/>
        <v>0.47013333333333329</v>
      </c>
      <c r="N24" s="488"/>
      <c r="O24" s="488"/>
      <c r="P24" s="488"/>
      <c r="Q24" s="488"/>
      <c r="R24" s="488"/>
      <c r="S24" s="488"/>
      <c r="T24" s="488"/>
      <c r="U24" s="488"/>
      <c r="V24" s="488"/>
      <c r="W24" s="488"/>
      <c r="X24" s="76"/>
      <c r="Y24" s="46"/>
      <c r="AA24" s="61"/>
      <c r="AT24" s="3"/>
      <c r="AU24" s="13">
        <f t="shared" si="151"/>
        <v>24</v>
      </c>
      <c r="AV24" s="11" t="str">
        <f t="shared" si="10"/>
        <v>(600)</v>
      </c>
      <c r="AW24" s="18"/>
      <c r="AX24" s="19">
        <f t="shared" si="11"/>
        <v>0.43958333333333338</v>
      </c>
      <c r="AY24" s="20" t="str">
        <f t="shared" si="12"/>
        <v>(0.04)</v>
      </c>
      <c r="AZ24" s="21">
        <v>2</v>
      </c>
      <c r="BA24" s="21">
        <f t="shared" si="13"/>
        <v>3</v>
      </c>
      <c r="BB24" s="21">
        <v>0</v>
      </c>
      <c r="BC24" s="21">
        <f t="shared" si="14"/>
        <v>0</v>
      </c>
      <c r="BD24" s="21">
        <v>0</v>
      </c>
      <c r="BE24" s="21">
        <f t="shared" si="15"/>
        <v>0</v>
      </c>
      <c r="BF24" s="21">
        <f t="shared" si="16"/>
        <v>3</v>
      </c>
      <c r="BG24" s="22">
        <f t="shared" si="17"/>
        <v>6</v>
      </c>
      <c r="BH24" s="205">
        <f>($IR24+(($IQ24-1)*$IS24)+$IT24)*BQ24/144</f>
        <v>0.65937500000000004</v>
      </c>
      <c r="BI24" s="206" t="str">
        <f t="shared" si="19"/>
        <v>(0.06)</v>
      </c>
      <c r="BJ24" s="207">
        <v>2</v>
      </c>
      <c r="BK24" s="207">
        <f t="shared" si="20"/>
        <v>3</v>
      </c>
      <c r="BL24" s="207">
        <v>0</v>
      </c>
      <c r="BM24" s="207">
        <f t="shared" si="21"/>
        <v>0</v>
      </c>
      <c r="BN24" s="207">
        <v>0</v>
      </c>
      <c r="BO24" s="207">
        <f t="shared" si="22"/>
        <v>0</v>
      </c>
      <c r="BP24" s="207">
        <f t="shared" si="23"/>
        <v>3</v>
      </c>
      <c r="BQ24" s="208">
        <f t="shared" si="24"/>
        <v>9</v>
      </c>
      <c r="BR24" s="205">
        <f t="shared" si="25"/>
        <v>1.0989583333333333</v>
      </c>
      <c r="BS24" s="206" t="str">
        <f t="shared" si="26"/>
        <v>(0.1)</v>
      </c>
      <c r="BT24" s="207">
        <v>2</v>
      </c>
      <c r="BU24" s="207">
        <f t="shared" si="27"/>
        <v>3</v>
      </c>
      <c r="BV24" s="207">
        <v>0</v>
      </c>
      <c r="BW24" s="207">
        <f t="shared" si="28"/>
        <v>0</v>
      </c>
      <c r="BX24" s="207">
        <v>0</v>
      </c>
      <c r="BY24" s="207">
        <f t="shared" si="29"/>
        <v>0</v>
      </c>
      <c r="BZ24" s="207">
        <f t="shared" si="30"/>
        <v>3</v>
      </c>
      <c r="CA24" s="208">
        <f t="shared" si="31"/>
        <v>15</v>
      </c>
      <c r="CB24" s="205">
        <f t="shared" si="32"/>
        <v>1.5385416666666667</v>
      </c>
      <c r="CC24" s="206" t="str">
        <f t="shared" si="33"/>
        <v>(0.14)</v>
      </c>
      <c r="CD24" s="207">
        <v>2</v>
      </c>
      <c r="CE24" s="207">
        <f t="shared" si="34"/>
        <v>3</v>
      </c>
      <c r="CF24" s="207">
        <v>0</v>
      </c>
      <c r="CG24" s="207">
        <f t="shared" si="35"/>
        <v>0</v>
      </c>
      <c r="CH24" s="207">
        <v>0</v>
      </c>
      <c r="CI24" s="207">
        <f t="shared" si="36"/>
        <v>0</v>
      </c>
      <c r="CJ24" s="207">
        <f t="shared" si="37"/>
        <v>3</v>
      </c>
      <c r="CK24" s="208">
        <f t="shared" si="38"/>
        <v>21</v>
      </c>
      <c r="CL24" s="205">
        <f t="shared" si="39"/>
        <v>1.9781250000000001</v>
      </c>
      <c r="CM24" s="206" t="str">
        <f t="shared" si="40"/>
        <v>(0.18)</v>
      </c>
      <c r="CN24" s="207">
        <v>2</v>
      </c>
      <c r="CO24" s="207">
        <f t="shared" si="41"/>
        <v>3</v>
      </c>
      <c r="CP24" s="207">
        <v>0</v>
      </c>
      <c r="CQ24" s="207">
        <f t="shared" si="42"/>
        <v>0</v>
      </c>
      <c r="CR24" s="207">
        <v>0</v>
      </c>
      <c r="CS24" s="207">
        <f t="shared" si="43"/>
        <v>0</v>
      </c>
      <c r="CT24" s="207">
        <f t="shared" si="44"/>
        <v>3</v>
      </c>
      <c r="CU24" s="208">
        <f t="shared" si="45"/>
        <v>27</v>
      </c>
      <c r="CV24" s="205">
        <f t="shared" si="46"/>
        <v>2.4177083333333336</v>
      </c>
      <c r="CW24" s="206" t="str">
        <f t="shared" si="47"/>
        <v>(0.22)</v>
      </c>
      <c r="CX24" s="207">
        <v>2</v>
      </c>
      <c r="CY24" s="207">
        <f t="shared" si="48"/>
        <v>3</v>
      </c>
      <c r="CZ24" s="207">
        <v>0</v>
      </c>
      <c r="DA24" s="207">
        <f t="shared" si="49"/>
        <v>0</v>
      </c>
      <c r="DB24" s="207">
        <v>0</v>
      </c>
      <c r="DC24" s="207">
        <f t="shared" si="50"/>
        <v>0</v>
      </c>
      <c r="DD24" s="207">
        <f t="shared" si="51"/>
        <v>3</v>
      </c>
      <c r="DE24" s="208">
        <f t="shared" si="52"/>
        <v>33</v>
      </c>
      <c r="DF24" s="205">
        <f t="shared" si="53"/>
        <v>2.8572916666666668</v>
      </c>
      <c r="DG24" s="206" t="str">
        <f t="shared" si="54"/>
        <v>(0.27)</v>
      </c>
      <c r="DH24" s="207">
        <v>2</v>
      </c>
      <c r="DI24" s="207">
        <f t="shared" si="55"/>
        <v>3</v>
      </c>
      <c r="DJ24" s="207">
        <v>0</v>
      </c>
      <c r="DK24" s="207">
        <f t="shared" si="56"/>
        <v>0</v>
      </c>
      <c r="DL24" s="207">
        <v>0</v>
      </c>
      <c r="DM24" s="207">
        <f t="shared" si="57"/>
        <v>0</v>
      </c>
      <c r="DN24" s="207">
        <f t="shared" si="58"/>
        <v>3</v>
      </c>
      <c r="DO24" s="208">
        <f t="shared" si="59"/>
        <v>39</v>
      </c>
      <c r="DP24" s="205">
        <f t="shared" si="60"/>
        <v>3.2968750000000004</v>
      </c>
      <c r="DQ24" s="206" t="str">
        <f t="shared" si="61"/>
        <v>(0.31)</v>
      </c>
      <c r="DR24" s="207">
        <v>2</v>
      </c>
      <c r="DS24" s="207">
        <f t="shared" si="62"/>
        <v>3</v>
      </c>
      <c r="DT24" s="207">
        <v>0</v>
      </c>
      <c r="DU24" s="207">
        <f t="shared" si="63"/>
        <v>0</v>
      </c>
      <c r="DV24" s="207">
        <v>0</v>
      </c>
      <c r="DW24" s="207">
        <f t="shared" si="64"/>
        <v>0</v>
      </c>
      <c r="DX24" s="207">
        <f t="shared" si="65"/>
        <v>3</v>
      </c>
      <c r="DY24" s="208">
        <f t="shared" si="66"/>
        <v>45</v>
      </c>
      <c r="DZ24" s="205">
        <f t="shared" si="67"/>
        <v>3.6631944444444446</v>
      </c>
      <c r="EA24" s="206" t="str">
        <f t="shared" si="68"/>
        <v>(0.34)</v>
      </c>
      <c r="EB24" s="207">
        <v>2</v>
      </c>
      <c r="EC24" s="207">
        <f t="shared" si="69"/>
        <v>3</v>
      </c>
      <c r="ED24" s="207">
        <v>0</v>
      </c>
      <c r="EE24" s="207">
        <f t="shared" si="70"/>
        <v>0</v>
      </c>
      <c r="EF24" s="207">
        <v>1</v>
      </c>
      <c r="EG24" s="207">
        <f t="shared" si="71"/>
        <v>1</v>
      </c>
      <c r="EH24" s="207">
        <f t="shared" si="72"/>
        <v>4</v>
      </c>
      <c r="EI24" s="208">
        <f t="shared" si="73"/>
        <v>50</v>
      </c>
      <c r="EJ24" s="205">
        <f t="shared" si="74"/>
        <v>4.1027777777777779</v>
      </c>
      <c r="EK24" s="206" t="str">
        <f t="shared" si="75"/>
        <v>(0.38)</v>
      </c>
      <c r="EL24" s="207">
        <v>2</v>
      </c>
      <c r="EM24" s="207">
        <f t="shared" si="76"/>
        <v>3</v>
      </c>
      <c r="EN24" s="207">
        <v>0</v>
      </c>
      <c r="EO24" s="207">
        <f t="shared" si="77"/>
        <v>0</v>
      </c>
      <c r="EP24" s="207">
        <v>1</v>
      </c>
      <c r="EQ24" s="207">
        <f t="shared" si="78"/>
        <v>1</v>
      </c>
      <c r="ER24" s="207">
        <f t="shared" si="79"/>
        <v>4</v>
      </c>
      <c r="ES24" s="208">
        <f t="shared" si="80"/>
        <v>56</v>
      </c>
      <c r="ET24" s="205">
        <f t="shared" si="81"/>
        <v>4.5423611111111111</v>
      </c>
      <c r="EU24" s="206" t="str">
        <f t="shared" si="82"/>
        <v>(0.42)</v>
      </c>
      <c r="EV24" s="207">
        <v>2</v>
      </c>
      <c r="EW24" s="207">
        <f t="shared" si="83"/>
        <v>3</v>
      </c>
      <c r="EX24" s="207">
        <v>0</v>
      </c>
      <c r="EY24" s="207">
        <f t="shared" si="84"/>
        <v>0</v>
      </c>
      <c r="EZ24" s="207">
        <v>1</v>
      </c>
      <c r="FA24" s="207">
        <f t="shared" si="85"/>
        <v>1</v>
      </c>
      <c r="FB24" s="207">
        <f t="shared" si="86"/>
        <v>4</v>
      </c>
      <c r="FC24" s="208">
        <f t="shared" si="87"/>
        <v>62</v>
      </c>
      <c r="FD24" s="205">
        <f t="shared" si="88"/>
        <v>5.0552083333333337</v>
      </c>
      <c r="FE24" s="206" t="str">
        <f t="shared" si="89"/>
        <v>(0.47)</v>
      </c>
      <c r="FF24" s="207">
        <v>2</v>
      </c>
      <c r="FG24" s="207">
        <f t="shared" si="90"/>
        <v>3</v>
      </c>
      <c r="FH24" s="469">
        <v>0</v>
      </c>
      <c r="FI24" s="207">
        <f t="shared" si="91"/>
        <v>0</v>
      </c>
      <c r="FJ24" s="207">
        <v>0</v>
      </c>
      <c r="FK24" s="207">
        <f t="shared" si="92"/>
        <v>0</v>
      </c>
      <c r="FL24" s="207">
        <f t="shared" si="93"/>
        <v>3</v>
      </c>
      <c r="FM24" s="208">
        <f t="shared" si="94"/>
        <v>69</v>
      </c>
      <c r="FN24" s="205">
        <f t="shared" si="95"/>
        <v>5.4123697916666664</v>
      </c>
      <c r="FO24" s="206" t="str">
        <f t="shared" si="96"/>
        <v>(0.50)</v>
      </c>
      <c r="FP24" s="207">
        <v>2</v>
      </c>
      <c r="FQ24" s="207">
        <f t="shared" si="97"/>
        <v>3</v>
      </c>
      <c r="FR24" s="207">
        <v>1</v>
      </c>
      <c r="FS24" s="207">
        <f t="shared" si="98"/>
        <v>1.125</v>
      </c>
      <c r="FT24" s="207">
        <v>0</v>
      </c>
      <c r="FU24" s="207">
        <f t="shared" si="99"/>
        <v>0</v>
      </c>
      <c r="FV24" s="207">
        <f t="shared" si="100"/>
        <v>4.125</v>
      </c>
      <c r="FW24" s="208">
        <f t="shared" si="101"/>
        <v>73.875</v>
      </c>
      <c r="FX24" s="205">
        <f t="shared" si="102"/>
        <v>5.8519531250000005</v>
      </c>
      <c r="FY24" s="206" t="str">
        <f t="shared" si="103"/>
        <v>(0.54)</v>
      </c>
      <c r="FZ24" s="207">
        <v>2</v>
      </c>
      <c r="GA24" s="207">
        <f t="shared" si="104"/>
        <v>3</v>
      </c>
      <c r="GB24" s="207">
        <v>1</v>
      </c>
      <c r="GC24" s="207">
        <f t="shared" si="105"/>
        <v>1.125</v>
      </c>
      <c r="GD24" s="207">
        <v>0</v>
      </c>
      <c r="GE24" s="207">
        <f t="shared" si="106"/>
        <v>0</v>
      </c>
      <c r="GF24" s="207">
        <f t="shared" si="107"/>
        <v>4.125</v>
      </c>
      <c r="GG24" s="208">
        <f t="shared" si="108"/>
        <v>79.875</v>
      </c>
      <c r="GH24" s="205">
        <f t="shared" si="109"/>
        <v>6.2915364583333337</v>
      </c>
      <c r="GI24" s="206" t="str">
        <f t="shared" si="110"/>
        <v>(0.58)</v>
      </c>
      <c r="GJ24" s="207">
        <v>2</v>
      </c>
      <c r="GK24" s="207">
        <f t="shared" si="111"/>
        <v>3</v>
      </c>
      <c r="GL24" s="207">
        <v>1</v>
      </c>
      <c r="GM24" s="207">
        <f t="shared" si="112"/>
        <v>1.125</v>
      </c>
      <c r="GN24" s="207">
        <v>0</v>
      </c>
      <c r="GO24" s="207">
        <f t="shared" si="113"/>
        <v>0</v>
      </c>
      <c r="GP24" s="207">
        <f t="shared" si="114"/>
        <v>4.125</v>
      </c>
      <c r="GQ24" s="208">
        <f t="shared" si="115"/>
        <v>85.875</v>
      </c>
      <c r="GR24" s="205">
        <f t="shared" si="116"/>
        <v>6.7311197916666679</v>
      </c>
      <c r="GS24" s="206" t="str">
        <f t="shared" si="117"/>
        <v>(0.63)</v>
      </c>
      <c r="GT24" s="207">
        <v>2</v>
      </c>
      <c r="GU24" s="207">
        <f t="shared" si="118"/>
        <v>3</v>
      </c>
      <c r="GV24" s="207">
        <v>1</v>
      </c>
      <c r="GW24" s="207">
        <f t="shared" si="119"/>
        <v>1.125</v>
      </c>
      <c r="GX24" s="207">
        <v>0</v>
      </c>
      <c r="GY24" s="207">
        <f t="shared" si="120"/>
        <v>0</v>
      </c>
      <c r="GZ24" s="207">
        <f t="shared" si="121"/>
        <v>4.125</v>
      </c>
      <c r="HA24" s="208">
        <f t="shared" si="122"/>
        <v>91.875</v>
      </c>
      <c r="HB24" s="205">
        <f t="shared" si="123"/>
        <v>7.1707031250000011</v>
      </c>
      <c r="HC24" s="206" t="str">
        <f t="shared" si="124"/>
        <v>(0.67)</v>
      </c>
      <c r="HD24" s="207">
        <v>2</v>
      </c>
      <c r="HE24" s="207">
        <f t="shared" si="125"/>
        <v>3</v>
      </c>
      <c r="HF24" s="207">
        <v>1</v>
      </c>
      <c r="HG24" s="207">
        <f t="shared" si="126"/>
        <v>1.125</v>
      </c>
      <c r="HH24" s="207">
        <v>0</v>
      </c>
      <c r="HI24" s="207">
        <f t="shared" si="127"/>
        <v>0</v>
      </c>
      <c r="HJ24" s="207">
        <f t="shared" si="128"/>
        <v>4.125</v>
      </c>
      <c r="HK24" s="208">
        <f t="shared" si="129"/>
        <v>97.875</v>
      </c>
      <c r="HL24" s="205">
        <f t="shared" si="130"/>
        <v>7.4637586805555554</v>
      </c>
      <c r="HM24" s="206" t="str">
        <f t="shared" si="131"/>
        <v>(0.69)</v>
      </c>
      <c r="HN24" s="207">
        <v>2</v>
      </c>
      <c r="HO24" s="207">
        <f t="shared" si="132"/>
        <v>3</v>
      </c>
      <c r="HP24" s="207">
        <v>1</v>
      </c>
      <c r="HQ24" s="207">
        <f t="shared" si="133"/>
        <v>1.125</v>
      </c>
      <c r="HR24" s="207">
        <v>2</v>
      </c>
      <c r="HS24" s="207">
        <f t="shared" si="134"/>
        <v>2</v>
      </c>
      <c r="HT24" s="207">
        <f t="shared" si="135"/>
        <v>6.125</v>
      </c>
      <c r="HU24" s="208">
        <f t="shared" si="136"/>
        <v>101.875</v>
      </c>
      <c r="HV24" s="205">
        <f t="shared" si="137"/>
        <v>7.9033420138888903</v>
      </c>
      <c r="HW24" s="206" t="str">
        <f t="shared" si="138"/>
        <v>(0.73)</v>
      </c>
      <c r="HX24" s="207">
        <v>2</v>
      </c>
      <c r="HY24" s="207">
        <f t="shared" si="139"/>
        <v>3</v>
      </c>
      <c r="HZ24" s="207">
        <v>1</v>
      </c>
      <c r="IA24" s="207">
        <f t="shared" si="140"/>
        <v>1.125</v>
      </c>
      <c r="IB24" s="207">
        <v>2</v>
      </c>
      <c r="IC24" s="207">
        <f t="shared" si="141"/>
        <v>2</v>
      </c>
      <c r="ID24" s="207">
        <f t="shared" si="142"/>
        <v>6.125</v>
      </c>
      <c r="IE24" s="208">
        <f t="shared" si="143"/>
        <v>107.875</v>
      </c>
      <c r="IF24" s="205">
        <f t="shared" si="144"/>
        <v>8.3429253472222236</v>
      </c>
      <c r="IG24" s="206" t="str">
        <f t="shared" si="145"/>
        <v>(0.78)</v>
      </c>
      <c r="IH24" s="21">
        <v>2</v>
      </c>
      <c r="II24" s="21">
        <f t="shared" si="146"/>
        <v>3</v>
      </c>
      <c r="IJ24" s="21">
        <v>1</v>
      </c>
      <c r="IK24" s="21">
        <f t="shared" si="147"/>
        <v>1.125</v>
      </c>
      <c r="IL24" s="21">
        <v>2</v>
      </c>
      <c r="IM24" s="21">
        <f t="shared" si="148"/>
        <v>2</v>
      </c>
      <c r="IN24" s="21">
        <f t="shared" si="149"/>
        <v>6.125</v>
      </c>
      <c r="IO24" s="22">
        <f t="shared" si="150"/>
        <v>113.875</v>
      </c>
      <c r="IP24" s="23"/>
      <c r="IQ24" s="24">
        <v>3</v>
      </c>
      <c r="IR24" s="25">
        <v>2.5</v>
      </c>
      <c r="IS24" s="25">
        <v>2.8079999999999998</v>
      </c>
      <c r="IT24" s="25">
        <v>2.4340000000000002</v>
      </c>
      <c r="IU24" s="25">
        <v>1.5</v>
      </c>
      <c r="IV24" s="25">
        <v>1</v>
      </c>
      <c r="IW24" s="25">
        <v>1.125</v>
      </c>
      <c r="IX24" s="7"/>
    </row>
    <row r="25" spans="2:258" ht="15.75" thickBot="1" x14ac:dyDescent="0.3">
      <c r="B25" s="80">
        <f t="shared" si="9"/>
        <v>48</v>
      </c>
      <c r="C25" s="148">
        <v>9</v>
      </c>
      <c r="D25" s="487"/>
      <c r="E25" s="468">
        <f t="shared" si="0"/>
        <v>0.38864062499999996</v>
      </c>
      <c r="F25" s="468">
        <f t="shared" si="1"/>
        <v>0.43182291666666667</v>
      </c>
      <c r="G25" s="468">
        <f t="shared" si="2"/>
        <v>0.45341406249999999</v>
      </c>
      <c r="H25" s="468">
        <f>CL28/((H$16*$B25)/144)</f>
        <v>0.46636874999999989</v>
      </c>
      <c r="I25" s="468">
        <f t="shared" si="4"/>
        <v>0.47500520833333332</v>
      </c>
      <c r="J25" s="468">
        <f t="shared" si="5"/>
        <v>0.48117410714285708</v>
      </c>
      <c r="K25" s="468">
        <f t="shared" si="6"/>
        <v>0.48580078124999992</v>
      </c>
      <c r="L25" s="468">
        <f t="shared" si="7"/>
        <v>0.47980324074074066</v>
      </c>
      <c r="M25" s="468">
        <f t="shared" si="8"/>
        <v>0.48364166666666664</v>
      </c>
      <c r="N25" s="488"/>
      <c r="O25" s="488"/>
      <c r="P25" s="488"/>
      <c r="Q25" s="488"/>
      <c r="R25" s="488"/>
      <c r="S25" s="488"/>
      <c r="T25" s="488"/>
      <c r="U25" s="488"/>
      <c r="V25" s="488"/>
      <c r="W25" s="488"/>
      <c r="X25" s="76"/>
      <c r="Y25" s="46"/>
      <c r="AA25" s="61"/>
      <c r="AT25" s="3"/>
      <c r="AU25" s="26">
        <f t="shared" si="151"/>
        <v>30</v>
      </c>
      <c r="AV25" s="27" t="str">
        <f t="shared" si="10"/>
        <v>(750)</v>
      </c>
      <c r="AW25" s="18"/>
      <c r="AX25" s="19">
        <f t="shared" si="11"/>
        <v>0.5758333333333332</v>
      </c>
      <c r="AY25" s="28" t="str">
        <f t="shared" si="12"/>
        <v>(0.05)</v>
      </c>
      <c r="AZ25" s="21">
        <v>2</v>
      </c>
      <c r="BA25" s="21">
        <f t="shared" si="13"/>
        <v>3</v>
      </c>
      <c r="BB25" s="29">
        <v>0</v>
      </c>
      <c r="BC25" s="21">
        <f t="shared" si="14"/>
        <v>0</v>
      </c>
      <c r="BD25" s="29">
        <v>0</v>
      </c>
      <c r="BE25" s="21">
        <f t="shared" si="15"/>
        <v>0</v>
      </c>
      <c r="BF25" s="21">
        <f t="shared" si="16"/>
        <v>3</v>
      </c>
      <c r="BG25" s="22">
        <f t="shared" si="17"/>
        <v>6</v>
      </c>
      <c r="BH25" s="205">
        <f t="shared" si="18"/>
        <v>0.86374999999999991</v>
      </c>
      <c r="BI25" s="206" t="str">
        <f t="shared" si="19"/>
        <v>(0.08)</v>
      </c>
      <c r="BJ25" s="207">
        <v>2</v>
      </c>
      <c r="BK25" s="207">
        <f t="shared" si="20"/>
        <v>3</v>
      </c>
      <c r="BL25" s="207">
        <v>0</v>
      </c>
      <c r="BM25" s="207">
        <f t="shared" si="21"/>
        <v>0</v>
      </c>
      <c r="BN25" s="207">
        <v>0</v>
      </c>
      <c r="BO25" s="207">
        <f t="shared" si="22"/>
        <v>0</v>
      </c>
      <c r="BP25" s="207">
        <f t="shared" si="23"/>
        <v>3</v>
      </c>
      <c r="BQ25" s="208">
        <f t="shared" si="24"/>
        <v>9</v>
      </c>
      <c r="BR25" s="205">
        <f t="shared" si="25"/>
        <v>1.4395833333333332</v>
      </c>
      <c r="BS25" s="206" t="str">
        <f t="shared" si="26"/>
        <v>(0.13)</v>
      </c>
      <c r="BT25" s="207">
        <v>2</v>
      </c>
      <c r="BU25" s="207">
        <f t="shared" si="27"/>
        <v>3</v>
      </c>
      <c r="BV25" s="207">
        <v>0</v>
      </c>
      <c r="BW25" s="207">
        <f t="shared" si="28"/>
        <v>0</v>
      </c>
      <c r="BX25" s="207">
        <v>0</v>
      </c>
      <c r="BY25" s="207">
        <f t="shared" si="29"/>
        <v>0</v>
      </c>
      <c r="BZ25" s="207">
        <f t="shared" si="30"/>
        <v>3</v>
      </c>
      <c r="CA25" s="208">
        <f t="shared" si="31"/>
        <v>15</v>
      </c>
      <c r="CB25" s="205">
        <f t="shared" si="32"/>
        <v>2.0154166666666664</v>
      </c>
      <c r="CC25" s="206" t="str">
        <f t="shared" si="33"/>
        <v>(0.19)</v>
      </c>
      <c r="CD25" s="207">
        <v>2</v>
      </c>
      <c r="CE25" s="207">
        <f t="shared" si="34"/>
        <v>3</v>
      </c>
      <c r="CF25" s="207">
        <v>0</v>
      </c>
      <c r="CG25" s="207">
        <f t="shared" si="35"/>
        <v>0</v>
      </c>
      <c r="CH25" s="207">
        <v>0</v>
      </c>
      <c r="CI25" s="207">
        <f t="shared" si="36"/>
        <v>0</v>
      </c>
      <c r="CJ25" s="207">
        <f t="shared" si="37"/>
        <v>3</v>
      </c>
      <c r="CK25" s="208">
        <f t="shared" si="38"/>
        <v>21</v>
      </c>
      <c r="CL25" s="205">
        <f t="shared" si="39"/>
        <v>2.5912500000000001</v>
      </c>
      <c r="CM25" s="206" t="str">
        <f t="shared" si="40"/>
        <v>(0.24)</v>
      </c>
      <c r="CN25" s="207">
        <v>2</v>
      </c>
      <c r="CO25" s="207">
        <f t="shared" si="41"/>
        <v>3</v>
      </c>
      <c r="CP25" s="207">
        <v>0</v>
      </c>
      <c r="CQ25" s="207">
        <f t="shared" si="42"/>
        <v>0</v>
      </c>
      <c r="CR25" s="207">
        <v>0</v>
      </c>
      <c r="CS25" s="207">
        <f t="shared" si="43"/>
        <v>0</v>
      </c>
      <c r="CT25" s="207">
        <f t="shared" si="44"/>
        <v>3</v>
      </c>
      <c r="CU25" s="208">
        <f t="shared" si="45"/>
        <v>27</v>
      </c>
      <c r="CV25" s="205">
        <f t="shared" si="46"/>
        <v>3.1670833333333328</v>
      </c>
      <c r="CW25" s="206" t="str">
        <f t="shared" si="47"/>
        <v>(0.29)</v>
      </c>
      <c r="CX25" s="207">
        <v>2</v>
      </c>
      <c r="CY25" s="207">
        <f t="shared" si="48"/>
        <v>3</v>
      </c>
      <c r="CZ25" s="207">
        <v>0</v>
      </c>
      <c r="DA25" s="207">
        <f t="shared" si="49"/>
        <v>0</v>
      </c>
      <c r="DB25" s="207">
        <v>0</v>
      </c>
      <c r="DC25" s="207">
        <f t="shared" si="50"/>
        <v>0</v>
      </c>
      <c r="DD25" s="207">
        <f t="shared" si="51"/>
        <v>3</v>
      </c>
      <c r="DE25" s="208">
        <f t="shared" si="52"/>
        <v>33</v>
      </c>
      <c r="DF25" s="205">
        <f t="shared" si="53"/>
        <v>3.742916666666666</v>
      </c>
      <c r="DG25" s="206" t="str">
        <f t="shared" si="54"/>
        <v>(0.35)</v>
      </c>
      <c r="DH25" s="207">
        <v>2</v>
      </c>
      <c r="DI25" s="207">
        <f t="shared" si="55"/>
        <v>3</v>
      </c>
      <c r="DJ25" s="207">
        <v>0</v>
      </c>
      <c r="DK25" s="207">
        <f t="shared" si="56"/>
        <v>0</v>
      </c>
      <c r="DL25" s="207">
        <v>0</v>
      </c>
      <c r="DM25" s="207">
        <f t="shared" si="57"/>
        <v>0</v>
      </c>
      <c r="DN25" s="207">
        <f t="shared" si="58"/>
        <v>3</v>
      </c>
      <c r="DO25" s="208">
        <f t="shared" si="59"/>
        <v>39</v>
      </c>
      <c r="DP25" s="205">
        <f t="shared" si="60"/>
        <v>4.3187499999999996</v>
      </c>
      <c r="DQ25" s="206" t="str">
        <f t="shared" si="61"/>
        <v>(0.4)</v>
      </c>
      <c r="DR25" s="207">
        <v>2</v>
      </c>
      <c r="DS25" s="207">
        <f t="shared" si="62"/>
        <v>3</v>
      </c>
      <c r="DT25" s="207">
        <v>0</v>
      </c>
      <c r="DU25" s="207">
        <f t="shared" si="63"/>
        <v>0</v>
      </c>
      <c r="DV25" s="207">
        <v>0</v>
      </c>
      <c r="DW25" s="207">
        <f t="shared" si="64"/>
        <v>0</v>
      </c>
      <c r="DX25" s="207">
        <f t="shared" si="65"/>
        <v>3</v>
      </c>
      <c r="DY25" s="208">
        <f t="shared" si="66"/>
        <v>45</v>
      </c>
      <c r="DZ25" s="205">
        <f t="shared" si="67"/>
        <v>4.7986111111111107</v>
      </c>
      <c r="EA25" s="206" t="str">
        <f t="shared" si="68"/>
        <v>(0.45)</v>
      </c>
      <c r="EB25" s="207">
        <v>2</v>
      </c>
      <c r="EC25" s="207">
        <f t="shared" si="69"/>
        <v>3</v>
      </c>
      <c r="ED25" s="207">
        <v>0</v>
      </c>
      <c r="EE25" s="207">
        <f t="shared" si="70"/>
        <v>0</v>
      </c>
      <c r="EF25" s="207">
        <v>1</v>
      </c>
      <c r="EG25" s="207">
        <f t="shared" si="71"/>
        <v>1</v>
      </c>
      <c r="EH25" s="207">
        <f t="shared" si="72"/>
        <v>4</v>
      </c>
      <c r="EI25" s="208">
        <f t="shared" si="73"/>
        <v>50</v>
      </c>
      <c r="EJ25" s="205">
        <f t="shared" si="74"/>
        <v>5.3744444444444444</v>
      </c>
      <c r="EK25" s="206" t="str">
        <f t="shared" si="75"/>
        <v>(0.50)</v>
      </c>
      <c r="EL25" s="207">
        <v>2</v>
      </c>
      <c r="EM25" s="207">
        <f t="shared" si="76"/>
        <v>3</v>
      </c>
      <c r="EN25" s="207">
        <v>0</v>
      </c>
      <c r="EO25" s="207">
        <f t="shared" si="77"/>
        <v>0</v>
      </c>
      <c r="EP25" s="207">
        <v>1</v>
      </c>
      <c r="EQ25" s="207">
        <f t="shared" si="78"/>
        <v>1</v>
      </c>
      <c r="ER25" s="207">
        <f t="shared" si="79"/>
        <v>4</v>
      </c>
      <c r="ES25" s="208">
        <f t="shared" si="80"/>
        <v>56</v>
      </c>
      <c r="ET25" s="205">
        <f t="shared" si="81"/>
        <v>5.9502777777777771</v>
      </c>
      <c r="EU25" s="206" t="str">
        <f t="shared" si="82"/>
        <v>(0.55)</v>
      </c>
      <c r="EV25" s="207">
        <v>2</v>
      </c>
      <c r="EW25" s="207">
        <f t="shared" si="83"/>
        <v>3</v>
      </c>
      <c r="EX25" s="207">
        <v>0</v>
      </c>
      <c r="EY25" s="207">
        <f t="shared" si="84"/>
        <v>0</v>
      </c>
      <c r="EZ25" s="207">
        <v>1</v>
      </c>
      <c r="FA25" s="207">
        <f t="shared" si="85"/>
        <v>1</v>
      </c>
      <c r="FB25" s="207">
        <f t="shared" si="86"/>
        <v>4</v>
      </c>
      <c r="FC25" s="208">
        <f t="shared" si="87"/>
        <v>62</v>
      </c>
      <c r="FD25" s="205">
        <f t="shared" si="88"/>
        <v>6.6220833333333324</v>
      </c>
      <c r="FE25" s="206" t="str">
        <f t="shared" si="89"/>
        <v>(0.62)</v>
      </c>
      <c r="FF25" s="207">
        <v>2</v>
      </c>
      <c r="FG25" s="207">
        <f t="shared" si="90"/>
        <v>3</v>
      </c>
      <c r="FH25" s="469">
        <v>0</v>
      </c>
      <c r="FI25" s="207">
        <f t="shared" si="91"/>
        <v>0</v>
      </c>
      <c r="FJ25" s="207">
        <v>0</v>
      </c>
      <c r="FK25" s="207">
        <f t="shared" si="92"/>
        <v>0</v>
      </c>
      <c r="FL25" s="207">
        <f t="shared" si="93"/>
        <v>3</v>
      </c>
      <c r="FM25" s="208">
        <f t="shared" si="94"/>
        <v>69</v>
      </c>
      <c r="FN25" s="205">
        <f t="shared" si="95"/>
        <v>7.0899479166666657</v>
      </c>
      <c r="FO25" s="206" t="str">
        <f t="shared" si="96"/>
        <v>(0.66)</v>
      </c>
      <c r="FP25" s="207">
        <v>2</v>
      </c>
      <c r="FQ25" s="207">
        <f t="shared" si="97"/>
        <v>3</v>
      </c>
      <c r="FR25" s="207">
        <v>1</v>
      </c>
      <c r="FS25" s="207">
        <f t="shared" si="98"/>
        <v>1.125</v>
      </c>
      <c r="FT25" s="207">
        <v>0</v>
      </c>
      <c r="FU25" s="207">
        <f t="shared" si="99"/>
        <v>0</v>
      </c>
      <c r="FV25" s="207">
        <f t="shared" si="100"/>
        <v>4.125</v>
      </c>
      <c r="FW25" s="208">
        <f t="shared" si="101"/>
        <v>73.875</v>
      </c>
      <c r="FX25" s="205">
        <f t="shared" si="102"/>
        <v>7.6657812499999993</v>
      </c>
      <c r="FY25" s="206" t="str">
        <f t="shared" si="103"/>
        <v>(0.71)</v>
      </c>
      <c r="FZ25" s="207">
        <v>2</v>
      </c>
      <c r="GA25" s="207">
        <f t="shared" si="104"/>
        <v>3</v>
      </c>
      <c r="GB25" s="207">
        <v>1</v>
      </c>
      <c r="GC25" s="207">
        <f t="shared" si="105"/>
        <v>1.125</v>
      </c>
      <c r="GD25" s="207">
        <v>0</v>
      </c>
      <c r="GE25" s="207">
        <f t="shared" si="106"/>
        <v>0</v>
      </c>
      <c r="GF25" s="207">
        <f t="shared" si="107"/>
        <v>4.125</v>
      </c>
      <c r="GG25" s="208">
        <f t="shared" si="108"/>
        <v>79.875</v>
      </c>
      <c r="GH25" s="205">
        <f t="shared" si="109"/>
        <v>8.2416145833333321</v>
      </c>
      <c r="GI25" s="206" t="str">
        <f t="shared" si="110"/>
        <v>(0.77)</v>
      </c>
      <c r="GJ25" s="207">
        <v>2</v>
      </c>
      <c r="GK25" s="207">
        <f t="shared" si="111"/>
        <v>3</v>
      </c>
      <c r="GL25" s="207">
        <v>1</v>
      </c>
      <c r="GM25" s="207">
        <f t="shared" si="112"/>
        <v>1.125</v>
      </c>
      <c r="GN25" s="207">
        <v>0</v>
      </c>
      <c r="GO25" s="207">
        <f t="shared" si="113"/>
        <v>0</v>
      </c>
      <c r="GP25" s="207">
        <f t="shared" si="114"/>
        <v>4.125</v>
      </c>
      <c r="GQ25" s="208">
        <f t="shared" si="115"/>
        <v>85.875</v>
      </c>
      <c r="GR25" s="205">
        <f t="shared" si="116"/>
        <v>8.8174479166666657</v>
      </c>
      <c r="GS25" s="206" t="str">
        <f t="shared" si="117"/>
        <v>(0.82)</v>
      </c>
      <c r="GT25" s="207">
        <v>2</v>
      </c>
      <c r="GU25" s="207">
        <f t="shared" si="118"/>
        <v>3</v>
      </c>
      <c r="GV25" s="207">
        <v>1</v>
      </c>
      <c r="GW25" s="207">
        <f t="shared" si="119"/>
        <v>1.125</v>
      </c>
      <c r="GX25" s="207">
        <v>0</v>
      </c>
      <c r="GY25" s="207">
        <f t="shared" si="120"/>
        <v>0</v>
      </c>
      <c r="GZ25" s="207">
        <f t="shared" si="121"/>
        <v>4.125</v>
      </c>
      <c r="HA25" s="208">
        <f t="shared" si="122"/>
        <v>91.875</v>
      </c>
      <c r="HB25" s="205">
        <f t="shared" si="123"/>
        <v>9.3932812499999994</v>
      </c>
      <c r="HC25" s="206" t="str">
        <f t="shared" si="124"/>
        <v>(0.87)</v>
      </c>
      <c r="HD25" s="207">
        <v>2</v>
      </c>
      <c r="HE25" s="207">
        <f t="shared" si="125"/>
        <v>3</v>
      </c>
      <c r="HF25" s="207">
        <v>1</v>
      </c>
      <c r="HG25" s="207">
        <f t="shared" si="126"/>
        <v>1.125</v>
      </c>
      <c r="HH25" s="207">
        <v>0</v>
      </c>
      <c r="HI25" s="207">
        <f t="shared" si="127"/>
        <v>0</v>
      </c>
      <c r="HJ25" s="207">
        <f t="shared" si="128"/>
        <v>4.125</v>
      </c>
      <c r="HK25" s="208">
        <f t="shared" si="129"/>
        <v>97.875</v>
      </c>
      <c r="HL25" s="205">
        <f t="shared" si="130"/>
        <v>9.7771701388888879</v>
      </c>
      <c r="HM25" s="206" t="str">
        <f t="shared" si="131"/>
        <v>(0.91)</v>
      </c>
      <c r="HN25" s="207">
        <v>2</v>
      </c>
      <c r="HO25" s="207">
        <f t="shared" si="132"/>
        <v>3</v>
      </c>
      <c r="HP25" s="207">
        <v>1</v>
      </c>
      <c r="HQ25" s="207">
        <f t="shared" si="133"/>
        <v>1.125</v>
      </c>
      <c r="HR25" s="207">
        <v>2</v>
      </c>
      <c r="HS25" s="207">
        <f t="shared" si="134"/>
        <v>2</v>
      </c>
      <c r="HT25" s="207">
        <f t="shared" si="135"/>
        <v>6.125</v>
      </c>
      <c r="HU25" s="208">
        <f t="shared" si="136"/>
        <v>101.875</v>
      </c>
      <c r="HV25" s="205">
        <f t="shared" si="137"/>
        <v>10.35300347222222</v>
      </c>
      <c r="HW25" s="206" t="str">
        <f t="shared" si="138"/>
        <v>(0.96)</v>
      </c>
      <c r="HX25" s="207">
        <v>2</v>
      </c>
      <c r="HY25" s="207">
        <f t="shared" si="139"/>
        <v>3</v>
      </c>
      <c r="HZ25" s="207">
        <v>1</v>
      </c>
      <c r="IA25" s="207">
        <f t="shared" si="140"/>
        <v>1.125</v>
      </c>
      <c r="IB25" s="207">
        <v>2</v>
      </c>
      <c r="IC25" s="207">
        <f t="shared" si="141"/>
        <v>2</v>
      </c>
      <c r="ID25" s="207">
        <f t="shared" si="142"/>
        <v>6.125</v>
      </c>
      <c r="IE25" s="208">
        <f t="shared" si="143"/>
        <v>107.875</v>
      </c>
      <c r="IF25" s="205">
        <f t="shared" si="144"/>
        <v>10.928836805555555</v>
      </c>
      <c r="IG25" s="206" t="str">
        <f t="shared" si="145"/>
        <v>(1.02)</v>
      </c>
      <c r="IH25" s="21">
        <v>2</v>
      </c>
      <c r="II25" s="21">
        <f t="shared" si="146"/>
        <v>3</v>
      </c>
      <c r="IJ25" s="29">
        <v>1</v>
      </c>
      <c r="IK25" s="21">
        <f t="shared" si="147"/>
        <v>1.125</v>
      </c>
      <c r="IL25" s="21">
        <v>2</v>
      </c>
      <c r="IM25" s="21">
        <f t="shared" si="148"/>
        <v>2</v>
      </c>
      <c r="IN25" s="21">
        <f t="shared" si="149"/>
        <v>6.125</v>
      </c>
      <c r="IO25" s="22">
        <f t="shared" si="150"/>
        <v>113.875</v>
      </c>
      <c r="IP25" s="23"/>
      <c r="IQ25" s="24">
        <v>5</v>
      </c>
      <c r="IR25" s="25">
        <v>2.5</v>
      </c>
      <c r="IS25" s="25">
        <v>2.8079999999999998</v>
      </c>
      <c r="IT25" s="25">
        <v>8.7999999999999995E-2</v>
      </c>
      <c r="IU25" s="25">
        <v>1.5</v>
      </c>
      <c r="IV25" s="25">
        <v>1</v>
      </c>
      <c r="IW25" s="25">
        <v>1.125</v>
      </c>
      <c r="IX25" s="7"/>
    </row>
    <row r="26" spans="2:258" ht="15.75" thickBot="1" x14ac:dyDescent="0.3">
      <c r="B26" s="79">
        <f t="shared" si="9"/>
        <v>54</v>
      </c>
      <c r="C26" s="147">
        <v>10</v>
      </c>
      <c r="D26" s="487"/>
      <c r="E26" s="468">
        <f t="shared" si="0"/>
        <v>0.3805277777777778</v>
      </c>
      <c r="F26" s="468">
        <f t="shared" si="1"/>
        <v>0.4228086419753086</v>
      </c>
      <c r="G26" s="468">
        <f t="shared" si="2"/>
        <v>0.44394907407407402</v>
      </c>
      <c r="H26" s="468">
        <f t="shared" si="3"/>
        <v>0.45663333333333334</v>
      </c>
      <c r="I26" s="468">
        <f t="shared" si="4"/>
        <v>0.46508950617283951</v>
      </c>
      <c r="J26" s="468">
        <f t="shared" si="5"/>
        <v>0.47112962962962962</v>
      </c>
      <c r="K26" s="468">
        <f t="shared" si="6"/>
        <v>0.47565972222222225</v>
      </c>
      <c r="L26" s="468">
        <f t="shared" si="7"/>
        <v>0.46978737997256514</v>
      </c>
      <c r="M26" s="468">
        <f t="shared" si="8"/>
        <v>0.47354567901234568</v>
      </c>
      <c r="N26" s="488"/>
      <c r="O26" s="488"/>
      <c r="P26" s="488"/>
      <c r="Q26" s="488"/>
      <c r="R26" s="488"/>
      <c r="S26" s="488"/>
      <c r="T26" s="488"/>
      <c r="U26" s="488"/>
      <c r="V26" s="488"/>
      <c r="W26" s="488"/>
      <c r="X26" s="76"/>
      <c r="Y26" s="46"/>
      <c r="AA26" s="61"/>
      <c r="AT26" s="3"/>
      <c r="AU26" s="13">
        <f t="shared" si="151"/>
        <v>36</v>
      </c>
      <c r="AV26" s="11" t="str">
        <f t="shared" si="10"/>
        <v>(900)</v>
      </c>
      <c r="AW26" s="18"/>
      <c r="AX26" s="19">
        <f t="shared" si="11"/>
        <v>0.72599999999999998</v>
      </c>
      <c r="AY26" s="20" t="str">
        <f t="shared" si="12"/>
        <v>(0.07)</v>
      </c>
      <c r="AZ26" s="21">
        <v>2</v>
      </c>
      <c r="BA26" s="21">
        <f t="shared" si="13"/>
        <v>3</v>
      </c>
      <c r="BB26" s="21">
        <v>0</v>
      </c>
      <c r="BC26" s="21">
        <f t="shared" si="14"/>
        <v>0</v>
      </c>
      <c r="BD26" s="21">
        <v>0</v>
      </c>
      <c r="BE26" s="21">
        <f t="shared" si="15"/>
        <v>0</v>
      </c>
      <c r="BF26" s="21">
        <f t="shared" si="16"/>
        <v>3</v>
      </c>
      <c r="BG26" s="22">
        <f t="shared" si="17"/>
        <v>6</v>
      </c>
      <c r="BH26" s="205">
        <f t="shared" si="18"/>
        <v>1.089</v>
      </c>
      <c r="BI26" s="206" t="str">
        <f t="shared" si="19"/>
        <v>(0.10)</v>
      </c>
      <c r="BJ26" s="207">
        <v>2</v>
      </c>
      <c r="BK26" s="207">
        <f t="shared" si="20"/>
        <v>3</v>
      </c>
      <c r="BL26" s="207">
        <v>0</v>
      </c>
      <c r="BM26" s="207">
        <f t="shared" si="21"/>
        <v>0</v>
      </c>
      <c r="BN26" s="207">
        <v>0</v>
      </c>
      <c r="BO26" s="207">
        <f t="shared" si="22"/>
        <v>0</v>
      </c>
      <c r="BP26" s="207">
        <f t="shared" si="23"/>
        <v>3</v>
      </c>
      <c r="BQ26" s="208">
        <f t="shared" si="24"/>
        <v>9</v>
      </c>
      <c r="BR26" s="205">
        <f t="shared" si="25"/>
        <v>1.8150000000000002</v>
      </c>
      <c r="BS26" s="206" t="str">
        <f t="shared" si="26"/>
        <v>(0.17)</v>
      </c>
      <c r="BT26" s="207">
        <v>2</v>
      </c>
      <c r="BU26" s="207">
        <f t="shared" si="27"/>
        <v>3</v>
      </c>
      <c r="BV26" s="207">
        <v>0</v>
      </c>
      <c r="BW26" s="207">
        <f t="shared" si="28"/>
        <v>0</v>
      </c>
      <c r="BX26" s="207">
        <v>0</v>
      </c>
      <c r="BY26" s="207">
        <f t="shared" si="29"/>
        <v>0</v>
      </c>
      <c r="BZ26" s="207">
        <f t="shared" si="30"/>
        <v>3</v>
      </c>
      <c r="CA26" s="208">
        <f t="shared" si="31"/>
        <v>15</v>
      </c>
      <c r="CB26" s="205">
        <f t="shared" si="32"/>
        <v>2.5409999999999999</v>
      </c>
      <c r="CC26" s="206" t="str">
        <f t="shared" si="33"/>
        <v>(0.24)</v>
      </c>
      <c r="CD26" s="207">
        <v>2</v>
      </c>
      <c r="CE26" s="207">
        <f t="shared" si="34"/>
        <v>3</v>
      </c>
      <c r="CF26" s="207">
        <v>0</v>
      </c>
      <c r="CG26" s="207">
        <f t="shared" si="35"/>
        <v>0</v>
      </c>
      <c r="CH26" s="207">
        <v>0</v>
      </c>
      <c r="CI26" s="207">
        <f t="shared" si="36"/>
        <v>0</v>
      </c>
      <c r="CJ26" s="207">
        <f t="shared" si="37"/>
        <v>3</v>
      </c>
      <c r="CK26" s="208">
        <f t="shared" si="38"/>
        <v>21</v>
      </c>
      <c r="CL26" s="205">
        <f t="shared" si="39"/>
        <v>3.2669999999999999</v>
      </c>
      <c r="CM26" s="206" t="str">
        <f t="shared" si="40"/>
        <v>(0.3)</v>
      </c>
      <c r="CN26" s="207">
        <v>2</v>
      </c>
      <c r="CO26" s="207">
        <f t="shared" si="41"/>
        <v>3</v>
      </c>
      <c r="CP26" s="207">
        <v>0</v>
      </c>
      <c r="CQ26" s="207">
        <f t="shared" si="42"/>
        <v>0</v>
      </c>
      <c r="CR26" s="207">
        <v>0</v>
      </c>
      <c r="CS26" s="207">
        <f t="shared" si="43"/>
        <v>0</v>
      </c>
      <c r="CT26" s="207">
        <f t="shared" si="44"/>
        <v>3</v>
      </c>
      <c r="CU26" s="208">
        <f t="shared" si="45"/>
        <v>27</v>
      </c>
      <c r="CV26" s="205">
        <f t="shared" si="46"/>
        <v>3.9929999999999999</v>
      </c>
      <c r="CW26" s="206" t="str">
        <f t="shared" si="47"/>
        <v>(0.37)</v>
      </c>
      <c r="CX26" s="207">
        <v>2</v>
      </c>
      <c r="CY26" s="207">
        <f t="shared" si="48"/>
        <v>3</v>
      </c>
      <c r="CZ26" s="207">
        <v>0</v>
      </c>
      <c r="DA26" s="207">
        <f t="shared" si="49"/>
        <v>0</v>
      </c>
      <c r="DB26" s="207">
        <v>0</v>
      </c>
      <c r="DC26" s="207">
        <f t="shared" si="50"/>
        <v>0</v>
      </c>
      <c r="DD26" s="207">
        <f t="shared" si="51"/>
        <v>3</v>
      </c>
      <c r="DE26" s="208">
        <f t="shared" si="52"/>
        <v>33</v>
      </c>
      <c r="DF26" s="205">
        <f t="shared" si="53"/>
        <v>4.7189999999999994</v>
      </c>
      <c r="DG26" s="206" t="str">
        <f t="shared" si="54"/>
        <v>(0.44)</v>
      </c>
      <c r="DH26" s="207">
        <v>2</v>
      </c>
      <c r="DI26" s="207">
        <f t="shared" si="55"/>
        <v>3</v>
      </c>
      <c r="DJ26" s="207">
        <v>0</v>
      </c>
      <c r="DK26" s="207">
        <f t="shared" si="56"/>
        <v>0</v>
      </c>
      <c r="DL26" s="207">
        <v>0</v>
      </c>
      <c r="DM26" s="207">
        <f t="shared" si="57"/>
        <v>0</v>
      </c>
      <c r="DN26" s="207">
        <f t="shared" si="58"/>
        <v>3</v>
      </c>
      <c r="DO26" s="208">
        <f t="shared" si="59"/>
        <v>39</v>
      </c>
      <c r="DP26" s="205">
        <f t="shared" si="60"/>
        <v>5.4449999999999994</v>
      </c>
      <c r="DQ26" s="206" t="str">
        <f t="shared" si="61"/>
        <v>(0.51)</v>
      </c>
      <c r="DR26" s="207">
        <v>2</v>
      </c>
      <c r="DS26" s="207">
        <f t="shared" si="62"/>
        <v>3</v>
      </c>
      <c r="DT26" s="207">
        <v>0</v>
      </c>
      <c r="DU26" s="207">
        <f t="shared" si="63"/>
        <v>0</v>
      </c>
      <c r="DV26" s="207">
        <v>0</v>
      </c>
      <c r="DW26" s="207">
        <f t="shared" si="64"/>
        <v>0</v>
      </c>
      <c r="DX26" s="207">
        <f t="shared" si="65"/>
        <v>3</v>
      </c>
      <c r="DY26" s="208">
        <f t="shared" si="66"/>
        <v>45</v>
      </c>
      <c r="DZ26" s="205">
        <f t="shared" si="67"/>
        <v>6.05</v>
      </c>
      <c r="EA26" s="206" t="str">
        <f t="shared" si="68"/>
        <v>(0.56)</v>
      </c>
      <c r="EB26" s="207">
        <v>2</v>
      </c>
      <c r="EC26" s="207">
        <f t="shared" si="69"/>
        <v>3</v>
      </c>
      <c r="ED26" s="207">
        <v>0</v>
      </c>
      <c r="EE26" s="207">
        <f t="shared" si="70"/>
        <v>0</v>
      </c>
      <c r="EF26" s="207">
        <v>1</v>
      </c>
      <c r="EG26" s="207">
        <f t="shared" si="71"/>
        <v>1</v>
      </c>
      <c r="EH26" s="207">
        <f t="shared" si="72"/>
        <v>4</v>
      </c>
      <c r="EI26" s="208">
        <f t="shared" si="73"/>
        <v>50</v>
      </c>
      <c r="EJ26" s="205">
        <f t="shared" si="74"/>
        <v>6.7759999999999998</v>
      </c>
      <c r="EK26" s="206" t="str">
        <f t="shared" si="75"/>
        <v>(0.63)</v>
      </c>
      <c r="EL26" s="207">
        <v>2</v>
      </c>
      <c r="EM26" s="207">
        <f t="shared" si="76"/>
        <v>3</v>
      </c>
      <c r="EN26" s="207">
        <v>0</v>
      </c>
      <c r="EO26" s="207">
        <f t="shared" si="77"/>
        <v>0</v>
      </c>
      <c r="EP26" s="207">
        <v>1</v>
      </c>
      <c r="EQ26" s="207">
        <f t="shared" si="78"/>
        <v>1</v>
      </c>
      <c r="ER26" s="207">
        <f t="shared" si="79"/>
        <v>4</v>
      </c>
      <c r="ES26" s="208">
        <f t="shared" si="80"/>
        <v>56</v>
      </c>
      <c r="ET26" s="205">
        <f t="shared" si="81"/>
        <v>7.5019999999999998</v>
      </c>
      <c r="EU26" s="206" t="str">
        <f t="shared" si="82"/>
        <v>(0.70)</v>
      </c>
      <c r="EV26" s="207">
        <v>2</v>
      </c>
      <c r="EW26" s="207">
        <f t="shared" si="83"/>
        <v>3</v>
      </c>
      <c r="EX26" s="207">
        <v>0</v>
      </c>
      <c r="EY26" s="207">
        <f t="shared" si="84"/>
        <v>0</v>
      </c>
      <c r="EZ26" s="207">
        <v>1</v>
      </c>
      <c r="FA26" s="207">
        <f t="shared" si="85"/>
        <v>1</v>
      </c>
      <c r="FB26" s="207">
        <f t="shared" si="86"/>
        <v>4</v>
      </c>
      <c r="FC26" s="208">
        <f t="shared" si="87"/>
        <v>62</v>
      </c>
      <c r="FD26" s="205">
        <f t="shared" si="88"/>
        <v>8.3489999999999984</v>
      </c>
      <c r="FE26" s="206" t="str">
        <f t="shared" si="89"/>
        <v>(0.78)</v>
      </c>
      <c r="FF26" s="207">
        <v>2</v>
      </c>
      <c r="FG26" s="207">
        <f t="shared" si="90"/>
        <v>3</v>
      </c>
      <c r="FH26" s="469">
        <v>0</v>
      </c>
      <c r="FI26" s="207">
        <f t="shared" si="91"/>
        <v>0</v>
      </c>
      <c r="FJ26" s="207">
        <v>0</v>
      </c>
      <c r="FK26" s="207">
        <f t="shared" si="92"/>
        <v>0</v>
      </c>
      <c r="FL26" s="207">
        <f t="shared" si="93"/>
        <v>3</v>
      </c>
      <c r="FM26" s="208">
        <f t="shared" si="94"/>
        <v>69</v>
      </c>
      <c r="FN26" s="205">
        <f t="shared" si="95"/>
        <v>8.9388749999999995</v>
      </c>
      <c r="FO26" s="206" t="str">
        <f t="shared" si="96"/>
        <v>(0.83)</v>
      </c>
      <c r="FP26" s="207">
        <v>2</v>
      </c>
      <c r="FQ26" s="207">
        <f t="shared" si="97"/>
        <v>3</v>
      </c>
      <c r="FR26" s="207">
        <v>1</v>
      </c>
      <c r="FS26" s="207">
        <f t="shared" si="98"/>
        <v>1.125</v>
      </c>
      <c r="FT26" s="207">
        <v>0</v>
      </c>
      <c r="FU26" s="207">
        <f t="shared" si="99"/>
        <v>0</v>
      </c>
      <c r="FV26" s="207">
        <f t="shared" si="100"/>
        <v>4.125</v>
      </c>
      <c r="FW26" s="208">
        <f t="shared" si="101"/>
        <v>73.875</v>
      </c>
      <c r="FX26" s="205">
        <f t="shared" si="102"/>
        <v>9.6648750000000003</v>
      </c>
      <c r="FY26" s="206" t="str">
        <f t="shared" si="103"/>
        <v>(0.90)</v>
      </c>
      <c r="FZ26" s="207">
        <v>2</v>
      </c>
      <c r="GA26" s="207">
        <f t="shared" si="104"/>
        <v>3</v>
      </c>
      <c r="GB26" s="207">
        <v>1</v>
      </c>
      <c r="GC26" s="207">
        <f t="shared" si="105"/>
        <v>1.125</v>
      </c>
      <c r="GD26" s="207">
        <v>0</v>
      </c>
      <c r="GE26" s="207">
        <f t="shared" si="106"/>
        <v>0</v>
      </c>
      <c r="GF26" s="207">
        <f t="shared" si="107"/>
        <v>4.125</v>
      </c>
      <c r="GG26" s="208">
        <f t="shared" si="108"/>
        <v>79.875</v>
      </c>
      <c r="GH26" s="205">
        <f t="shared" si="109"/>
        <v>10.390875000000001</v>
      </c>
      <c r="GI26" s="206" t="str">
        <f t="shared" si="110"/>
        <v>(0.97)</v>
      </c>
      <c r="GJ26" s="207">
        <v>2</v>
      </c>
      <c r="GK26" s="207">
        <f t="shared" si="111"/>
        <v>3</v>
      </c>
      <c r="GL26" s="207">
        <v>1</v>
      </c>
      <c r="GM26" s="207">
        <f t="shared" si="112"/>
        <v>1.125</v>
      </c>
      <c r="GN26" s="207">
        <v>0</v>
      </c>
      <c r="GO26" s="207">
        <f t="shared" si="113"/>
        <v>0</v>
      </c>
      <c r="GP26" s="207">
        <f t="shared" si="114"/>
        <v>4.125</v>
      </c>
      <c r="GQ26" s="208">
        <f t="shared" si="115"/>
        <v>85.875</v>
      </c>
      <c r="GR26" s="205">
        <f t="shared" si="116"/>
        <v>11.116875</v>
      </c>
      <c r="GS26" s="206" t="str">
        <f t="shared" si="117"/>
        <v>(1.03)</v>
      </c>
      <c r="GT26" s="207">
        <v>2</v>
      </c>
      <c r="GU26" s="207">
        <f t="shared" si="118"/>
        <v>3</v>
      </c>
      <c r="GV26" s="207">
        <v>1</v>
      </c>
      <c r="GW26" s="207">
        <f t="shared" si="119"/>
        <v>1.125</v>
      </c>
      <c r="GX26" s="207">
        <v>0</v>
      </c>
      <c r="GY26" s="207">
        <f t="shared" si="120"/>
        <v>0</v>
      </c>
      <c r="GZ26" s="207">
        <f t="shared" si="121"/>
        <v>4.125</v>
      </c>
      <c r="HA26" s="208">
        <f t="shared" si="122"/>
        <v>91.875</v>
      </c>
      <c r="HB26" s="205">
        <f t="shared" si="123"/>
        <v>11.842874999999999</v>
      </c>
      <c r="HC26" s="206" t="str">
        <f t="shared" si="124"/>
        <v>(1.10)</v>
      </c>
      <c r="HD26" s="207">
        <v>2</v>
      </c>
      <c r="HE26" s="207">
        <f t="shared" si="125"/>
        <v>3</v>
      </c>
      <c r="HF26" s="207">
        <v>1</v>
      </c>
      <c r="HG26" s="207">
        <f t="shared" si="126"/>
        <v>1.125</v>
      </c>
      <c r="HH26" s="207">
        <v>0</v>
      </c>
      <c r="HI26" s="207">
        <f t="shared" si="127"/>
        <v>0</v>
      </c>
      <c r="HJ26" s="207">
        <f t="shared" si="128"/>
        <v>4.125</v>
      </c>
      <c r="HK26" s="208">
        <f t="shared" si="129"/>
        <v>97.875</v>
      </c>
      <c r="HL26" s="205">
        <f t="shared" si="130"/>
        <v>12.326874999999999</v>
      </c>
      <c r="HM26" s="206" t="str">
        <f t="shared" si="131"/>
        <v>(1.15)</v>
      </c>
      <c r="HN26" s="207">
        <v>2</v>
      </c>
      <c r="HO26" s="207">
        <f t="shared" si="132"/>
        <v>3</v>
      </c>
      <c r="HP26" s="207">
        <v>1</v>
      </c>
      <c r="HQ26" s="207">
        <f t="shared" si="133"/>
        <v>1.125</v>
      </c>
      <c r="HR26" s="207">
        <v>2</v>
      </c>
      <c r="HS26" s="207">
        <f t="shared" si="134"/>
        <v>2</v>
      </c>
      <c r="HT26" s="207">
        <f t="shared" si="135"/>
        <v>6.125</v>
      </c>
      <c r="HU26" s="208">
        <f t="shared" si="136"/>
        <v>101.875</v>
      </c>
      <c r="HV26" s="205">
        <f t="shared" si="137"/>
        <v>13.052875</v>
      </c>
      <c r="HW26" s="206" t="str">
        <f t="shared" si="138"/>
        <v>(1.21)</v>
      </c>
      <c r="HX26" s="207">
        <v>2</v>
      </c>
      <c r="HY26" s="207">
        <f t="shared" si="139"/>
        <v>3</v>
      </c>
      <c r="HZ26" s="207">
        <v>1</v>
      </c>
      <c r="IA26" s="207">
        <f t="shared" si="140"/>
        <v>1.125</v>
      </c>
      <c r="IB26" s="207">
        <v>2</v>
      </c>
      <c r="IC26" s="207">
        <f t="shared" si="141"/>
        <v>2</v>
      </c>
      <c r="ID26" s="207">
        <f t="shared" si="142"/>
        <v>6.125</v>
      </c>
      <c r="IE26" s="208">
        <f t="shared" si="143"/>
        <v>107.875</v>
      </c>
      <c r="IF26" s="205">
        <f t="shared" si="144"/>
        <v>13.778874999999999</v>
      </c>
      <c r="IG26" s="206" t="str">
        <f t="shared" si="145"/>
        <v>(1.28)</v>
      </c>
      <c r="IH26" s="21">
        <v>2</v>
      </c>
      <c r="II26" s="21">
        <f t="shared" si="146"/>
        <v>3</v>
      </c>
      <c r="IJ26" s="21">
        <v>1</v>
      </c>
      <c r="IK26" s="21">
        <f t="shared" si="147"/>
        <v>1.125</v>
      </c>
      <c r="IL26" s="21">
        <v>2</v>
      </c>
      <c r="IM26" s="21">
        <f t="shared" si="148"/>
        <v>2</v>
      </c>
      <c r="IN26" s="21">
        <f t="shared" si="149"/>
        <v>6.125</v>
      </c>
      <c r="IO26" s="22">
        <f t="shared" si="150"/>
        <v>113.875</v>
      </c>
      <c r="IP26" s="23"/>
      <c r="IQ26" s="24">
        <v>6</v>
      </c>
      <c r="IR26" s="25">
        <v>2.5</v>
      </c>
      <c r="IS26" s="25">
        <v>2.8079999999999998</v>
      </c>
      <c r="IT26" s="25">
        <v>0.88400000000000001</v>
      </c>
      <c r="IU26" s="25">
        <v>1.5</v>
      </c>
      <c r="IV26" s="25">
        <v>1</v>
      </c>
      <c r="IW26" s="25">
        <v>1.125</v>
      </c>
      <c r="IX26" s="7"/>
    </row>
    <row r="27" spans="2:258" ht="15.75" thickBot="1" x14ac:dyDescent="0.3">
      <c r="B27" s="79">
        <f t="shared" si="9"/>
        <v>60</v>
      </c>
      <c r="C27" s="148">
        <v>11</v>
      </c>
      <c r="D27" s="487"/>
      <c r="E27" s="468">
        <f t="shared" si="0"/>
        <v>0.38334999999999997</v>
      </c>
      <c r="F27" s="468">
        <f t="shared" si="1"/>
        <v>0.4259444444444444</v>
      </c>
      <c r="G27" s="468">
        <f t="shared" si="2"/>
        <v>0.44724166666666665</v>
      </c>
      <c r="H27" s="468">
        <f t="shared" si="3"/>
        <v>0.46001999999999993</v>
      </c>
      <c r="I27" s="468">
        <f t="shared" si="4"/>
        <v>0.46853888888888889</v>
      </c>
      <c r="J27" s="468">
        <f t="shared" si="5"/>
        <v>0.4746238095238095</v>
      </c>
      <c r="K27" s="468">
        <f t="shared" si="6"/>
        <v>0.47918749999999999</v>
      </c>
      <c r="L27" s="468">
        <f t="shared" si="7"/>
        <v>0.47327160493827158</v>
      </c>
      <c r="M27" s="468">
        <f t="shared" si="8"/>
        <v>0.47705777777777775</v>
      </c>
      <c r="N27" s="488"/>
      <c r="O27" s="488"/>
      <c r="P27" s="488"/>
      <c r="Q27" s="488"/>
      <c r="R27" s="488"/>
      <c r="S27" s="488"/>
      <c r="T27" s="488"/>
      <c r="U27" s="488"/>
      <c r="V27" s="488"/>
      <c r="W27" s="488"/>
      <c r="X27" s="76"/>
      <c r="Y27" s="46"/>
      <c r="AA27" s="61"/>
      <c r="AT27" s="3"/>
      <c r="AU27" s="13">
        <f t="shared" si="151"/>
        <v>42</v>
      </c>
      <c r="AV27" s="11" t="str">
        <f t="shared" si="10"/>
        <v>(1050)</v>
      </c>
      <c r="AW27" s="18"/>
      <c r="AX27" s="19">
        <f t="shared" si="11"/>
        <v>0.88149999999999995</v>
      </c>
      <c r="AY27" s="20" t="str">
        <f t="shared" si="12"/>
        <v>(0.08)</v>
      </c>
      <c r="AZ27" s="21">
        <v>2</v>
      </c>
      <c r="BA27" s="21">
        <f t="shared" si="13"/>
        <v>3</v>
      </c>
      <c r="BB27" s="21">
        <v>0</v>
      </c>
      <c r="BC27" s="21">
        <f t="shared" si="14"/>
        <v>0</v>
      </c>
      <c r="BD27" s="21">
        <v>0</v>
      </c>
      <c r="BE27" s="21">
        <f t="shared" si="15"/>
        <v>0</v>
      </c>
      <c r="BF27" s="21">
        <f t="shared" si="16"/>
        <v>3</v>
      </c>
      <c r="BG27" s="22">
        <f t="shared" si="17"/>
        <v>6</v>
      </c>
      <c r="BH27" s="205">
        <f t="shared" si="18"/>
        <v>1.3222499999999999</v>
      </c>
      <c r="BI27" s="206" t="str">
        <f t="shared" si="19"/>
        <v>(0.12)</v>
      </c>
      <c r="BJ27" s="207">
        <v>2</v>
      </c>
      <c r="BK27" s="207">
        <f t="shared" si="20"/>
        <v>3</v>
      </c>
      <c r="BL27" s="207">
        <v>0</v>
      </c>
      <c r="BM27" s="207">
        <f t="shared" si="21"/>
        <v>0</v>
      </c>
      <c r="BN27" s="207">
        <v>0</v>
      </c>
      <c r="BO27" s="207">
        <f t="shared" si="22"/>
        <v>0</v>
      </c>
      <c r="BP27" s="207">
        <f t="shared" si="23"/>
        <v>3</v>
      </c>
      <c r="BQ27" s="208">
        <f t="shared" si="24"/>
        <v>9</v>
      </c>
      <c r="BR27" s="205">
        <f t="shared" si="25"/>
        <v>2.2037499999999999</v>
      </c>
      <c r="BS27" s="206" t="str">
        <f t="shared" si="26"/>
        <v>(0.2)</v>
      </c>
      <c r="BT27" s="207">
        <v>2</v>
      </c>
      <c r="BU27" s="207">
        <f t="shared" si="27"/>
        <v>3</v>
      </c>
      <c r="BV27" s="207">
        <v>0</v>
      </c>
      <c r="BW27" s="207">
        <f t="shared" si="28"/>
        <v>0</v>
      </c>
      <c r="BX27" s="207">
        <v>0</v>
      </c>
      <c r="BY27" s="207">
        <f t="shared" si="29"/>
        <v>0</v>
      </c>
      <c r="BZ27" s="207">
        <f t="shared" si="30"/>
        <v>3</v>
      </c>
      <c r="CA27" s="208">
        <f t="shared" si="31"/>
        <v>15</v>
      </c>
      <c r="CB27" s="205">
        <f t="shared" si="32"/>
        <v>3.0852499999999998</v>
      </c>
      <c r="CC27" s="206" t="str">
        <f t="shared" si="33"/>
        <v>(0.29)</v>
      </c>
      <c r="CD27" s="207">
        <v>2</v>
      </c>
      <c r="CE27" s="207">
        <f t="shared" si="34"/>
        <v>3</v>
      </c>
      <c r="CF27" s="207">
        <v>0</v>
      </c>
      <c r="CG27" s="207">
        <f t="shared" si="35"/>
        <v>0</v>
      </c>
      <c r="CH27" s="207">
        <v>0</v>
      </c>
      <c r="CI27" s="207">
        <f t="shared" si="36"/>
        <v>0</v>
      </c>
      <c r="CJ27" s="207">
        <f t="shared" si="37"/>
        <v>3</v>
      </c>
      <c r="CK27" s="208">
        <f t="shared" si="38"/>
        <v>21</v>
      </c>
      <c r="CL27" s="205">
        <f t="shared" si="39"/>
        <v>3.9667499999999998</v>
      </c>
      <c r="CM27" s="206" t="str">
        <f t="shared" si="40"/>
        <v>(0.37)</v>
      </c>
      <c r="CN27" s="207">
        <v>2</v>
      </c>
      <c r="CO27" s="207">
        <f t="shared" si="41"/>
        <v>3</v>
      </c>
      <c r="CP27" s="207">
        <v>0</v>
      </c>
      <c r="CQ27" s="207">
        <f t="shared" si="42"/>
        <v>0</v>
      </c>
      <c r="CR27" s="207">
        <v>0</v>
      </c>
      <c r="CS27" s="207">
        <f t="shared" si="43"/>
        <v>0</v>
      </c>
      <c r="CT27" s="207">
        <f t="shared" si="44"/>
        <v>3</v>
      </c>
      <c r="CU27" s="208">
        <f t="shared" si="45"/>
        <v>27</v>
      </c>
      <c r="CV27" s="205">
        <f t="shared" si="46"/>
        <v>4.8482499999999993</v>
      </c>
      <c r="CW27" s="206" t="str">
        <f t="shared" si="47"/>
        <v>(0.45)</v>
      </c>
      <c r="CX27" s="207">
        <v>2</v>
      </c>
      <c r="CY27" s="207">
        <f t="shared" si="48"/>
        <v>3</v>
      </c>
      <c r="CZ27" s="207">
        <v>0</v>
      </c>
      <c r="DA27" s="207">
        <f t="shared" si="49"/>
        <v>0</v>
      </c>
      <c r="DB27" s="207">
        <v>0</v>
      </c>
      <c r="DC27" s="207">
        <f t="shared" si="50"/>
        <v>0</v>
      </c>
      <c r="DD27" s="207">
        <f t="shared" si="51"/>
        <v>3</v>
      </c>
      <c r="DE27" s="208">
        <f t="shared" si="52"/>
        <v>33</v>
      </c>
      <c r="DF27" s="205">
        <f t="shared" si="53"/>
        <v>5.7297499999999992</v>
      </c>
      <c r="DG27" s="206" t="str">
        <f t="shared" si="54"/>
        <v>(0.53)</v>
      </c>
      <c r="DH27" s="207">
        <v>2</v>
      </c>
      <c r="DI27" s="207">
        <f t="shared" si="55"/>
        <v>3</v>
      </c>
      <c r="DJ27" s="207">
        <v>0</v>
      </c>
      <c r="DK27" s="207">
        <f t="shared" si="56"/>
        <v>0</v>
      </c>
      <c r="DL27" s="207">
        <v>0</v>
      </c>
      <c r="DM27" s="207">
        <f t="shared" si="57"/>
        <v>0</v>
      </c>
      <c r="DN27" s="207">
        <f t="shared" si="58"/>
        <v>3</v>
      </c>
      <c r="DO27" s="208">
        <f t="shared" si="59"/>
        <v>39</v>
      </c>
      <c r="DP27" s="205">
        <f t="shared" si="60"/>
        <v>6.6112500000000001</v>
      </c>
      <c r="DQ27" s="206" t="str">
        <f t="shared" si="61"/>
        <v>(0.61)</v>
      </c>
      <c r="DR27" s="207">
        <v>2</v>
      </c>
      <c r="DS27" s="207">
        <f t="shared" si="62"/>
        <v>3</v>
      </c>
      <c r="DT27" s="207">
        <v>0</v>
      </c>
      <c r="DU27" s="207">
        <f t="shared" si="63"/>
        <v>0</v>
      </c>
      <c r="DV27" s="207">
        <v>0</v>
      </c>
      <c r="DW27" s="207">
        <f t="shared" si="64"/>
        <v>0</v>
      </c>
      <c r="DX27" s="207">
        <f t="shared" si="65"/>
        <v>3</v>
      </c>
      <c r="DY27" s="208">
        <f t="shared" si="66"/>
        <v>45</v>
      </c>
      <c r="DZ27" s="205">
        <f t="shared" si="67"/>
        <v>7.3458333333333332</v>
      </c>
      <c r="EA27" s="206" t="str">
        <f t="shared" si="68"/>
        <v>(0.68)</v>
      </c>
      <c r="EB27" s="207">
        <v>2</v>
      </c>
      <c r="EC27" s="207">
        <f t="shared" si="69"/>
        <v>3</v>
      </c>
      <c r="ED27" s="207">
        <v>0</v>
      </c>
      <c r="EE27" s="207">
        <f t="shared" si="70"/>
        <v>0</v>
      </c>
      <c r="EF27" s="207">
        <v>1</v>
      </c>
      <c r="EG27" s="207">
        <f t="shared" si="71"/>
        <v>1</v>
      </c>
      <c r="EH27" s="207">
        <f t="shared" si="72"/>
        <v>4</v>
      </c>
      <c r="EI27" s="208">
        <f t="shared" si="73"/>
        <v>50</v>
      </c>
      <c r="EJ27" s="205">
        <f t="shared" si="74"/>
        <v>8.2273333333333323</v>
      </c>
      <c r="EK27" s="206" t="str">
        <f t="shared" si="75"/>
        <v>(0.76)</v>
      </c>
      <c r="EL27" s="207">
        <v>2</v>
      </c>
      <c r="EM27" s="207">
        <f t="shared" si="76"/>
        <v>3</v>
      </c>
      <c r="EN27" s="207">
        <v>0</v>
      </c>
      <c r="EO27" s="207">
        <f t="shared" si="77"/>
        <v>0</v>
      </c>
      <c r="EP27" s="207">
        <v>1</v>
      </c>
      <c r="EQ27" s="207">
        <f t="shared" si="78"/>
        <v>1</v>
      </c>
      <c r="ER27" s="207">
        <f t="shared" si="79"/>
        <v>4</v>
      </c>
      <c r="ES27" s="208">
        <f t="shared" si="80"/>
        <v>56</v>
      </c>
      <c r="ET27" s="205">
        <f t="shared" si="81"/>
        <v>9.1088333333333331</v>
      </c>
      <c r="EU27" s="206" t="str">
        <f t="shared" si="82"/>
        <v>(0.85)</v>
      </c>
      <c r="EV27" s="207">
        <v>2</v>
      </c>
      <c r="EW27" s="207">
        <f t="shared" si="83"/>
        <v>3</v>
      </c>
      <c r="EX27" s="207">
        <v>0</v>
      </c>
      <c r="EY27" s="207">
        <f t="shared" si="84"/>
        <v>0</v>
      </c>
      <c r="EZ27" s="207">
        <v>1</v>
      </c>
      <c r="FA27" s="207">
        <f t="shared" si="85"/>
        <v>1</v>
      </c>
      <c r="FB27" s="207">
        <f t="shared" si="86"/>
        <v>4</v>
      </c>
      <c r="FC27" s="208">
        <f t="shared" si="87"/>
        <v>62</v>
      </c>
      <c r="FD27" s="205">
        <f t="shared" si="88"/>
        <v>10.13725</v>
      </c>
      <c r="FE27" s="206" t="str">
        <f t="shared" si="89"/>
        <v>(0.94)</v>
      </c>
      <c r="FF27" s="207">
        <v>2</v>
      </c>
      <c r="FG27" s="207">
        <f t="shared" si="90"/>
        <v>3</v>
      </c>
      <c r="FH27" s="469">
        <v>0</v>
      </c>
      <c r="FI27" s="207">
        <f t="shared" si="91"/>
        <v>0</v>
      </c>
      <c r="FJ27" s="207">
        <v>0</v>
      </c>
      <c r="FK27" s="207">
        <f t="shared" si="92"/>
        <v>0</v>
      </c>
      <c r="FL27" s="207">
        <f t="shared" si="93"/>
        <v>3</v>
      </c>
      <c r="FM27" s="208">
        <f t="shared" si="94"/>
        <v>69</v>
      </c>
      <c r="FN27" s="205">
        <f t="shared" si="95"/>
        <v>10.853468749999999</v>
      </c>
      <c r="FO27" s="206" t="str">
        <f t="shared" si="96"/>
        <v>(1.01)</v>
      </c>
      <c r="FP27" s="207">
        <v>2</v>
      </c>
      <c r="FQ27" s="207">
        <f t="shared" si="97"/>
        <v>3</v>
      </c>
      <c r="FR27" s="207">
        <v>1</v>
      </c>
      <c r="FS27" s="207">
        <f t="shared" si="98"/>
        <v>1.125</v>
      </c>
      <c r="FT27" s="207">
        <v>0</v>
      </c>
      <c r="FU27" s="207">
        <f t="shared" si="99"/>
        <v>0</v>
      </c>
      <c r="FV27" s="207">
        <f t="shared" si="100"/>
        <v>4.125</v>
      </c>
      <c r="FW27" s="208">
        <f t="shared" si="101"/>
        <v>73.875</v>
      </c>
      <c r="FX27" s="205">
        <f t="shared" si="102"/>
        <v>11.73496875</v>
      </c>
      <c r="FY27" s="206" t="str">
        <f t="shared" si="103"/>
        <v>(1.09)</v>
      </c>
      <c r="FZ27" s="207">
        <v>2</v>
      </c>
      <c r="GA27" s="207">
        <f t="shared" si="104"/>
        <v>3</v>
      </c>
      <c r="GB27" s="207">
        <v>1</v>
      </c>
      <c r="GC27" s="207">
        <f t="shared" si="105"/>
        <v>1.125</v>
      </c>
      <c r="GD27" s="207">
        <v>0</v>
      </c>
      <c r="GE27" s="207">
        <f t="shared" si="106"/>
        <v>0</v>
      </c>
      <c r="GF27" s="207">
        <f t="shared" si="107"/>
        <v>4.125</v>
      </c>
      <c r="GG27" s="208">
        <f t="shared" si="108"/>
        <v>79.875</v>
      </c>
      <c r="GH27" s="205">
        <f t="shared" si="109"/>
        <v>12.616468749999999</v>
      </c>
      <c r="GI27" s="206" t="str">
        <f t="shared" si="110"/>
        <v>(1.17)</v>
      </c>
      <c r="GJ27" s="207">
        <v>2</v>
      </c>
      <c r="GK27" s="207">
        <f t="shared" si="111"/>
        <v>3</v>
      </c>
      <c r="GL27" s="207">
        <v>1</v>
      </c>
      <c r="GM27" s="207">
        <f t="shared" si="112"/>
        <v>1.125</v>
      </c>
      <c r="GN27" s="207">
        <v>0</v>
      </c>
      <c r="GO27" s="207">
        <f t="shared" si="113"/>
        <v>0</v>
      </c>
      <c r="GP27" s="207">
        <f t="shared" si="114"/>
        <v>4.125</v>
      </c>
      <c r="GQ27" s="208">
        <f t="shared" si="115"/>
        <v>85.875</v>
      </c>
      <c r="GR27" s="205">
        <f t="shared" si="116"/>
        <v>13.49796875</v>
      </c>
      <c r="GS27" s="206" t="str">
        <f t="shared" si="117"/>
        <v>(1.25)</v>
      </c>
      <c r="GT27" s="207">
        <v>2</v>
      </c>
      <c r="GU27" s="207">
        <f t="shared" si="118"/>
        <v>3</v>
      </c>
      <c r="GV27" s="207">
        <v>1</v>
      </c>
      <c r="GW27" s="207">
        <f t="shared" si="119"/>
        <v>1.125</v>
      </c>
      <c r="GX27" s="207">
        <v>0</v>
      </c>
      <c r="GY27" s="207">
        <f t="shared" si="120"/>
        <v>0</v>
      </c>
      <c r="GZ27" s="207">
        <f t="shared" si="121"/>
        <v>4.125</v>
      </c>
      <c r="HA27" s="208">
        <f t="shared" si="122"/>
        <v>91.875</v>
      </c>
      <c r="HB27" s="205">
        <f t="shared" si="123"/>
        <v>14.379468749999997</v>
      </c>
      <c r="HC27" s="206" t="str">
        <f t="shared" si="124"/>
        <v>(1.34)</v>
      </c>
      <c r="HD27" s="207">
        <v>2</v>
      </c>
      <c r="HE27" s="207">
        <f t="shared" si="125"/>
        <v>3</v>
      </c>
      <c r="HF27" s="207">
        <v>1</v>
      </c>
      <c r="HG27" s="207">
        <f t="shared" si="126"/>
        <v>1.125</v>
      </c>
      <c r="HH27" s="207">
        <v>0</v>
      </c>
      <c r="HI27" s="207">
        <f t="shared" si="127"/>
        <v>0</v>
      </c>
      <c r="HJ27" s="207">
        <f t="shared" si="128"/>
        <v>4.125</v>
      </c>
      <c r="HK27" s="208">
        <f t="shared" si="129"/>
        <v>97.875</v>
      </c>
      <c r="HL27" s="205">
        <f t="shared" si="130"/>
        <v>14.967135416666666</v>
      </c>
      <c r="HM27" s="206" t="str">
        <f t="shared" si="131"/>
        <v>(1.39)</v>
      </c>
      <c r="HN27" s="207">
        <v>2</v>
      </c>
      <c r="HO27" s="207">
        <f t="shared" si="132"/>
        <v>3</v>
      </c>
      <c r="HP27" s="207">
        <v>1</v>
      </c>
      <c r="HQ27" s="207">
        <f t="shared" si="133"/>
        <v>1.125</v>
      </c>
      <c r="HR27" s="207">
        <v>2</v>
      </c>
      <c r="HS27" s="207">
        <f t="shared" si="134"/>
        <v>2</v>
      </c>
      <c r="HT27" s="207">
        <f t="shared" si="135"/>
        <v>6.125</v>
      </c>
      <c r="HU27" s="208">
        <f t="shared" si="136"/>
        <v>101.875</v>
      </c>
      <c r="HV27" s="205">
        <f t="shared" si="137"/>
        <v>15.848635416666667</v>
      </c>
      <c r="HW27" s="206" t="str">
        <f t="shared" si="138"/>
        <v>(1.47)</v>
      </c>
      <c r="HX27" s="207">
        <v>2</v>
      </c>
      <c r="HY27" s="207">
        <f t="shared" si="139"/>
        <v>3</v>
      </c>
      <c r="HZ27" s="207">
        <v>1</v>
      </c>
      <c r="IA27" s="207">
        <f t="shared" si="140"/>
        <v>1.125</v>
      </c>
      <c r="IB27" s="207">
        <v>2</v>
      </c>
      <c r="IC27" s="207">
        <f t="shared" si="141"/>
        <v>2</v>
      </c>
      <c r="ID27" s="207">
        <f t="shared" si="142"/>
        <v>6.125</v>
      </c>
      <c r="IE27" s="208">
        <f t="shared" si="143"/>
        <v>107.875</v>
      </c>
      <c r="IF27" s="205">
        <f t="shared" si="144"/>
        <v>16.730135416666666</v>
      </c>
      <c r="IG27" s="206" t="str">
        <f t="shared" si="145"/>
        <v>(1.55)</v>
      </c>
      <c r="IH27" s="21">
        <v>2</v>
      </c>
      <c r="II27" s="21">
        <f t="shared" si="146"/>
        <v>3</v>
      </c>
      <c r="IJ27" s="21">
        <v>1</v>
      </c>
      <c r="IK27" s="21">
        <f t="shared" si="147"/>
        <v>1.125</v>
      </c>
      <c r="IL27" s="21">
        <v>2</v>
      </c>
      <c r="IM27" s="21">
        <f t="shared" si="148"/>
        <v>2</v>
      </c>
      <c r="IN27" s="21">
        <f t="shared" si="149"/>
        <v>6.125</v>
      </c>
      <c r="IO27" s="22">
        <f t="shared" si="150"/>
        <v>113.875</v>
      </c>
      <c r="IP27" s="23"/>
      <c r="IQ27" s="24">
        <v>7</v>
      </c>
      <c r="IR27" s="25">
        <v>2.5</v>
      </c>
      <c r="IS27" s="25">
        <v>2.8079999999999998</v>
      </c>
      <c r="IT27" s="25">
        <v>1.8080000000000001</v>
      </c>
      <c r="IU27" s="25">
        <v>1.5</v>
      </c>
      <c r="IV27" s="25">
        <v>1</v>
      </c>
      <c r="IW27" s="25">
        <v>1.125</v>
      </c>
      <c r="IX27" s="7"/>
    </row>
    <row r="28" spans="2:258" ht="15.75" thickBot="1" x14ac:dyDescent="0.3">
      <c r="B28" s="79">
        <f t="shared" si="9"/>
        <v>66</v>
      </c>
      <c r="C28" s="147">
        <v>12</v>
      </c>
      <c r="D28" s="487"/>
      <c r="E28" s="468">
        <f t="shared" si="0"/>
        <v>0.38945454545454544</v>
      </c>
      <c r="F28" s="468">
        <f t="shared" si="1"/>
        <v>0.43272727272727263</v>
      </c>
      <c r="G28" s="468">
        <f t="shared" si="2"/>
        <v>0.45436363636363636</v>
      </c>
      <c r="H28" s="468">
        <f t="shared" si="3"/>
        <v>0.46734545454545451</v>
      </c>
      <c r="I28" s="468">
        <f t="shared" si="4"/>
        <v>0.47599999999999998</v>
      </c>
      <c r="J28" s="468">
        <f t="shared" si="5"/>
        <v>0.48218181818181816</v>
      </c>
      <c r="K28" s="468">
        <f t="shared" si="6"/>
        <v>0.48681818181818187</v>
      </c>
      <c r="L28" s="468">
        <f t="shared" si="7"/>
        <v>0.48080808080808074</v>
      </c>
      <c r="M28" s="468">
        <f t="shared" si="8"/>
        <v>0.48465454545454545</v>
      </c>
      <c r="N28" s="488"/>
      <c r="O28" s="488"/>
      <c r="P28" s="488"/>
      <c r="Q28" s="488"/>
      <c r="R28" s="488"/>
      <c r="S28" s="488"/>
      <c r="T28" s="488"/>
      <c r="U28" s="488"/>
      <c r="V28" s="488"/>
      <c r="W28" s="488"/>
      <c r="X28" s="76"/>
      <c r="Y28" s="46"/>
      <c r="AA28" s="61"/>
      <c r="AT28" s="3"/>
      <c r="AU28" s="13">
        <f t="shared" si="151"/>
        <v>48</v>
      </c>
      <c r="AV28" s="11" t="str">
        <f t="shared" si="10"/>
        <v>(1200)</v>
      </c>
      <c r="AW28" s="18"/>
      <c r="AX28" s="19">
        <f t="shared" si="11"/>
        <v>1.036375</v>
      </c>
      <c r="AY28" s="20" t="str">
        <f t="shared" si="12"/>
        <v>(0.10)</v>
      </c>
      <c r="AZ28" s="21">
        <v>2</v>
      </c>
      <c r="BA28" s="21">
        <f t="shared" si="13"/>
        <v>3</v>
      </c>
      <c r="BB28" s="21">
        <v>0</v>
      </c>
      <c r="BC28" s="21">
        <f t="shared" si="14"/>
        <v>0</v>
      </c>
      <c r="BD28" s="21">
        <v>0</v>
      </c>
      <c r="BE28" s="21">
        <f t="shared" si="15"/>
        <v>0</v>
      </c>
      <c r="BF28" s="21">
        <f t="shared" si="16"/>
        <v>3</v>
      </c>
      <c r="BG28" s="22">
        <f t="shared" si="17"/>
        <v>6</v>
      </c>
      <c r="BH28" s="205">
        <f t="shared" si="18"/>
        <v>1.5545624999999998</v>
      </c>
      <c r="BI28" s="206" t="str">
        <f t="shared" si="19"/>
        <v>(0.14)</v>
      </c>
      <c r="BJ28" s="207">
        <v>2</v>
      </c>
      <c r="BK28" s="207">
        <f t="shared" si="20"/>
        <v>3</v>
      </c>
      <c r="BL28" s="207">
        <v>0</v>
      </c>
      <c r="BM28" s="207">
        <f t="shared" si="21"/>
        <v>0</v>
      </c>
      <c r="BN28" s="207">
        <v>0</v>
      </c>
      <c r="BO28" s="207">
        <f t="shared" si="22"/>
        <v>0</v>
      </c>
      <c r="BP28" s="207">
        <f t="shared" si="23"/>
        <v>3</v>
      </c>
      <c r="BQ28" s="208">
        <f t="shared" si="24"/>
        <v>9</v>
      </c>
      <c r="BR28" s="205">
        <f t="shared" si="25"/>
        <v>2.5909374999999999</v>
      </c>
      <c r="BS28" s="206" t="str">
        <f t="shared" si="26"/>
        <v>(0.24)</v>
      </c>
      <c r="BT28" s="207">
        <v>2</v>
      </c>
      <c r="BU28" s="207">
        <f t="shared" si="27"/>
        <v>3</v>
      </c>
      <c r="BV28" s="207">
        <v>0</v>
      </c>
      <c r="BW28" s="207">
        <f t="shared" si="28"/>
        <v>0</v>
      </c>
      <c r="BX28" s="207">
        <v>0</v>
      </c>
      <c r="BY28" s="207">
        <f t="shared" si="29"/>
        <v>0</v>
      </c>
      <c r="BZ28" s="207">
        <f t="shared" si="30"/>
        <v>3</v>
      </c>
      <c r="CA28" s="208">
        <f t="shared" si="31"/>
        <v>15</v>
      </c>
      <c r="CB28" s="205">
        <f t="shared" si="32"/>
        <v>3.6273124999999999</v>
      </c>
      <c r="CC28" s="206" t="str">
        <f t="shared" si="33"/>
        <v>(0.34)</v>
      </c>
      <c r="CD28" s="207">
        <v>2</v>
      </c>
      <c r="CE28" s="207">
        <f t="shared" si="34"/>
        <v>3</v>
      </c>
      <c r="CF28" s="207">
        <v>0</v>
      </c>
      <c r="CG28" s="207">
        <f t="shared" si="35"/>
        <v>0</v>
      </c>
      <c r="CH28" s="207">
        <v>0</v>
      </c>
      <c r="CI28" s="207">
        <f t="shared" si="36"/>
        <v>0</v>
      </c>
      <c r="CJ28" s="207">
        <f t="shared" si="37"/>
        <v>3</v>
      </c>
      <c r="CK28" s="208">
        <f t="shared" si="38"/>
        <v>21</v>
      </c>
      <c r="CL28" s="205">
        <f t="shared" si="39"/>
        <v>4.6636874999999991</v>
      </c>
      <c r="CM28" s="206" t="str">
        <f t="shared" si="40"/>
        <v>(0.43)</v>
      </c>
      <c r="CN28" s="207">
        <v>2</v>
      </c>
      <c r="CO28" s="207">
        <f t="shared" si="41"/>
        <v>3</v>
      </c>
      <c r="CP28" s="207">
        <v>0</v>
      </c>
      <c r="CQ28" s="207">
        <f t="shared" si="42"/>
        <v>0</v>
      </c>
      <c r="CR28" s="207">
        <v>0</v>
      </c>
      <c r="CS28" s="207">
        <f t="shared" si="43"/>
        <v>0</v>
      </c>
      <c r="CT28" s="207">
        <f t="shared" si="44"/>
        <v>3</v>
      </c>
      <c r="CU28" s="208">
        <f t="shared" si="45"/>
        <v>27</v>
      </c>
      <c r="CV28" s="205">
        <f t="shared" si="46"/>
        <v>5.7000624999999996</v>
      </c>
      <c r="CW28" s="206" t="str">
        <f t="shared" si="47"/>
        <v>(0.53)</v>
      </c>
      <c r="CX28" s="207">
        <v>2</v>
      </c>
      <c r="CY28" s="207">
        <f t="shared" si="48"/>
        <v>3</v>
      </c>
      <c r="CZ28" s="207">
        <v>0</v>
      </c>
      <c r="DA28" s="207">
        <f t="shared" si="49"/>
        <v>0</v>
      </c>
      <c r="DB28" s="207">
        <v>0</v>
      </c>
      <c r="DC28" s="207">
        <f t="shared" si="50"/>
        <v>0</v>
      </c>
      <c r="DD28" s="207">
        <f t="shared" si="51"/>
        <v>3</v>
      </c>
      <c r="DE28" s="208">
        <f t="shared" si="52"/>
        <v>33</v>
      </c>
      <c r="DF28" s="205">
        <f t="shared" si="53"/>
        <v>6.7364374999999992</v>
      </c>
      <c r="DG28" s="206" t="str">
        <f t="shared" si="54"/>
        <v>(0.63)</v>
      </c>
      <c r="DH28" s="207">
        <v>2</v>
      </c>
      <c r="DI28" s="207">
        <f t="shared" si="55"/>
        <v>3</v>
      </c>
      <c r="DJ28" s="207">
        <v>0</v>
      </c>
      <c r="DK28" s="207">
        <f t="shared" si="56"/>
        <v>0</v>
      </c>
      <c r="DL28" s="207">
        <v>0</v>
      </c>
      <c r="DM28" s="207">
        <f t="shared" si="57"/>
        <v>0</v>
      </c>
      <c r="DN28" s="207">
        <f t="shared" si="58"/>
        <v>3</v>
      </c>
      <c r="DO28" s="208">
        <f t="shared" si="59"/>
        <v>39</v>
      </c>
      <c r="DP28" s="209">
        <f t="shared" si="60"/>
        <v>7.7728124999999988</v>
      </c>
      <c r="DQ28" s="210" t="str">
        <f t="shared" si="61"/>
        <v>(0.72)</v>
      </c>
      <c r="DR28" s="207">
        <v>2</v>
      </c>
      <c r="DS28" s="207">
        <f t="shared" si="62"/>
        <v>3</v>
      </c>
      <c r="DT28" s="207">
        <v>0</v>
      </c>
      <c r="DU28" s="207">
        <f t="shared" si="63"/>
        <v>0</v>
      </c>
      <c r="DV28" s="207">
        <v>0</v>
      </c>
      <c r="DW28" s="207">
        <f t="shared" si="64"/>
        <v>0</v>
      </c>
      <c r="DX28" s="207">
        <f t="shared" si="65"/>
        <v>3</v>
      </c>
      <c r="DY28" s="208">
        <f t="shared" si="66"/>
        <v>45</v>
      </c>
      <c r="DZ28" s="205">
        <f t="shared" si="67"/>
        <v>8.6364583333333318</v>
      </c>
      <c r="EA28" s="206" t="str">
        <f t="shared" si="68"/>
        <v>(0.80)</v>
      </c>
      <c r="EB28" s="207">
        <v>2</v>
      </c>
      <c r="EC28" s="207">
        <f t="shared" si="69"/>
        <v>3</v>
      </c>
      <c r="ED28" s="207">
        <v>0</v>
      </c>
      <c r="EE28" s="207">
        <f t="shared" si="70"/>
        <v>0</v>
      </c>
      <c r="EF28" s="207">
        <v>1</v>
      </c>
      <c r="EG28" s="207">
        <f t="shared" si="71"/>
        <v>1</v>
      </c>
      <c r="EH28" s="207">
        <f t="shared" si="72"/>
        <v>4</v>
      </c>
      <c r="EI28" s="208">
        <f t="shared" si="73"/>
        <v>50</v>
      </c>
      <c r="EJ28" s="205">
        <f t="shared" si="74"/>
        <v>9.6728333333333332</v>
      </c>
      <c r="EK28" s="206" t="str">
        <f t="shared" si="75"/>
        <v>(0.90)</v>
      </c>
      <c r="EL28" s="207">
        <v>2</v>
      </c>
      <c r="EM28" s="207">
        <f t="shared" si="76"/>
        <v>3</v>
      </c>
      <c r="EN28" s="207">
        <v>0</v>
      </c>
      <c r="EO28" s="207">
        <f t="shared" si="77"/>
        <v>0</v>
      </c>
      <c r="EP28" s="207">
        <v>1</v>
      </c>
      <c r="EQ28" s="207">
        <f t="shared" si="78"/>
        <v>1</v>
      </c>
      <c r="ER28" s="207">
        <f t="shared" si="79"/>
        <v>4</v>
      </c>
      <c r="ES28" s="208">
        <f t="shared" si="80"/>
        <v>56</v>
      </c>
      <c r="ET28" s="205">
        <f t="shared" si="81"/>
        <v>10.709208333333331</v>
      </c>
      <c r="EU28" s="206" t="str">
        <f t="shared" si="82"/>
        <v>(0.99)</v>
      </c>
      <c r="EV28" s="207">
        <v>2</v>
      </c>
      <c r="EW28" s="207">
        <f t="shared" si="83"/>
        <v>3</v>
      </c>
      <c r="EX28" s="207">
        <v>0</v>
      </c>
      <c r="EY28" s="207">
        <f t="shared" si="84"/>
        <v>0</v>
      </c>
      <c r="EZ28" s="207">
        <v>1</v>
      </c>
      <c r="FA28" s="207">
        <f t="shared" si="85"/>
        <v>1</v>
      </c>
      <c r="FB28" s="207">
        <f t="shared" si="86"/>
        <v>4</v>
      </c>
      <c r="FC28" s="208">
        <f t="shared" si="87"/>
        <v>62</v>
      </c>
      <c r="FD28" s="205">
        <f t="shared" si="88"/>
        <v>11.918312499999999</v>
      </c>
      <c r="FE28" s="206" t="str">
        <f t="shared" si="89"/>
        <v>(1.11)</v>
      </c>
      <c r="FF28" s="207">
        <v>2</v>
      </c>
      <c r="FG28" s="207">
        <f t="shared" si="90"/>
        <v>3</v>
      </c>
      <c r="FH28" s="469">
        <v>0</v>
      </c>
      <c r="FI28" s="207">
        <f t="shared" si="91"/>
        <v>0</v>
      </c>
      <c r="FJ28" s="207">
        <v>0</v>
      </c>
      <c r="FK28" s="207">
        <f t="shared" si="92"/>
        <v>0</v>
      </c>
      <c r="FL28" s="207">
        <f t="shared" si="93"/>
        <v>3</v>
      </c>
      <c r="FM28" s="208">
        <f t="shared" si="94"/>
        <v>69</v>
      </c>
      <c r="FN28" s="205">
        <f t="shared" si="95"/>
        <v>12.7603671875</v>
      </c>
      <c r="FO28" s="206" t="str">
        <f t="shared" si="96"/>
        <v>(1.19)</v>
      </c>
      <c r="FP28" s="207">
        <v>2</v>
      </c>
      <c r="FQ28" s="207">
        <f t="shared" si="97"/>
        <v>3</v>
      </c>
      <c r="FR28" s="207">
        <v>1</v>
      </c>
      <c r="FS28" s="207">
        <f t="shared" si="98"/>
        <v>1.125</v>
      </c>
      <c r="FT28" s="207">
        <v>0</v>
      </c>
      <c r="FU28" s="207">
        <f t="shared" si="99"/>
        <v>0</v>
      </c>
      <c r="FV28" s="207">
        <f t="shared" si="100"/>
        <v>4.125</v>
      </c>
      <c r="FW28" s="208">
        <f t="shared" si="101"/>
        <v>73.875</v>
      </c>
      <c r="FX28" s="205">
        <f t="shared" si="102"/>
        <v>13.796742187499998</v>
      </c>
      <c r="FY28" s="206" t="str">
        <f t="shared" si="103"/>
        <v>(1.28)</v>
      </c>
      <c r="FZ28" s="207">
        <v>2</v>
      </c>
      <c r="GA28" s="207">
        <f t="shared" si="104"/>
        <v>3</v>
      </c>
      <c r="GB28" s="207">
        <v>1</v>
      </c>
      <c r="GC28" s="207">
        <f t="shared" si="105"/>
        <v>1.125</v>
      </c>
      <c r="GD28" s="207">
        <v>0</v>
      </c>
      <c r="GE28" s="207">
        <f t="shared" si="106"/>
        <v>0</v>
      </c>
      <c r="GF28" s="207">
        <f t="shared" si="107"/>
        <v>4.125</v>
      </c>
      <c r="GG28" s="208">
        <f t="shared" si="108"/>
        <v>79.875</v>
      </c>
      <c r="GH28" s="205">
        <f t="shared" si="109"/>
        <v>14.833117187499997</v>
      </c>
      <c r="GI28" s="206" t="str">
        <f t="shared" si="110"/>
        <v>(1.38)</v>
      </c>
      <c r="GJ28" s="207">
        <v>2</v>
      </c>
      <c r="GK28" s="207">
        <f t="shared" si="111"/>
        <v>3</v>
      </c>
      <c r="GL28" s="207">
        <v>1</v>
      </c>
      <c r="GM28" s="207">
        <f t="shared" si="112"/>
        <v>1.125</v>
      </c>
      <c r="GN28" s="207">
        <v>0</v>
      </c>
      <c r="GO28" s="207">
        <f t="shared" si="113"/>
        <v>0</v>
      </c>
      <c r="GP28" s="207">
        <f t="shared" si="114"/>
        <v>4.125</v>
      </c>
      <c r="GQ28" s="208">
        <f t="shared" si="115"/>
        <v>85.875</v>
      </c>
      <c r="GR28" s="205">
        <f t="shared" si="116"/>
        <v>15.869492187499999</v>
      </c>
      <c r="GS28" s="206" t="str">
        <f t="shared" si="117"/>
        <v>(1.47)</v>
      </c>
      <c r="GT28" s="207">
        <v>2</v>
      </c>
      <c r="GU28" s="207">
        <f t="shared" si="118"/>
        <v>3</v>
      </c>
      <c r="GV28" s="207">
        <v>1</v>
      </c>
      <c r="GW28" s="207">
        <f t="shared" si="119"/>
        <v>1.125</v>
      </c>
      <c r="GX28" s="207">
        <v>0</v>
      </c>
      <c r="GY28" s="207">
        <f t="shared" si="120"/>
        <v>0</v>
      </c>
      <c r="GZ28" s="207">
        <f t="shared" si="121"/>
        <v>4.125</v>
      </c>
      <c r="HA28" s="208">
        <f t="shared" si="122"/>
        <v>91.875</v>
      </c>
      <c r="HB28" s="205">
        <f t="shared" si="123"/>
        <v>16.905867187499997</v>
      </c>
      <c r="HC28" s="206" t="str">
        <f t="shared" si="124"/>
        <v>(1.57)</v>
      </c>
      <c r="HD28" s="207">
        <v>2</v>
      </c>
      <c r="HE28" s="207">
        <f t="shared" si="125"/>
        <v>3</v>
      </c>
      <c r="HF28" s="207">
        <v>1</v>
      </c>
      <c r="HG28" s="207">
        <f t="shared" si="126"/>
        <v>1.125</v>
      </c>
      <c r="HH28" s="207">
        <v>0</v>
      </c>
      <c r="HI28" s="207">
        <f t="shared" si="127"/>
        <v>0</v>
      </c>
      <c r="HJ28" s="207">
        <f t="shared" si="128"/>
        <v>4.125</v>
      </c>
      <c r="HK28" s="208">
        <f t="shared" si="129"/>
        <v>97.875</v>
      </c>
      <c r="HL28" s="205">
        <f t="shared" si="130"/>
        <v>17.596783854166667</v>
      </c>
      <c r="HM28" s="206" t="str">
        <f t="shared" si="131"/>
        <v>(1.63)</v>
      </c>
      <c r="HN28" s="207">
        <v>2</v>
      </c>
      <c r="HO28" s="207">
        <f t="shared" si="132"/>
        <v>3</v>
      </c>
      <c r="HP28" s="207">
        <v>1</v>
      </c>
      <c r="HQ28" s="207">
        <f t="shared" si="133"/>
        <v>1.125</v>
      </c>
      <c r="HR28" s="207">
        <v>2</v>
      </c>
      <c r="HS28" s="207">
        <f t="shared" si="134"/>
        <v>2</v>
      </c>
      <c r="HT28" s="207">
        <f t="shared" si="135"/>
        <v>6.125</v>
      </c>
      <c r="HU28" s="208">
        <f t="shared" si="136"/>
        <v>101.875</v>
      </c>
      <c r="HV28" s="205">
        <f t="shared" si="137"/>
        <v>18.633158854166666</v>
      </c>
      <c r="HW28" s="206" t="str">
        <f t="shared" si="138"/>
        <v>(1.73)</v>
      </c>
      <c r="HX28" s="207">
        <v>2</v>
      </c>
      <c r="HY28" s="207">
        <f t="shared" si="139"/>
        <v>3</v>
      </c>
      <c r="HZ28" s="207">
        <v>1</v>
      </c>
      <c r="IA28" s="207">
        <f t="shared" si="140"/>
        <v>1.125</v>
      </c>
      <c r="IB28" s="207">
        <v>2</v>
      </c>
      <c r="IC28" s="207">
        <f t="shared" si="141"/>
        <v>2</v>
      </c>
      <c r="ID28" s="207">
        <f t="shared" si="142"/>
        <v>6.125</v>
      </c>
      <c r="IE28" s="208">
        <f t="shared" si="143"/>
        <v>107.875</v>
      </c>
      <c r="IF28" s="205">
        <f t="shared" si="144"/>
        <v>19.669533854166662</v>
      </c>
      <c r="IG28" s="206" t="str">
        <f t="shared" si="145"/>
        <v>(1.83)</v>
      </c>
      <c r="IH28" s="21">
        <v>2</v>
      </c>
      <c r="II28" s="21">
        <f t="shared" si="146"/>
        <v>3</v>
      </c>
      <c r="IJ28" s="21">
        <v>1</v>
      </c>
      <c r="IK28" s="21">
        <f t="shared" si="147"/>
        <v>1.125</v>
      </c>
      <c r="IL28" s="21">
        <v>2</v>
      </c>
      <c r="IM28" s="21">
        <f t="shared" si="148"/>
        <v>2</v>
      </c>
      <c r="IN28" s="21">
        <f t="shared" si="149"/>
        <v>6.125</v>
      </c>
      <c r="IO28" s="22">
        <f t="shared" si="150"/>
        <v>113.875</v>
      </c>
      <c r="IP28" s="23"/>
      <c r="IQ28" s="24">
        <v>8</v>
      </c>
      <c r="IR28" s="25">
        <v>2.5</v>
      </c>
      <c r="IS28" s="25">
        <v>2.8079999999999998</v>
      </c>
      <c r="IT28" s="25">
        <v>2.7170000000000001</v>
      </c>
      <c r="IU28" s="25">
        <v>1.5</v>
      </c>
      <c r="IV28" s="25">
        <v>1</v>
      </c>
      <c r="IW28" s="25">
        <v>1.125</v>
      </c>
      <c r="IX28" s="7"/>
    </row>
    <row r="29" spans="2:258" ht="15.75" thickBot="1" x14ac:dyDescent="0.3">
      <c r="B29" s="79">
        <f t="shared" si="9"/>
        <v>72</v>
      </c>
      <c r="C29" s="148">
        <v>13</v>
      </c>
      <c r="D29" s="487"/>
      <c r="E29" s="468">
        <f t="shared" si="0"/>
        <v>0.39587499999999998</v>
      </c>
      <c r="F29" s="468">
        <f t="shared" si="1"/>
        <v>0.43986111111111109</v>
      </c>
      <c r="G29" s="468">
        <f t="shared" si="2"/>
        <v>0.46185416666666662</v>
      </c>
      <c r="H29" s="468">
        <f t="shared" si="3"/>
        <v>0.47505000000000003</v>
      </c>
      <c r="I29" s="468">
        <f t="shared" si="4"/>
        <v>0.48384722222222215</v>
      </c>
      <c r="J29" s="468">
        <f t="shared" si="5"/>
        <v>0.49013095238095239</v>
      </c>
      <c r="K29" s="468">
        <f t="shared" si="6"/>
        <v>0.49484374999999997</v>
      </c>
      <c r="L29" s="468">
        <f t="shared" si="7"/>
        <v>0.48873456790123454</v>
      </c>
      <c r="M29" s="468">
        <f t="shared" si="8"/>
        <v>0.49264444444444438</v>
      </c>
      <c r="N29" s="488"/>
      <c r="O29" s="488"/>
      <c r="P29" s="488"/>
      <c r="Q29" s="488"/>
      <c r="R29" s="488"/>
      <c r="S29" s="488"/>
      <c r="T29" s="488"/>
      <c r="U29" s="488"/>
      <c r="V29" s="488"/>
      <c r="W29" s="488"/>
      <c r="X29" s="76"/>
      <c r="Y29" s="46"/>
      <c r="AA29" s="61"/>
      <c r="AT29" s="3"/>
      <c r="AU29" s="13">
        <f t="shared" si="151"/>
        <v>54</v>
      </c>
      <c r="AV29" s="11" t="str">
        <f t="shared" si="10"/>
        <v>(1350)</v>
      </c>
      <c r="AW29" s="18"/>
      <c r="AX29" s="19">
        <f t="shared" si="11"/>
        <v>1.1415833333333334</v>
      </c>
      <c r="AY29" s="20" t="str">
        <f t="shared" si="12"/>
        <v>(0.11)</v>
      </c>
      <c r="AZ29" s="21">
        <v>2</v>
      </c>
      <c r="BA29" s="21">
        <f t="shared" si="13"/>
        <v>3</v>
      </c>
      <c r="BB29" s="21">
        <v>0</v>
      </c>
      <c r="BC29" s="21">
        <f t="shared" si="14"/>
        <v>0</v>
      </c>
      <c r="BD29" s="21">
        <v>0</v>
      </c>
      <c r="BE29" s="21">
        <f t="shared" si="15"/>
        <v>0</v>
      </c>
      <c r="BF29" s="21">
        <f t="shared" si="16"/>
        <v>3</v>
      </c>
      <c r="BG29" s="22">
        <f t="shared" si="17"/>
        <v>6</v>
      </c>
      <c r="BH29" s="205">
        <f t="shared" si="18"/>
        <v>1.712375</v>
      </c>
      <c r="BI29" s="206" t="str">
        <f t="shared" si="19"/>
        <v>(0.16)</v>
      </c>
      <c r="BJ29" s="207">
        <v>2</v>
      </c>
      <c r="BK29" s="207">
        <f t="shared" si="20"/>
        <v>3</v>
      </c>
      <c r="BL29" s="207">
        <v>0</v>
      </c>
      <c r="BM29" s="207">
        <f t="shared" si="21"/>
        <v>0</v>
      </c>
      <c r="BN29" s="207">
        <v>0</v>
      </c>
      <c r="BO29" s="207">
        <f t="shared" si="22"/>
        <v>0</v>
      </c>
      <c r="BP29" s="207">
        <f t="shared" si="23"/>
        <v>3</v>
      </c>
      <c r="BQ29" s="208">
        <f t="shared" si="24"/>
        <v>9</v>
      </c>
      <c r="BR29" s="205">
        <f t="shared" si="25"/>
        <v>2.8539583333333329</v>
      </c>
      <c r="BS29" s="206" t="str">
        <f t="shared" si="26"/>
        <v>(0.27)</v>
      </c>
      <c r="BT29" s="207">
        <v>2</v>
      </c>
      <c r="BU29" s="207">
        <f t="shared" si="27"/>
        <v>3</v>
      </c>
      <c r="BV29" s="207">
        <v>0</v>
      </c>
      <c r="BW29" s="207">
        <f t="shared" si="28"/>
        <v>0</v>
      </c>
      <c r="BX29" s="207">
        <v>0</v>
      </c>
      <c r="BY29" s="207">
        <f t="shared" si="29"/>
        <v>0</v>
      </c>
      <c r="BZ29" s="207">
        <f t="shared" si="30"/>
        <v>3</v>
      </c>
      <c r="CA29" s="208">
        <f t="shared" si="31"/>
        <v>15</v>
      </c>
      <c r="CB29" s="205">
        <f t="shared" si="32"/>
        <v>3.9955416666666661</v>
      </c>
      <c r="CC29" s="206" t="str">
        <f t="shared" si="33"/>
        <v>(0.37)</v>
      </c>
      <c r="CD29" s="207">
        <v>2</v>
      </c>
      <c r="CE29" s="207">
        <f t="shared" si="34"/>
        <v>3</v>
      </c>
      <c r="CF29" s="207">
        <v>0</v>
      </c>
      <c r="CG29" s="207">
        <f t="shared" si="35"/>
        <v>0</v>
      </c>
      <c r="CH29" s="207">
        <v>0</v>
      </c>
      <c r="CI29" s="207">
        <f t="shared" si="36"/>
        <v>0</v>
      </c>
      <c r="CJ29" s="207">
        <f t="shared" si="37"/>
        <v>3</v>
      </c>
      <c r="CK29" s="208">
        <f t="shared" si="38"/>
        <v>21</v>
      </c>
      <c r="CL29" s="205">
        <f t="shared" si="39"/>
        <v>5.1371250000000002</v>
      </c>
      <c r="CM29" s="206" t="str">
        <f t="shared" si="40"/>
        <v>(0.48)</v>
      </c>
      <c r="CN29" s="207">
        <v>2</v>
      </c>
      <c r="CO29" s="207">
        <f t="shared" si="41"/>
        <v>3</v>
      </c>
      <c r="CP29" s="207">
        <v>0</v>
      </c>
      <c r="CQ29" s="207">
        <f t="shared" si="42"/>
        <v>0</v>
      </c>
      <c r="CR29" s="207">
        <v>0</v>
      </c>
      <c r="CS29" s="207">
        <f t="shared" si="43"/>
        <v>0</v>
      </c>
      <c r="CT29" s="207">
        <f t="shared" si="44"/>
        <v>3</v>
      </c>
      <c r="CU29" s="208">
        <f t="shared" si="45"/>
        <v>27</v>
      </c>
      <c r="CV29" s="205">
        <f t="shared" si="46"/>
        <v>6.2787083333333333</v>
      </c>
      <c r="CW29" s="206" t="str">
        <f t="shared" si="47"/>
        <v>(0.58)</v>
      </c>
      <c r="CX29" s="207">
        <v>2</v>
      </c>
      <c r="CY29" s="207">
        <f t="shared" si="48"/>
        <v>3</v>
      </c>
      <c r="CZ29" s="207">
        <v>0</v>
      </c>
      <c r="DA29" s="207">
        <f t="shared" si="49"/>
        <v>0</v>
      </c>
      <c r="DB29" s="207">
        <v>0</v>
      </c>
      <c r="DC29" s="207">
        <f t="shared" si="50"/>
        <v>0</v>
      </c>
      <c r="DD29" s="207">
        <f t="shared" si="51"/>
        <v>3</v>
      </c>
      <c r="DE29" s="208">
        <f t="shared" si="52"/>
        <v>33</v>
      </c>
      <c r="DF29" s="205">
        <f t="shared" si="53"/>
        <v>7.4202916666666665</v>
      </c>
      <c r="DG29" s="206" t="str">
        <f t="shared" si="54"/>
        <v>(0.69)</v>
      </c>
      <c r="DH29" s="207">
        <v>2</v>
      </c>
      <c r="DI29" s="207">
        <f t="shared" si="55"/>
        <v>3</v>
      </c>
      <c r="DJ29" s="207">
        <v>0</v>
      </c>
      <c r="DK29" s="207">
        <f t="shared" si="56"/>
        <v>0</v>
      </c>
      <c r="DL29" s="207">
        <v>0</v>
      </c>
      <c r="DM29" s="207">
        <f t="shared" si="57"/>
        <v>0</v>
      </c>
      <c r="DN29" s="207">
        <f t="shared" si="58"/>
        <v>3</v>
      </c>
      <c r="DO29" s="208">
        <f t="shared" si="59"/>
        <v>39</v>
      </c>
      <c r="DP29" s="205">
        <f t="shared" si="60"/>
        <v>8.5618750000000006</v>
      </c>
      <c r="DQ29" s="206" t="str">
        <f t="shared" si="61"/>
        <v>(0.8)</v>
      </c>
      <c r="DR29" s="207">
        <v>2</v>
      </c>
      <c r="DS29" s="207">
        <f t="shared" si="62"/>
        <v>3</v>
      </c>
      <c r="DT29" s="207">
        <v>0</v>
      </c>
      <c r="DU29" s="207">
        <f t="shared" si="63"/>
        <v>0</v>
      </c>
      <c r="DV29" s="207">
        <v>0</v>
      </c>
      <c r="DW29" s="207">
        <f t="shared" si="64"/>
        <v>0</v>
      </c>
      <c r="DX29" s="207">
        <f t="shared" si="65"/>
        <v>3</v>
      </c>
      <c r="DY29" s="208">
        <f t="shared" si="66"/>
        <v>45</v>
      </c>
      <c r="DZ29" s="205">
        <f t="shared" si="67"/>
        <v>9.5131944444444443</v>
      </c>
      <c r="EA29" s="206" t="str">
        <f t="shared" si="68"/>
        <v>(0.88)</v>
      </c>
      <c r="EB29" s="207">
        <v>2</v>
      </c>
      <c r="EC29" s="207">
        <f t="shared" si="69"/>
        <v>3</v>
      </c>
      <c r="ED29" s="207">
        <v>0</v>
      </c>
      <c r="EE29" s="207">
        <f t="shared" si="70"/>
        <v>0</v>
      </c>
      <c r="EF29" s="207">
        <v>1</v>
      </c>
      <c r="EG29" s="207">
        <f t="shared" si="71"/>
        <v>1</v>
      </c>
      <c r="EH29" s="207">
        <f t="shared" si="72"/>
        <v>4</v>
      </c>
      <c r="EI29" s="208">
        <f t="shared" si="73"/>
        <v>50</v>
      </c>
      <c r="EJ29" s="205">
        <f t="shared" si="74"/>
        <v>10.654777777777777</v>
      </c>
      <c r="EK29" s="206" t="str">
        <f t="shared" si="75"/>
        <v>(0.99)</v>
      </c>
      <c r="EL29" s="207">
        <v>2</v>
      </c>
      <c r="EM29" s="207">
        <f t="shared" si="76"/>
        <v>3</v>
      </c>
      <c r="EN29" s="207">
        <v>0</v>
      </c>
      <c r="EO29" s="207">
        <f t="shared" si="77"/>
        <v>0</v>
      </c>
      <c r="EP29" s="207">
        <v>1</v>
      </c>
      <c r="EQ29" s="207">
        <f t="shared" si="78"/>
        <v>1</v>
      </c>
      <c r="ER29" s="207">
        <f t="shared" si="79"/>
        <v>4</v>
      </c>
      <c r="ES29" s="208">
        <f t="shared" si="80"/>
        <v>56</v>
      </c>
      <c r="ET29" s="205">
        <f t="shared" si="81"/>
        <v>11.796361111111111</v>
      </c>
      <c r="EU29" s="206" t="str">
        <f t="shared" si="82"/>
        <v>(1.10)</v>
      </c>
      <c r="EV29" s="207">
        <v>2</v>
      </c>
      <c r="EW29" s="207">
        <f t="shared" si="83"/>
        <v>3</v>
      </c>
      <c r="EX29" s="207">
        <v>0</v>
      </c>
      <c r="EY29" s="207">
        <f t="shared" si="84"/>
        <v>0</v>
      </c>
      <c r="EZ29" s="207">
        <v>1</v>
      </c>
      <c r="FA29" s="207">
        <f t="shared" si="85"/>
        <v>1</v>
      </c>
      <c r="FB29" s="207">
        <f t="shared" si="86"/>
        <v>4</v>
      </c>
      <c r="FC29" s="208">
        <f t="shared" si="87"/>
        <v>62</v>
      </c>
      <c r="FD29" s="205">
        <f t="shared" si="88"/>
        <v>13.128208333333333</v>
      </c>
      <c r="FE29" s="206" t="str">
        <f t="shared" si="89"/>
        <v>(1.22)</v>
      </c>
      <c r="FF29" s="207">
        <v>2</v>
      </c>
      <c r="FG29" s="207">
        <f t="shared" si="90"/>
        <v>3</v>
      </c>
      <c r="FH29" s="469">
        <v>0</v>
      </c>
      <c r="FI29" s="207">
        <f t="shared" si="91"/>
        <v>0</v>
      </c>
      <c r="FJ29" s="207">
        <v>0</v>
      </c>
      <c r="FK29" s="207">
        <f t="shared" si="92"/>
        <v>0</v>
      </c>
      <c r="FL29" s="207">
        <f t="shared" si="93"/>
        <v>3</v>
      </c>
      <c r="FM29" s="208">
        <f t="shared" si="94"/>
        <v>69</v>
      </c>
      <c r="FN29" s="205">
        <f t="shared" si="95"/>
        <v>14.055744791666665</v>
      </c>
      <c r="FO29" s="206" t="str">
        <f t="shared" si="96"/>
        <v>(1.31)</v>
      </c>
      <c r="FP29" s="207">
        <v>2</v>
      </c>
      <c r="FQ29" s="207">
        <f t="shared" si="97"/>
        <v>3</v>
      </c>
      <c r="FR29" s="207">
        <v>1</v>
      </c>
      <c r="FS29" s="207">
        <f t="shared" si="98"/>
        <v>1.125</v>
      </c>
      <c r="FT29" s="207">
        <v>0</v>
      </c>
      <c r="FU29" s="207">
        <f t="shared" si="99"/>
        <v>0</v>
      </c>
      <c r="FV29" s="207">
        <f t="shared" si="100"/>
        <v>4.125</v>
      </c>
      <c r="FW29" s="208">
        <f t="shared" si="101"/>
        <v>73.875</v>
      </c>
      <c r="FX29" s="205">
        <f t="shared" si="102"/>
        <v>15.197328125</v>
      </c>
      <c r="FY29" s="206" t="str">
        <f t="shared" si="103"/>
        <v>(1.41)</v>
      </c>
      <c r="FZ29" s="207">
        <v>2</v>
      </c>
      <c r="GA29" s="207">
        <f t="shared" si="104"/>
        <v>3</v>
      </c>
      <c r="GB29" s="207">
        <v>1</v>
      </c>
      <c r="GC29" s="207">
        <f t="shared" si="105"/>
        <v>1.125</v>
      </c>
      <c r="GD29" s="207">
        <v>0</v>
      </c>
      <c r="GE29" s="207">
        <f t="shared" si="106"/>
        <v>0</v>
      </c>
      <c r="GF29" s="207">
        <f t="shared" si="107"/>
        <v>4.125</v>
      </c>
      <c r="GG29" s="208">
        <f t="shared" si="108"/>
        <v>79.875</v>
      </c>
      <c r="GH29" s="205">
        <f t="shared" si="109"/>
        <v>16.338911458333332</v>
      </c>
      <c r="GI29" s="206" t="str">
        <f t="shared" si="110"/>
        <v>(1.52)</v>
      </c>
      <c r="GJ29" s="207">
        <v>2</v>
      </c>
      <c r="GK29" s="207">
        <f t="shared" si="111"/>
        <v>3</v>
      </c>
      <c r="GL29" s="207">
        <v>1</v>
      </c>
      <c r="GM29" s="207">
        <f t="shared" si="112"/>
        <v>1.125</v>
      </c>
      <c r="GN29" s="207">
        <v>0</v>
      </c>
      <c r="GO29" s="207">
        <f t="shared" si="113"/>
        <v>0</v>
      </c>
      <c r="GP29" s="207">
        <f t="shared" si="114"/>
        <v>4.125</v>
      </c>
      <c r="GQ29" s="208">
        <f t="shared" si="115"/>
        <v>85.875</v>
      </c>
      <c r="GR29" s="205">
        <f t="shared" si="116"/>
        <v>17.480494791666665</v>
      </c>
      <c r="GS29" s="206" t="str">
        <f t="shared" si="117"/>
        <v>(1.62)</v>
      </c>
      <c r="GT29" s="207">
        <v>2</v>
      </c>
      <c r="GU29" s="207">
        <f t="shared" si="118"/>
        <v>3</v>
      </c>
      <c r="GV29" s="207">
        <v>1</v>
      </c>
      <c r="GW29" s="207">
        <f t="shared" si="119"/>
        <v>1.125</v>
      </c>
      <c r="GX29" s="207">
        <v>0</v>
      </c>
      <c r="GY29" s="207">
        <f t="shared" si="120"/>
        <v>0</v>
      </c>
      <c r="GZ29" s="207">
        <f t="shared" si="121"/>
        <v>4.125</v>
      </c>
      <c r="HA29" s="208">
        <f t="shared" si="122"/>
        <v>91.875</v>
      </c>
      <c r="HB29" s="205">
        <f t="shared" si="123"/>
        <v>18.622078124999998</v>
      </c>
      <c r="HC29" s="206" t="str">
        <f t="shared" si="124"/>
        <v>(1.73)</v>
      </c>
      <c r="HD29" s="207">
        <v>2</v>
      </c>
      <c r="HE29" s="207">
        <f t="shared" si="125"/>
        <v>3</v>
      </c>
      <c r="HF29" s="207">
        <v>1</v>
      </c>
      <c r="HG29" s="207">
        <f t="shared" si="126"/>
        <v>1.125</v>
      </c>
      <c r="HH29" s="207">
        <v>0</v>
      </c>
      <c r="HI29" s="207">
        <f t="shared" si="127"/>
        <v>0</v>
      </c>
      <c r="HJ29" s="207">
        <f t="shared" si="128"/>
        <v>4.125</v>
      </c>
      <c r="HK29" s="208">
        <f t="shared" si="129"/>
        <v>97.875</v>
      </c>
      <c r="HL29" s="205">
        <f t="shared" si="130"/>
        <v>19.383133680555556</v>
      </c>
      <c r="HM29" s="206" t="str">
        <f t="shared" si="131"/>
        <v>(1.80)</v>
      </c>
      <c r="HN29" s="207">
        <v>2</v>
      </c>
      <c r="HO29" s="207">
        <f t="shared" si="132"/>
        <v>3</v>
      </c>
      <c r="HP29" s="207">
        <v>1</v>
      </c>
      <c r="HQ29" s="207">
        <f t="shared" si="133"/>
        <v>1.125</v>
      </c>
      <c r="HR29" s="207">
        <v>2</v>
      </c>
      <c r="HS29" s="207">
        <f t="shared" si="134"/>
        <v>2</v>
      </c>
      <c r="HT29" s="207">
        <f t="shared" si="135"/>
        <v>6.125</v>
      </c>
      <c r="HU29" s="208">
        <f t="shared" si="136"/>
        <v>101.875</v>
      </c>
      <c r="HV29" s="205">
        <f t="shared" si="137"/>
        <v>20.524717013888889</v>
      </c>
      <c r="HW29" s="206" t="str">
        <f t="shared" si="138"/>
        <v>(1.91)</v>
      </c>
      <c r="HX29" s="207">
        <v>2</v>
      </c>
      <c r="HY29" s="207">
        <f t="shared" si="139"/>
        <v>3</v>
      </c>
      <c r="HZ29" s="207">
        <v>1</v>
      </c>
      <c r="IA29" s="207">
        <f t="shared" si="140"/>
        <v>1.125</v>
      </c>
      <c r="IB29" s="207">
        <v>2</v>
      </c>
      <c r="IC29" s="207">
        <f t="shared" si="141"/>
        <v>2</v>
      </c>
      <c r="ID29" s="207">
        <f t="shared" si="142"/>
        <v>6.125</v>
      </c>
      <c r="IE29" s="208">
        <f t="shared" si="143"/>
        <v>107.875</v>
      </c>
      <c r="IF29" s="205">
        <f t="shared" si="144"/>
        <v>21.666300347222222</v>
      </c>
      <c r="IG29" s="206" t="str">
        <f t="shared" si="145"/>
        <v>(2.01)</v>
      </c>
      <c r="IH29" s="21">
        <v>2</v>
      </c>
      <c r="II29" s="21">
        <f t="shared" si="146"/>
        <v>3</v>
      </c>
      <c r="IJ29" s="21">
        <v>1</v>
      </c>
      <c r="IK29" s="21">
        <f t="shared" si="147"/>
        <v>1.125</v>
      </c>
      <c r="IL29" s="21">
        <v>2</v>
      </c>
      <c r="IM29" s="21">
        <f t="shared" si="148"/>
        <v>2</v>
      </c>
      <c r="IN29" s="21">
        <f t="shared" si="149"/>
        <v>6.125</v>
      </c>
      <c r="IO29" s="22">
        <f t="shared" si="150"/>
        <v>113.875</v>
      </c>
      <c r="IP29" s="23"/>
      <c r="IQ29" s="24">
        <v>9</v>
      </c>
      <c r="IR29" s="25">
        <v>2.5</v>
      </c>
      <c r="IS29" s="25">
        <v>2.8079999999999998</v>
      </c>
      <c r="IT29" s="25">
        <v>2.4340000000000002</v>
      </c>
      <c r="IU29" s="25">
        <v>1.5</v>
      </c>
      <c r="IV29" s="25">
        <v>1</v>
      </c>
      <c r="IW29" s="25">
        <v>1.125</v>
      </c>
      <c r="IX29" s="7"/>
    </row>
    <row r="30" spans="2:258" ht="15.75" thickBot="1" x14ac:dyDescent="0.3">
      <c r="B30" s="79">
        <f t="shared" si="9"/>
        <v>78</v>
      </c>
      <c r="C30" s="147">
        <v>14</v>
      </c>
      <c r="D30" s="487"/>
      <c r="E30" s="488"/>
      <c r="F30" s="488"/>
      <c r="G30" s="488"/>
      <c r="H30" s="488"/>
      <c r="I30" s="488"/>
      <c r="J30" s="488"/>
      <c r="K30" s="488"/>
      <c r="L30" s="488"/>
      <c r="M30" s="488"/>
      <c r="N30" s="488"/>
      <c r="O30" s="488"/>
      <c r="P30" s="488"/>
      <c r="Q30" s="488"/>
      <c r="R30" s="488"/>
      <c r="S30" s="488"/>
      <c r="T30" s="488"/>
      <c r="U30" s="488"/>
      <c r="V30" s="488"/>
      <c r="W30" s="488"/>
      <c r="X30" s="76"/>
      <c r="Y30" s="46"/>
      <c r="AT30" s="3"/>
      <c r="AU30" s="26">
        <f t="shared" si="151"/>
        <v>60</v>
      </c>
      <c r="AV30" s="27" t="str">
        <f t="shared" si="10"/>
        <v>(1500)</v>
      </c>
      <c r="AW30" s="18"/>
      <c r="AX30" s="19">
        <f t="shared" si="11"/>
        <v>1.2778333333333332</v>
      </c>
      <c r="AY30" s="28" t="str">
        <f t="shared" si="12"/>
        <v>(0.12)</v>
      </c>
      <c r="AZ30" s="21">
        <v>2</v>
      </c>
      <c r="BA30" s="21">
        <f t="shared" si="13"/>
        <v>3</v>
      </c>
      <c r="BB30" s="29">
        <v>0</v>
      </c>
      <c r="BC30" s="21">
        <f t="shared" si="14"/>
        <v>0</v>
      </c>
      <c r="BD30" s="29">
        <v>0</v>
      </c>
      <c r="BE30" s="21">
        <f t="shared" si="15"/>
        <v>0</v>
      </c>
      <c r="BF30" s="21">
        <f t="shared" si="16"/>
        <v>3</v>
      </c>
      <c r="BG30" s="22">
        <f t="shared" si="17"/>
        <v>6</v>
      </c>
      <c r="BH30" s="205">
        <f t="shared" si="18"/>
        <v>1.91675</v>
      </c>
      <c r="BI30" s="206" t="str">
        <f t="shared" si="19"/>
        <v>(0.18)</v>
      </c>
      <c r="BJ30" s="207">
        <v>2</v>
      </c>
      <c r="BK30" s="207">
        <f t="shared" si="20"/>
        <v>3</v>
      </c>
      <c r="BL30" s="207">
        <v>0</v>
      </c>
      <c r="BM30" s="207">
        <f t="shared" si="21"/>
        <v>0</v>
      </c>
      <c r="BN30" s="207">
        <v>0</v>
      </c>
      <c r="BO30" s="207">
        <f t="shared" si="22"/>
        <v>0</v>
      </c>
      <c r="BP30" s="207">
        <f t="shared" si="23"/>
        <v>3</v>
      </c>
      <c r="BQ30" s="208">
        <f t="shared" si="24"/>
        <v>9</v>
      </c>
      <c r="BR30" s="205">
        <f t="shared" si="25"/>
        <v>3.1945833333333331</v>
      </c>
      <c r="BS30" s="206" t="str">
        <f t="shared" si="26"/>
        <v>(0.3)</v>
      </c>
      <c r="BT30" s="207">
        <v>2</v>
      </c>
      <c r="BU30" s="207">
        <f t="shared" si="27"/>
        <v>3</v>
      </c>
      <c r="BV30" s="207">
        <v>0</v>
      </c>
      <c r="BW30" s="207">
        <f t="shared" si="28"/>
        <v>0</v>
      </c>
      <c r="BX30" s="207">
        <v>0</v>
      </c>
      <c r="BY30" s="207">
        <f t="shared" si="29"/>
        <v>0</v>
      </c>
      <c r="BZ30" s="207">
        <f t="shared" si="30"/>
        <v>3</v>
      </c>
      <c r="CA30" s="208">
        <f t="shared" si="31"/>
        <v>15</v>
      </c>
      <c r="CB30" s="205">
        <f t="shared" si="32"/>
        <v>4.4724166666666667</v>
      </c>
      <c r="CC30" s="206" t="str">
        <f t="shared" si="33"/>
        <v>(0.42)</v>
      </c>
      <c r="CD30" s="207">
        <v>2</v>
      </c>
      <c r="CE30" s="207">
        <f t="shared" si="34"/>
        <v>3</v>
      </c>
      <c r="CF30" s="207">
        <v>0</v>
      </c>
      <c r="CG30" s="207">
        <f t="shared" si="35"/>
        <v>0</v>
      </c>
      <c r="CH30" s="207">
        <v>0</v>
      </c>
      <c r="CI30" s="207">
        <f t="shared" si="36"/>
        <v>0</v>
      </c>
      <c r="CJ30" s="207">
        <f t="shared" si="37"/>
        <v>3</v>
      </c>
      <c r="CK30" s="208">
        <f t="shared" si="38"/>
        <v>21</v>
      </c>
      <c r="CL30" s="205">
        <f t="shared" si="39"/>
        <v>5.7502499999999994</v>
      </c>
      <c r="CM30" s="206" t="str">
        <f t="shared" si="40"/>
        <v>(0.53)</v>
      </c>
      <c r="CN30" s="207">
        <v>2</v>
      </c>
      <c r="CO30" s="207">
        <f t="shared" si="41"/>
        <v>3</v>
      </c>
      <c r="CP30" s="207">
        <v>0</v>
      </c>
      <c r="CQ30" s="207">
        <f t="shared" si="42"/>
        <v>0</v>
      </c>
      <c r="CR30" s="207">
        <v>0</v>
      </c>
      <c r="CS30" s="207">
        <f t="shared" si="43"/>
        <v>0</v>
      </c>
      <c r="CT30" s="207">
        <f t="shared" si="44"/>
        <v>3</v>
      </c>
      <c r="CU30" s="208">
        <f t="shared" si="45"/>
        <v>27</v>
      </c>
      <c r="CV30" s="205">
        <f t="shared" si="46"/>
        <v>7.028083333333333</v>
      </c>
      <c r="CW30" s="206" t="str">
        <f t="shared" si="47"/>
        <v>(0.65)</v>
      </c>
      <c r="CX30" s="207">
        <v>2</v>
      </c>
      <c r="CY30" s="207">
        <f t="shared" si="48"/>
        <v>3</v>
      </c>
      <c r="CZ30" s="207">
        <v>0</v>
      </c>
      <c r="DA30" s="207">
        <f t="shared" si="49"/>
        <v>0</v>
      </c>
      <c r="DB30" s="207">
        <v>0</v>
      </c>
      <c r="DC30" s="207">
        <f t="shared" si="50"/>
        <v>0</v>
      </c>
      <c r="DD30" s="207">
        <f t="shared" si="51"/>
        <v>3</v>
      </c>
      <c r="DE30" s="208">
        <f t="shared" si="52"/>
        <v>33</v>
      </c>
      <c r="DF30" s="205">
        <f t="shared" si="53"/>
        <v>8.3059166666666666</v>
      </c>
      <c r="DG30" s="206" t="str">
        <f t="shared" si="54"/>
        <v>(0.77)</v>
      </c>
      <c r="DH30" s="207">
        <v>2</v>
      </c>
      <c r="DI30" s="207">
        <f t="shared" si="55"/>
        <v>3</v>
      </c>
      <c r="DJ30" s="207">
        <v>0</v>
      </c>
      <c r="DK30" s="207">
        <f t="shared" si="56"/>
        <v>0</v>
      </c>
      <c r="DL30" s="207">
        <v>0</v>
      </c>
      <c r="DM30" s="207">
        <f t="shared" si="57"/>
        <v>0</v>
      </c>
      <c r="DN30" s="207">
        <f t="shared" si="58"/>
        <v>3</v>
      </c>
      <c r="DO30" s="208">
        <f t="shared" si="59"/>
        <v>39</v>
      </c>
      <c r="DP30" s="205">
        <f t="shared" si="60"/>
        <v>9.5837500000000002</v>
      </c>
      <c r="DQ30" s="206" t="str">
        <f t="shared" si="61"/>
        <v>(0.89)</v>
      </c>
      <c r="DR30" s="207">
        <v>2</v>
      </c>
      <c r="DS30" s="207">
        <f t="shared" si="62"/>
        <v>3</v>
      </c>
      <c r="DT30" s="207">
        <v>0</v>
      </c>
      <c r="DU30" s="207">
        <f t="shared" si="63"/>
        <v>0</v>
      </c>
      <c r="DV30" s="207">
        <v>0</v>
      </c>
      <c r="DW30" s="207">
        <f t="shared" si="64"/>
        <v>0</v>
      </c>
      <c r="DX30" s="207">
        <f t="shared" si="65"/>
        <v>3</v>
      </c>
      <c r="DY30" s="208">
        <f t="shared" si="66"/>
        <v>45</v>
      </c>
      <c r="DZ30" s="205">
        <f t="shared" si="67"/>
        <v>10.64861111111111</v>
      </c>
      <c r="EA30" s="206" t="str">
        <f t="shared" si="68"/>
        <v>(0.99)</v>
      </c>
      <c r="EB30" s="207">
        <v>2</v>
      </c>
      <c r="EC30" s="207">
        <f t="shared" si="69"/>
        <v>3</v>
      </c>
      <c r="ED30" s="207">
        <v>0</v>
      </c>
      <c r="EE30" s="207">
        <f t="shared" si="70"/>
        <v>0</v>
      </c>
      <c r="EF30" s="207">
        <v>1</v>
      </c>
      <c r="EG30" s="207">
        <f t="shared" si="71"/>
        <v>1</v>
      </c>
      <c r="EH30" s="207">
        <f t="shared" si="72"/>
        <v>4</v>
      </c>
      <c r="EI30" s="208">
        <f t="shared" si="73"/>
        <v>50</v>
      </c>
      <c r="EJ30" s="205">
        <f t="shared" si="74"/>
        <v>11.926444444444444</v>
      </c>
      <c r="EK30" s="206" t="str">
        <f t="shared" si="75"/>
        <v>(1.11)</v>
      </c>
      <c r="EL30" s="207">
        <v>2</v>
      </c>
      <c r="EM30" s="207">
        <f t="shared" si="76"/>
        <v>3</v>
      </c>
      <c r="EN30" s="207">
        <v>0</v>
      </c>
      <c r="EO30" s="207">
        <f t="shared" si="77"/>
        <v>0</v>
      </c>
      <c r="EP30" s="207">
        <v>1</v>
      </c>
      <c r="EQ30" s="207">
        <f t="shared" si="78"/>
        <v>1</v>
      </c>
      <c r="ER30" s="207">
        <f t="shared" si="79"/>
        <v>4</v>
      </c>
      <c r="ES30" s="208">
        <f t="shared" si="80"/>
        <v>56</v>
      </c>
      <c r="ET30" s="205">
        <f t="shared" si="81"/>
        <v>13.204277777777778</v>
      </c>
      <c r="EU30" s="206" t="str">
        <f t="shared" si="82"/>
        <v>(1.23)</v>
      </c>
      <c r="EV30" s="207">
        <v>2</v>
      </c>
      <c r="EW30" s="207">
        <f t="shared" si="83"/>
        <v>3</v>
      </c>
      <c r="EX30" s="207">
        <v>0</v>
      </c>
      <c r="EY30" s="207">
        <f t="shared" si="84"/>
        <v>0</v>
      </c>
      <c r="EZ30" s="207">
        <v>1</v>
      </c>
      <c r="FA30" s="207">
        <f t="shared" si="85"/>
        <v>1</v>
      </c>
      <c r="FB30" s="207">
        <f t="shared" si="86"/>
        <v>4</v>
      </c>
      <c r="FC30" s="208">
        <f t="shared" si="87"/>
        <v>62</v>
      </c>
      <c r="FD30" s="205">
        <f t="shared" si="88"/>
        <v>14.695083333333335</v>
      </c>
      <c r="FE30" s="206" t="str">
        <f t="shared" si="89"/>
        <v>(1.37)</v>
      </c>
      <c r="FF30" s="207">
        <v>2</v>
      </c>
      <c r="FG30" s="207">
        <f t="shared" si="90"/>
        <v>3</v>
      </c>
      <c r="FH30" s="469">
        <v>0</v>
      </c>
      <c r="FI30" s="207">
        <f t="shared" si="91"/>
        <v>0</v>
      </c>
      <c r="FJ30" s="207">
        <v>0</v>
      </c>
      <c r="FK30" s="207">
        <f t="shared" si="92"/>
        <v>0</v>
      </c>
      <c r="FL30" s="207">
        <f t="shared" si="93"/>
        <v>3</v>
      </c>
      <c r="FM30" s="208">
        <f t="shared" si="94"/>
        <v>69</v>
      </c>
      <c r="FN30" s="205">
        <f t="shared" si="95"/>
        <v>15.733322916666667</v>
      </c>
      <c r="FO30" s="206" t="str">
        <f t="shared" si="96"/>
        <v>(1.46)</v>
      </c>
      <c r="FP30" s="207">
        <v>2</v>
      </c>
      <c r="FQ30" s="207">
        <f t="shared" si="97"/>
        <v>3</v>
      </c>
      <c r="FR30" s="207">
        <v>1</v>
      </c>
      <c r="FS30" s="207">
        <f t="shared" si="98"/>
        <v>1.125</v>
      </c>
      <c r="FT30" s="207">
        <v>0</v>
      </c>
      <c r="FU30" s="207">
        <f t="shared" si="99"/>
        <v>0</v>
      </c>
      <c r="FV30" s="207">
        <f t="shared" si="100"/>
        <v>4.125</v>
      </c>
      <c r="FW30" s="208">
        <f t="shared" si="101"/>
        <v>73.875</v>
      </c>
      <c r="FX30" s="205">
        <f t="shared" si="102"/>
        <v>17.011156249999999</v>
      </c>
      <c r="FY30" s="206" t="str">
        <f t="shared" si="103"/>
        <v>(1.58)</v>
      </c>
      <c r="FZ30" s="207">
        <v>2</v>
      </c>
      <c r="GA30" s="207">
        <f t="shared" si="104"/>
        <v>3</v>
      </c>
      <c r="GB30" s="207">
        <v>1</v>
      </c>
      <c r="GC30" s="207">
        <f t="shared" si="105"/>
        <v>1.125</v>
      </c>
      <c r="GD30" s="207">
        <v>0</v>
      </c>
      <c r="GE30" s="207">
        <f t="shared" si="106"/>
        <v>0</v>
      </c>
      <c r="GF30" s="207">
        <f t="shared" si="107"/>
        <v>4.125</v>
      </c>
      <c r="GG30" s="208">
        <f t="shared" si="108"/>
        <v>79.875</v>
      </c>
      <c r="GH30" s="205">
        <f t="shared" si="109"/>
        <v>18.288989583333333</v>
      </c>
      <c r="GI30" s="206" t="str">
        <f t="shared" si="110"/>
        <v>(1.70)</v>
      </c>
      <c r="GJ30" s="207">
        <v>2</v>
      </c>
      <c r="GK30" s="207">
        <f t="shared" si="111"/>
        <v>3</v>
      </c>
      <c r="GL30" s="207">
        <v>1</v>
      </c>
      <c r="GM30" s="207">
        <f t="shared" si="112"/>
        <v>1.125</v>
      </c>
      <c r="GN30" s="207">
        <v>0</v>
      </c>
      <c r="GO30" s="207">
        <f t="shared" si="113"/>
        <v>0</v>
      </c>
      <c r="GP30" s="207">
        <f t="shared" si="114"/>
        <v>4.125</v>
      </c>
      <c r="GQ30" s="208">
        <f t="shared" si="115"/>
        <v>85.875</v>
      </c>
      <c r="GR30" s="205">
        <f t="shared" si="116"/>
        <v>19.566822916666666</v>
      </c>
      <c r="GS30" s="206" t="str">
        <f t="shared" si="117"/>
        <v>(1.82)</v>
      </c>
      <c r="GT30" s="207">
        <v>2</v>
      </c>
      <c r="GU30" s="207">
        <f t="shared" si="118"/>
        <v>3</v>
      </c>
      <c r="GV30" s="207">
        <v>1</v>
      </c>
      <c r="GW30" s="207">
        <f t="shared" si="119"/>
        <v>1.125</v>
      </c>
      <c r="GX30" s="207">
        <v>0</v>
      </c>
      <c r="GY30" s="207">
        <f t="shared" si="120"/>
        <v>0</v>
      </c>
      <c r="GZ30" s="207">
        <f t="shared" si="121"/>
        <v>4.125</v>
      </c>
      <c r="HA30" s="208">
        <f t="shared" si="122"/>
        <v>91.875</v>
      </c>
      <c r="HB30" s="205">
        <f t="shared" si="123"/>
        <v>20.84465625</v>
      </c>
      <c r="HC30" s="206" t="str">
        <f t="shared" si="124"/>
        <v>(1.94)</v>
      </c>
      <c r="HD30" s="207">
        <v>2</v>
      </c>
      <c r="HE30" s="207">
        <f t="shared" si="125"/>
        <v>3</v>
      </c>
      <c r="HF30" s="207">
        <v>1</v>
      </c>
      <c r="HG30" s="207">
        <f t="shared" si="126"/>
        <v>1.125</v>
      </c>
      <c r="HH30" s="207">
        <v>0</v>
      </c>
      <c r="HI30" s="207">
        <f t="shared" si="127"/>
        <v>0</v>
      </c>
      <c r="HJ30" s="207">
        <f t="shared" si="128"/>
        <v>4.125</v>
      </c>
      <c r="HK30" s="208">
        <f t="shared" si="129"/>
        <v>97.875</v>
      </c>
      <c r="HL30" s="205">
        <f t="shared" si="130"/>
        <v>21.696545138888887</v>
      </c>
      <c r="HM30" s="206" t="str">
        <f t="shared" si="131"/>
        <v>(2.02)</v>
      </c>
      <c r="HN30" s="207">
        <v>2</v>
      </c>
      <c r="HO30" s="207">
        <f t="shared" si="132"/>
        <v>3</v>
      </c>
      <c r="HP30" s="207">
        <v>1</v>
      </c>
      <c r="HQ30" s="207">
        <f t="shared" si="133"/>
        <v>1.125</v>
      </c>
      <c r="HR30" s="207">
        <v>2</v>
      </c>
      <c r="HS30" s="207">
        <f t="shared" si="134"/>
        <v>2</v>
      </c>
      <c r="HT30" s="207">
        <f t="shared" si="135"/>
        <v>6.125</v>
      </c>
      <c r="HU30" s="208">
        <f t="shared" si="136"/>
        <v>101.875</v>
      </c>
      <c r="HV30" s="205">
        <f t="shared" si="137"/>
        <v>22.974378472222224</v>
      </c>
      <c r="HW30" s="206" t="str">
        <f t="shared" si="138"/>
        <v>(2.13)</v>
      </c>
      <c r="HX30" s="207">
        <v>2</v>
      </c>
      <c r="HY30" s="207">
        <f t="shared" si="139"/>
        <v>3</v>
      </c>
      <c r="HZ30" s="207">
        <v>1</v>
      </c>
      <c r="IA30" s="207">
        <f t="shared" si="140"/>
        <v>1.125</v>
      </c>
      <c r="IB30" s="207">
        <v>2</v>
      </c>
      <c r="IC30" s="207">
        <f t="shared" si="141"/>
        <v>2</v>
      </c>
      <c r="ID30" s="207">
        <f t="shared" si="142"/>
        <v>6.125</v>
      </c>
      <c r="IE30" s="208">
        <f t="shared" si="143"/>
        <v>107.875</v>
      </c>
      <c r="IF30" s="205">
        <f t="shared" si="144"/>
        <v>24.252211805555554</v>
      </c>
      <c r="IG30" s="206" t="str">
        <f t="shared" si="145"/>
        <v>(2.25)</v>
      </c>
      <c r="IH30" s="21">
        <v>2</v>
      </c>
      <c r="II30" s="21">
        <f t="shared" si="146"/>
        <v>3</v>
      </c>
      <c r="IJ30" s="29">
        <v>1</v>
      </c>
      <c r="IK30" s="21">
        <f t="shared" si="147"/>
        <v>1.125</v>
      </c>
      <c r="IL30" s="21">
        <v>2</v>
      </c>
      <c r="IM30" s="21">
        <f t="shared" si="148"/>
        <v>2</v>
      </c>
      <c r="IN30" s="21">
        <f t="shared" si="149"/>
        <v>6.125</v>
      </c>
      <c r="IO30" s="22">
        <f t="shared" si="150"/>
        <v>113.875</v>
      </c>
      <c r="IP30" s="23"/>
      <c r="IQ30" s="24">
        <v>11</v>
      </c>
      <c r="IR30" s="25">
        <v>2.5</v>
      </c>
      <c r="IS30" s="25">
        <v>2.8079999999999998</v>
      </c>
      <c r="IT30" s="25">
        <v>8.7999999999999995E-2</v>
      </c>
      <c r="IU30" s="25">
        <v>1.5</v>
      </c>
      <c r="IV30" s="25">
        <v>1</v>
      </c>
      <c r="IW30" s="25">
        <v>1.125</v>
      </c>
      <c r="IX30" s="7"/>
    </row>
    <row r="31" spans="2:258" ht="15.75" thickBot="1" x14ac:dyDescent="0.3">
      <c r="B31" s="79">
        <f t="shared" si="9"/>
        <v>84</v>
      </c>
      <c r="C31" s="148">
        <v>15</v>
      </c>
      <c r="D31" s="487"/>
      <c r="E31" s="488"/>
      <c r="F31" s="488"/>
      <c r="G31" s="488"/>
      <c r="H31" s="488"/>
      <c r="I31" s="488"/>
      <c r="J31" s="488"/>
      <c r="K31" s="488"/>
      <c r="L31" s="488"/>
      <c r="M31" s="488"/>
      <c r="N31" s="488"/>
      <c r="O31" s="488"/>
      <c r="P31" s="488"/>
      <c r="Q31" s="488"/>
      <c r="R31" s="488"/>
      <c r="S31" s="488"/>
      <c r="T31" s="488"/>
      <c r="U31" s="488"/>
      <c r="V31" s="488"/>
      <c r="W31" s="488"/>
      <c r="X31" s="76"/>
      <c r="Y31" s="46"/>
      <c r="AT31" s="3"/>
      <c r="AU31" s="13">
        <f t="shared" si="151"/>
        <v>66</v>
      </c>
      <c r="AV31" s="11" t="str">
        <f t="shared" si="10"/>
        <v>(1700)</v>
      </c>
      <c r="AW31" s="18"/>
      <c r="AX31" s="19">
        <f t="shared" si="11"/>
        <v>1.4279999999999999</v>
      </c>
      <c r="AY31" s="20" t="str">
        <f t="shared" si="12"/>
        <v>(0.13)</v>
      </c>
      <c r="AZ31" s="21">
        <v>2</v>
      </c>
      <c r="BA31" s="21">
        <f t="shared" si="13"/>
        <v>3</v>
      </c>
      <c r="BB31" s="21">
        <v>0</v>
      </c>
      <c r="BC31" s="21">
        <f t="shared" si="14"/>
        <v>0</v>
      </c>
      <c r="BD31" s="21">
        <v>0</v>
      </c>
      <c r="BE31" s="21">
        <f t="shared" si="15"/>
        <v>0</v>
      </c>
      <c r="BF31" s="21">
        <f t="shared" si="16"/>
        <v>3</v>
      </c>
      <c r="BG31" s="22">
        <f t="shared" si="17"/>
        <v>6</v>
      </c>
      <c r="BH31" s="205">
        <f t="shared" si="18"/>
        <v>2.1419999999999999</v>
      </c>
      <c r="BI31" s="206" t="str">
        <f t="shared" si="19"/>
        <v>(0.20)</v>
      </c>
      <c r="BJ31" s="207">
        <v>2</v>
      </c>
      <c r="BK31" s="207">
        <f t="shared" si="20"/>
        <v>3</v>
      </c>
      <c r="BL31" s="207">
        <v>0</v>
      </c>
      <c r="BM31" s="207">
        <f t="shared" si="21"/>
        <v>0</v>
      </c>
      <c r="BN31" s="207">
        <v>0</v>
      </c>
      <c r="BO31" s="207">
        <f t="shared" si="22"/>
        <v>0</v>
      </c>
      <c r="BP31" s="207">
        <f t="shared" si="23"/>
        <v>3</v>
      </c>
      <c r="BQ31" s="208">
        <f t="shared" si="24"/>
        <v>9</v>
      </c>
      <c r="BR31" s="205">
        <f t="shared" si="25"/>
        <v>3.5699999999999994</v>
      </c>
      <c r="BS31" s="206" t="str">
        <f t="shared" si="26"/>
        <v>(0.33)</v>
      </c>
      <c r="BT31" s="207">
        <v>2</v>
      </c>
      <c r="BU31" s="207">
        <f t="shared" si="27"/>
        <v>3</v>
      </c>
      <c r="BV31" s="207">
        <v>0</v>
      </c>
      <c r="BW31" s="207">
        <f t="shared" si="28"/>
        <v>0</v>
      </c>
      <c r="BX31" s="207">
        <v>0</v>
      </c>
      <c r="BY31" s="207">
        <f t="shared" si="29"/>
        <v>0</v>
      </c>
      <c r="BZ31" s="207">
        <f t="shared" si="30"/>
        <v>3</v>
      </c>
      <c r="CA31" s="208">
        <f t="shared" si="31"/>
        <v>15</v>
      </c>
      <c r="CB31" s="205">
        <f t="shared" si="32"/>
        <v>4.9980000000000002</v>
      </c>
      <c r="CC31" s="206" t="str">
        <f t="shared" si="33"/>
        <v>(0.46)</v>
      </c>
      <c r="CD31" s="207">
        <v>2</v>
      </c>
      <c r="CE31" s="207">
        <f t="shared" si="34"/>
        <v>3</v>
      </c>
      <c r="CF31" s="207">
        <v>0</v>
      </c>
      <c r="CG31" s="207">
        <f t="shared" si="35"/>
        <v>0</v>
      </c>
      <c r="CH31" s="207">
        <v>0</v>
      </c>
      <c r="CI31" s="207">
        <f t="shared" si="36"/>
        <v>0</v>
      </c>
      <c r="CJ31" s="207">
        <f t="shared" si="37"/>
        <v>3</v>
      </c>
      <c r="CK31" s="208">
        <f t="shared" si="38"/>
        <v>21</v>
      </c>
      <c r="CL31" s="205">
        <f t="shared" si="39"/>
        <v>6.4259999999999993</v>
      </c>
      <c r="CM31" s="206" t="str">
        <f t="shared" si="40"/>
        <v>(0.6)</v>
      </c>
      <c r="CN31" s="207">
        <v>2</v>
      </c>
      <c r="CO31" s="207">
        <f t="shared" si="41"/>
        <v>3</v>
      </c>
      <c r="CP31" s="207">
        <v>0</v>
      </c>
      <c r="CQ31" s="207">
        <f t="shared" si="42"/>
        <v>0</v>
      </c>
      <c r="CR31" s="207">
        <v>0</v>
      </c>
      <c r="CS31" s="207">
        <f t="shared" si="43"/>
        <v>0</v>
      </c>
      <c r="CT31" s="207">
        <f t="shared" si="44"/>
        <v>3</v>
      </c>
      <c r="CU31" s="208">
        <f t="shared" si="45"/>
        <v>27</v>
      </c>
      <c r="CV31" s="205">
        <f t="shared" si="46"/>
        <v>7.8539999999999992</v>
      </c>
      <c r="CW31" s="206" t="str">
        <f t="shared" si="47"/>
        <v>(0.73)</v>
      </c>
      <c r="CX31" s="207">
        <v>2</v>
      </c>
      <c r="CY31" s="207">
        <f t="shared" si="48"/>
        <v>3</v>
      </c>
      <c r="CZ31" s="207">
        <v>0</v>
      </c>
      <c r="DA31" s="207">
        <f t="shared" si="49"/>
        <v>0</v>
      </c>
      <c r="DB31" s="207">
        <v>0</v>
      </c>
      <c r="DC31" s="207">
        <f t="shared" si="50"/>
        <v>0</v>
      </c>
      <c r="DD31" s="207">
        <f t="shared" si="51"/>
        <v>3</v>
      </c>
      <c r="DE31" s="208">
        <f t="shared" si="52"/>
        <v>33</v>
      </c>
      <c r="DF31" s="205">
        <f t="shared" si="53"/>
        <v>9.282</v>
      </c>
      <c r="DG31" s="206" t="str">
        <f t="shared" si="54"/>
        <v>(0.86)</v>
      </c>
      <c r="DH31" s="207">
        <v>2</v>
      </c>
      <c r="DI31" s="207">
        <f t="shared" si="55"/>
        <v>3</v>
      </c>
      <c r="DJ31" s="207">
        <v>0</v>
      </c>
      <c r="DK31" s="207">
        <f t="shared" si="56"/>
        <v>0</v>
      </c>
      <c r="DL31" s="207">
        <v>0</v>
      </c>
      <c r="DM31" s="207">
        <f t="shared" si="57"/>
        <v>0</v>
      </c>
      <c r="DN31" s="207">
        <f t="shared" si="58"/>
        <v>3</v>
      </c>
      <c r="DO31" s="208">
        <f t="shared" si="59"/>
        <v>39</v>
      </c>
      <c r="DP31" s="205">
        <f t="shared" si="60"/>
        <v>10.71</v>
      </c>
      <c r="DQ31" s="206" t="str">
        <f t="shared" si="61"/>
        <v>(0.99)</v>
      </c>
      <c r="DR31" s="207">
        <v>2</v>
      </c>
      <c r="DS31" s="207">
        <f t="shared" si="62"/>
        <v>3</v>
      </c>
      <c r="DT31" s="207">
        <v>0</v>
      </c>
      <c r="DU31" s="207">
        <f t="shared" si="63"/>
        <v>0</v>
      </c>
      <c r="DV31" s="207">
        <v>0</v>
      </c>
      <c r="DW31" s="207">
        <f t="shared" si="64"/>
        <v>0</v>
      </c>
      <c r="DX31" s="207">
        <f t="shared" si="65"/>
        <v>3</v>
      </c>
      <c r="DY31" s="208">
        <f t="shared" si="66"/>
        <v>45</v>
      </c>
      <c r="DZ31" s="205">
        <f t="shared" si="67"/>
        <v>11.899999999999999</v>
      </c>
      <c r="EA31" s="206" t="str">
        <f t="shared" si="68"/>
        <v>(1.11)</v>
      </c>
      <c r="EB31" s="207">
        <v>2</v>
      </c>
      <c r="EC31" s="207">
        <f t="shared" si="69"/>
        <v>3</v>
      </c>
      <c r="ED31" s="207">
        <v>0</v>
      </c>
      <c r="EE31" s="207">
        <f t="shared" si="70"/>
        <v>0</v>
      </c>
      <c r="EF31" s="207">
        <v>1</v>
      </c>
      <c r="EG31" s="207">
        <f t="shared" si="71"/>
        <v>1</v>
      </c>
      <c r="EH31" s="207">
        <f t="shared" si="72"/>
        <v>4</v>
      </c>
      <c r="EI31" s="208">
        <f t="shared" si="73"/>
        <v>50</v>
      </c>
      <c r="EJ31" s="205">
        <f t="shared" si="74"/>
        <v>13.327999999999999</v>
      </c>
      <c r="EK31" s="206" t="str">
        <f t="shared" si="75"/>
        <v>(1.24)</v>
      </c>
      <c r="EL31" s="207">
        <v>2</v>
      </c>
      <c r="EM31" s="207">
        <f t="shared" si="76"/>
        <v>3</v>
      </c>
      <c r="EN31" s="207">
        <v>0</v>
      </c>
      <c r="EO31" s="207">
        <f t="shared" si="77"/>
        <v>0</v>
      </c>
      <c r="EP31" s="207">
        <v>1</v>
      </c>
      <c r="EQ31" s="207">
        <f t="shared" si="78"/>
        <v>1</v>
      </c>
      <c r="ER31" s="207">
        <f t="shared" si="79"/>
        <v>4</v>
      </c>
      <c r="ES31" s="208">
        <f t="shared" si="80"/>
        <v>56</v>
      </c>
      <c r="ET31" s="205">
        <f t="shared" si="81"/>
        <v>14.756</v>
      </c>
      <c r="EU31" s="206" t="str">
        <f t="shared" si="82"/>
        <v>(1.37)</v>
      </c>
      <c r="EV31" s="207">
        <v>2</v>
      </c>
      <c r="EW31" s="207">
        <f t="shared" si="83"/>
        <v>3</v>
      </c>
      <c r="EX31" s="207">
        <v>0</v>
      </c>
      <c r="EY31" s="207">
        <f t="shared" si="84"/>
        <v>0</v>
      </c>
      <c r="EZ31" s="207">
        <v>1</v>
      </c>
      <c r="FA31" s="207">
        <f t="shared" si="85"/>
        <v>1</v>
      </c>
      <c r="FB31" s="207">
        <f t="shared" si="86"/>
        <v>4</v>
      </c>
      <c r="FC31" s="208">
        <f t="shared" si="87"/>
        <v>62</v>
      </c>
      <c r="FD31" s="205">
        <f t="shared" si="88"/>
        <v>16.422000000000001</v>
      </c>
      <c r="FE31" s="206" t="str">
        <f t="shared" si="89"/>
        <v>(1.53)</v>
      </c>
      <c r="FF31" s="207">
        <v>2</v>
      </c>
      <c r="FG31" s="207">
        <f t="shared" si="90"/>
        <v>3</v>
      </c>
      <c r="FH31" s="469">
        <v>0</v>
      </c>
      <c r="FI31" s="207">
        <f t="shared" si="91"/>
        <v>0</v>
      </c>
      <c r="FJ31" s="207">
        <v>0</v>
      </c>
      <c r="FK31" s="207">
        <f t="shared" si="92"/>
        <v>0</v>
      </c>
      <c r="FL31" s="207">
        <f t="shared" si="93"/>
        <v>3</v>
      </c>
      <c r="FM31" s="208">
        <f t="shared" si="94"/>
        <v>69</v>
      </c>
      <c r="FN31" s="205">
        <f t="shared" si="95"/>
        <v>17.582250000000002</v>
      </c>
      <c r="FO31" s="206" t="str">
        <f t="shared" si="96"/>
        <v>(1.63)</v>
      </c>
      <c r="FP31" s="207">
        <v>2</v>
      </c>
      <c r="FQ31" s="207">
        <f t="shared" si="97"/>
        <v>3</v>
      </c>
      <c r="FR31" s="207">
        <v>1</v>
      </c>
      <c r="FS31" s="207">
        <f t="shared" si="98"/>
        <v>1.125</v>
      </c>
      <c r="FT31" s="207">
        <v>0</v>
      </c>
      <c r="FU31" s="207">
        <f t="shared" si="99"/>
        <v>0</v>
      </c>
      <c r="FV31" s="207">
        <f t="shared" si="100"/>
        <v>4.125</v>
      </c>
      <c r="FW31" s="208">
        <f t="shared" si="101"/>
        <v>73.875</v>
      </c>
      <c r="FX31" s="205">
        <f t="shared" si="102"/>
        <v>19.010249999999999</v>
      </c>
      <c r="FY31" s="206" t="str">
        <f t="shared" si="103"/>
        <v>(1.77)</v>
      </c>
      <c r="FZ31" s="207">
        <v>2</v>
      </c>
      <c r="GA31" s="207">
        <f t="shared" si="104"/>
        <v>3</v>
      </c>
      <c r="GB31" s="207">
        <v>1</v>
      </c>
      <c r="GC31" s="207">
        <f t="shared" si="105"/>
        <v>1.125</v>
      </c>
      <c r="GD31" s="207">
        <v>0</v>
      </c>
      <c r="GE31" s="207">
        <f t="shared" si="106"/>
        <v>0</v>
      </c>
      <c r="GF31" s="207">
        <f t="shared" si="107"/>
        <v>4.125</v>
      </c>
      <c r="GG31" s="208">
        <f t="shared" si="108"/>
        <v>79.875</v>
      </c>
      <c r="GH31" s="205">
        <f t="shared" si="109"/>
        <v>20.438249999999996</v>
      </c>
      <c r="GI31" s="206" t="str">
        <f t="shared" si="110"/>
        <v>(1.90)</v>
      </c>
      <c r="GJ31" s="207">
        <v>2</v>
      </c>
      <c r="GK31" s="207">
        <f t="shared" si="111"/>
        <v>3</v>
      </c>
      <c r="GL31" s="207">
        <v>1</v>
      </c>
      <c r="GM31" s="207">
        <f t="shared" si="112"/>
        <v>1.125</v>
      </c>
      <c r="GN31" s="207">
        <v>0</v>
      </c>
      <c r="GO31" s="207">
        <f t="shared" si="113"/>
        <v>0</v>
      </c>
      <c r="GP31" s="207">
        <f t="shared" si="114"/>
        <v>4.125</v>
      </c>
      <c r="GQ31" s="208">
        <f t="shared" si="115"/>
        <v>85.875</v>
      </c>
      <c r="GR31" s="205">
        <f t="shared" si="116"/>
        <v>21.866249999999997</v>
      </c>
      <c r="GS31" s="206" t="str">
        <f t="shared" si="117"/>
        <v>(2.03)</v>
      </c>
      <c r="GT31" s="207">
        <v>2</v>
      </c>
      <c r="GU31" s="207">
        <f t="shared" si="118"/>
        <v>3</v>
      </c>
      <c r="GV31" s="207">
        <v>1</v>
      </c>
      <c r="GW31" s="207">
        <f t="shared" si="119"/>
        <v>1.125</v>
      </c>
      <c r="GX31" s="207">
        <v>0</v>
      </c>
      <c r="GY31" s="207">
        <f t="shared" si="120"/>
        <v>0</v>
      </c>
      <c r="GZ31" s="207">
        <f t="shared" si="121"/>
        <v>4.125</v>
      </c>
      <c r="HA31" s="208">
        <f t="shared" si="122"/>
        <v>91.875</v>
      </c>
      <c r="HB31" s="205">
        <f t="shared" si="123"/>
        <v>23.294249999999998</v>
      </c>
      <c r="HC31" s="206" t="str">
        <f t="shared" si="124"/>
        <v>(2.16)</v>
      </c>
      <c r="HD31" s="207">
        <v>2</v>
      </c>
      <c r="HE31" s="207">
        <f t="shared" si="125"/>
        <v>3</v>
      </c>
      <c r="HF31" s="207">
        <v>1</v>
      </c>
      <c r="HG31" s="207">
        <f t="shared" si="126"/>
        <v>1.125</v>
      </c>
      <c r="HH31" s="207">
        <v>0</v>
      </c>
      <c r="HI31" s="207">
        <f t="shared" si="127"/>
        <v>0</v>
      </c>
      <c r="HJ31" s="207">
        <f t="shared" si="128"/>
        <v>4.125</v>
      </c>
      <c r="HK31" s="208">
        <f t="shared" si="129"/>
        <v>97.875</v>
      </c>
      <c r="HL31" s="205">
        <f t="shared" si="130"/>
        <v>24.24625</v>
      </c>
      <c r="HM31" s="206" t="str">
        <f t="shared" si="131"/>
        <v>(2.25)</v>
      </c>
      <c r="HN31" s="207">
        <v>2</v>
      </c>
      <c r="HO31" s="207">
        <f t="shared" si="132"/>
        <v>3</v>
      </c>
      <c r="HP31" s="207">
        <v>1</v>
      </c>
      <c r="HQ31" s="207">
        <f t="shared" si="133"/>
        <v>1.125</v>
      </c>
      <c r="HR31" s="207">
        <v>2</v>
      </c>
      <c r="HS31" s="207">
        <f t="shared" si="134"/>
        <v>2</v>
      </c>
      <c r="HT31" s="207">
        <f t="shared" si="135"/>
        <v>6.125</v>
      </c>
      <c r="HU31" s="208">
        <f t="shared" si="136"/>
        <v>101.875</v>
      </c>
      <c r="HV31" s="205">
        <f t="shared" si="137"/>
        <v>25.674249999999997</v>
      </c>
      <c r="HW31" s="206" t="str">
        <f t="shared" si="138"/>
        <v>(2.39)</v>
      </c>
      <c r="HX31" s="207">
        <v>2</v>
      </c>
      <c r="HY31" s="207">
        <f t="shared" si="139"/>
        <v>3</v>
      </c>
      <c r="HZ31" s="207">
        <v>1</v>
      </c>
      <c r="IA31" s="207">
        <f t="shared" si="140"/>
        <v>1.125</v>
      </c>
      <c r="IB31" s="207">
        <v>2</v>
      </c>
      <c r="IC31" s="207">
        <f t="shared" si="141"/>
        <v>2</v>
      </c>
      <c r="ID31" s="207">
        <f t="shared" si="142"/>
        <v>6.125</v>
      </c>
      <c r="IE31" s="208">
        <f t="shared" si="143"/>
        <v>107.875</v>
      </c>
      <c r="IF31" s="205">
        <f t="shared" si="144"/>
        <v>27.102249999999998</v>
      </c>
      <c r="IG31" s="206" t="str">
        <f t="shared" si="145"/>
        <v>(2.52)</v>
      </c>
      <c r="IH31" s="21">
        <v>2</v>
      </c>
      <c r="II31" s="21">
        <f t="shared" si="146"/>
        <v>3</v>
      </c>
      <c r="IJ31" s="21">
        <v>1</v>
      </c>
      <c r="IK31" s="21">
        <f t="shared" si="147"/>
        <v>1.125</v>
      </c>
      <c r="IL31" s="21">
        <v>2</v>
      </c>
      <c r="IM31" s="21">
        <f t="shared" si="148"/>
        <v>2</v>
      </c>
      <c r="IN31" s="21">
        <f t="shared" si="149"/>
        <v>6.125</v>
      </c>
      <c r="IO31" s="22">
        <f t="shared" si="150"/>
        <v>113.875</v>
      </c>
      <c r="IP31" s="23"/>
      <c r="IQ31" s="24">
        <v>12</v>
      </c>
      <c r="IR31" s="25">
        <v>2.5</v>
      </c>
      <c r="IS31" s="25">
        <v>2.8079999999999998</v>
      </c>
      <c r="IT31" s="25">
        <v>0.88400000000000001</v>
      </c>
      <c r="IU31" s="25">
        <v>1.5</v>
      </c>
      <c r="IV31" s="25">
        <v>1</v>
      </c>
      <c r="IW31" s="25">
        <v>1.125</v>
      </c>
      <c r="IX31" s="7"/>
    </row>
    <row r="32" spans="2:258" ht="15.75" thickBot="1" x14ac:dyDescent="0.3">
      <c r="B32" s="79">
        <f t="shared" si="9"/>
        <v>90</v>
      </c>
      <c r="C32" s="147">
        <v>16</v>
      </c>
      <c r="D32" s="487"/>
      <c r="E32" s="488"/>
      <c r="F32" s="488"/>
      <c r="G32" s="488"/>
      <c r="H32" s="488"/>
      <c r="I32" s="488"/>
      <c r="J32" s="488"/>
      <c r="K32" s="488"/>
      <c r="L32" s="488"/>
      <c r="M32" s="488"/>
      <c r="N32" s="488"/>
      <c r="O32" s="488"/>
      <c r="P32" s="488"/>
      <c r="Q32" s="488"/>
      <c r="R32" s="488"/>
      <c r="S32" s="488"/>
      <c r="T32" s="488"/>
      <c r="U32" s="488"/>
      <c r="V32" s="488"/>
      <c r="W32" s="488"/>
      <c r="X32" s="76"/>
      <c r="Y32" s="46"/>
      <c r="AT32" s="3"/>
      <c r="AU32" s="13">
        <f t="shared" si="151"/>
        <v>72</v>
      </c>
      <c r="AV32" s="11" t="str">
        <f t="shared" si="10"/>
        <v>(1850)</v>
      </c>
      <c r="AW32" s="18"/>
      <c r="AX32" s="19">
        <f t="shared" si="11"/>
        <v>1.5834999999999999</v>
      </c>
      <c r="AY32" s="20" t="str">
        <f t="shared" si="12"/>
        <v>(0.15)</v>
      </c>
      <c r="AZ32" s="21">
        <v>2</v>
      </c>
      <c r="BA32" s="21">
        <f t="shared" si="13"/>
        <v>3</v>
      </c>
      <c r="BB32" s="21">
        <v>0</v>
      </c>
      <c r="BC32" s="21">
        <f t="shared" si="14"/>
        <v>0</v>
      </c>
      <c r="BD32" s="21">
        <v>0</v>
      </c>
      <c r="BE32" s="21">
        <f t="shared" si="15"/>
        <v>0</v>
      </c>
      <c r="BF32" s="21">
        <f t="shared" si="16"/>
        <v>3</v>
      </c>
      <c r="BG32" s="22">
        <f t="shared" si="17"/>
        <v>6</v>
      </c>
      <c r="BH32" s="205">
        <f t="shared" si="18"/>
        <v>2.3752499999999999</v>
      </c>
      <c r="BI32" s="206" t="str">
        <f t="shared" si="19"/>
        <v>(0.22)</v>
      </c>
      <c r="BJ32" s="207">
        <v>2</v>
      </c>
      <c r="BK32" s="207">
        <f t="shared" si="20"/>
        <v>3</v>
      </c>
      <c r="BL32" s="207">
        <v>0</v>
      </c>
      <c r="BM32" s="207">
        <f t="shared" si="21"/>
        <v>0</v>
      </c>
      <c r="BN32" s="207">
        <v>0</v>
      </c>
      <c r="BO32" s="207">
        <f t="shared" si="22"/>
        <v>0</v>
      </c>
      <c r="BP32" s="207">
        <f t="shared" si="23"/>
        <v>3</v>
      </c>
      <c r="BQ32" s="208">
        <f t="shared" si="24"/>
        <v>9</v>
      </c>
      <c r="BR32" s="205">
        <f t="shared" si="25"/>
        <v>3.9587499999999998</v>
      </c>
      <c r="BS32" s="206" t="str">
        <f t="shared" si="26"/>
        <v>(0.37)</v>
      </c>
      <c r="BT32" s="207">
        <v>2</v>
      </c>
      <c r="BU32" s="207">
        <f t="shared" si="27"/>
        <v>3</v>
      </c>
      <c r="BV32" s="207">
        <v>0</v>
      </c>
      <c r="BW32" s="207">
        <f t="shared" si="28"/>
        <v>0</v>
      </c>
      <c r="BX32" s="207">
        <v>0</v>
      </c>
      <c r="BY32" s="207">
        <f t="shared" si="29"/>
        <v>0</v>
      </c>
      <c r="BZ32" s="207">
        <f t="shared" si="30"/>
        <v>3</v>
      </c>
      <c r="CA32" s="208">
        <f t="shared" si="31"/>
        <v>15</v>
      </c>
      <c r="CB32" s="205">
        <f t="shared" si="32"/>
        <v>5.5422499999999992</v>
      </c>
      <c r="CC32" s="206" t="str">
        <f t="shared" si="33"/>
        <v>(0.51)</v>
      </c>
      <c r="CD32" s="207">
        <v>2</v>
      </c>
      <c r="CE32" s="207">
        <f t="shared" si="34"/>
        <v>3</v>
      </c>
      <c r="CF32" s="207">
        <v>0</v>
      </c>
      <c r="CG32" s="207">
        <f t="shared" si="35"/>
        <v>0</v>
      </c>
      <c r="CH32" s="207">
        <v>0</v>
      </c>
      <c r="CI32" s="207">
        <f t="shared" si="36"/>
        <v>0</v>
      </c>
      <c r="CJ32" s="207">
        <f t="shared" si="37"/>
        <v>3</v>
      </c>
      <c r="CK32" s="208">
        <f t="shared" si="38"/>
        <v>21</v>
      </c>
      <c r="CL32" s="205">
        <f t="shared" si="39"/>
        <v>7.12575</v>
      </c>
      <c r="CM32" s="206" t="str">
        <f t="shared" si="40"/>
        <v>(0.66)</v>
      </c>
      <c r="CN32" s="207">
        <v>2</v>
      </c>
      <c r="CO32" s="207">
        <f t="shared" si="41"/>
        <v>3</v>
      </c>
      <c r="CP32" s="207">
        <v>0</v>
      </c>
      <c r="CQ32" s="207">
        <f t="shared" si="42"/>
        <v>0</v>
      </c>
      <c r="CR32" s="207">
        <v>0</v>
      </c>
      <c r="CS32" s="207">
        <f t="shared" si="43"/>
        <v>0</v>
      </c>
      <c r="CT32" s="207">
        <f t="shared" si="44"/>
        <v>3</v>
      </c>
      <c r="CU32" s="208">
        <f t="shared" si="45"/>
        <v>27</v>
      </c>
      <c r="CV32" s="205">
        <f t="shared" si="46"/>
        <v>8.709249999999999</v>
      </c>
      <c r="CW32" s="206" t="str">
        <f t="shared" si="47"/>
        <v>(0.81)</v>
      </c>
      <c r="CX32" s="207">
        <v>2</v>
      </c>
      <c r="CY32" s="207">
        <f t="shared" si="48"/>
        <v>3</v>
      </c>
      <c r="CZ32" s="207">
        <v>0</v>
      </c>
      <c r="DA32" s="207">
        <f t="shared" si="49"/>
        <v>0</v>
      </c>
      <c r="DB32" s="207">
        <v>0</v>
      </c>
      <c r="DC32" s="207">
        <f t="shared" si="50"/>
        <v>0</v>
      </c>
      <c r="DD32" s="207">
        <f t="shared" si="51"/>
        <v>3</v>
      </c>
      <c r="DE32" s="208">
        <f t="shared" si="52"/>
        <v>33</v>
      </c>
      <c r="DF32" s="205">
        <f t="shared" si="53"/>
        <v>10.29275</v>
      </c>
      <c r="DG32" s="206" t="str">
        <f t="shared" si="54"/>
        <v>(0.96)</v>
      </c>
      <c r="DH32" s="207">
        <v>2</v>
      </c>
      <c r="DI32" s="207">
        <f t="shared" si="55"/>
        <v>3</v>
      </c>
      <c r="DJ32" s="207">
        <v>0</v>
      </c>
      <c r="DK32" s="207">
        <f t="shared" si="56"/>
        <v>0</v>
      </c>
      <c r="DL32" s="207">
        <v>0</v>
      </c>
      <c r="DM32" s="207">
        <f t="shared" si="57"/>
        <v>0</v>
      </c>
      <c r="DN32" s="207">
        <f t="shared" si="58"/>
        <v>3</v>
      </c>
      <c r="DO32" s="208">
        <f t="shared" si="59"/>
        <v>39</v>
      </c>
      <c r="DP32" s="205">
        <f t="shared" si="60"/>
        <v>11.876249999999999</v>
      </c>
      <c r="DQ32" s="206" t="str">
        <f t="shared" si="61"/>
        <v>(1.1)</v>
      </c>
      <c r="DR32" s="207">
        <v>2</v>
      </c>
      <c r="DS32" s="207">
        <f t="shared" si="62"/>
        <v>3</v>
      </c>
      <c r="DT32" s="207">
        <v>0</v>
      </c>
      <c r="DU32" s="207">
        <f t="shared" si="63"/>
        <v>0</v>
      </c>
      <c r="DV32" s="207">
        <v>0</v>
      </c>
      <c r="DW32" s="207">
        <f t="shared" si="64"/>
        <v>0</v>
      </c>
      <c r="DX32" s="207">
        <f t="shared" si="65"/>
        <v>3</v>
      </c>
      <c r="DY32" s="208">
        <f t="shared" si="66"/>
        <v>45</v>
      </c>
      <c r="DZ32" s="205">
        <f t="shared" si="67"/>
        <v>13.195833333333333</v>
      </c>
      <c r="EA32" s="206" t="str">
        <f t="shared" si="68"/>
        <v>(1.23)</v>
      </c>
      <c r="EB32" s="207">
        <v>2</v>
      </c>
      <c r="EC32" s="207">
        <f t="shared" si="69"/>
        <v>3</v>
      </c>
      <c r="ED32" s="207">
        <v>0</v>
      </c>
      <c r="EE32" s="207">
        <f t="shared" si="70"/>
        <v>0</v>
      </c>
      <c r="EF32" s="207">
        <v>1</v>
      </c>
      <c r="EG32" s="207">
        <f t="shared" si="71"/>
        <v>1</v>
      </c>
      <c r="EH32" s="207">
        <f t="shared" si="72"/>
        <v>4</v>
      </c>
      <c r="EI32" s="208">
        <f t="shared" si="73"/>
        <v>50</v>
      </c>
      <c r="EJ32" s="205">
        <f t="shared" si="74"/>
        <v>14.779333333333332</v>
      </c>
      <c r="EK32" s="206" t="str">
        <f t="shared" si="75"/>
        <v>(1.37)</v>
      </c>
      <c r="EL32" s="207">
        <v>2</v>
      </c>
      <c r="EM32" s="207">
        <f t="shared" si="76"/>
        <v>3</v>
      </c>
      <c r="EN32" s="207">
        <v>0</v>
      </c>
      <c r="EO32" s="207">
        <f t="shared" si="77"/>
        <v>0</v>
      </c>
      <c r="EP32" s="207">
        <v>1</v>
      </c>
      <c r="EQ32" s="207">
        <f t="shared" si="78"/>
        <v>1</v>
      </c>
      <c r="ER32" s="207">
        <f t="shared" si="79"/>
        <v>4</v>
      </c>
      <c r="ES32" s="208">
        <f t="shared" si="80"/>
        <v>56</v>
      </c>
      <c r="ET32" s="205">
        <f t="shared" si="81"/>
        <v>16.362833333333334</v>
      </c>
      <c r="EU32" s="206" t="str">
        <f t="shared" si="82"/>
        <v>(1.52)</v>
      </c>
      <c r="EV32" s="207">
        <v>2</v>
      </c>
      <c r="EW32" s="207">
        <f t="shared" si="83"/>
        <v>3</v>
      </c>
      <c r="EX32" s="207">
        <v>0</v>
      </c>
      <c r="EY32" s="207">
        <f t="shared" si="84"/>
        <v>0</v>
      </c>
      <c r="EZ32" s="207">
        <v>1</v>
      </c>
      <c r="FA32" s="207">
        <f t="shared" si="85"/>
        <v>1</v>
      </c>
      <c r="FB32" s="207">
        <f t="shared" si="86"/>
        <v>4</v>
      </c>
      <c r="FC32" s="208">
        <f t="shared" si="87"/>
        <v>62</v>
      </c>
      <c r="FD32" s="205">
        <f t="shared" si="88"/>
        <v>18.210249999999998</v>
      </c>
      <c r="FE32" s="206" t="str">
        <f t="shared" si="89"/>
        <v>(1.69)</v>
      </c>
      <c r="FF32" s="207">
        <v>2</v>
      </c>
      <c r="FG32" s="207">
        <f t="shared" si="90"/>
        <v>3</v>
      </c>
      <c r="FH32" s="469">
        <v>0</v>
      </c>
      <c r="FI32" s="207">
        <f t="shared" si="91"/>
        <v>0</v>
      </c>
      <c r="FJ32" s="207">
        <v>0</v>
      </c>
      <c r="FK32" s="207">
        <f t="shared" si="92"/>
        <v>0</v>
      </c>
      <c r="FL32" s="207">
        <f t="shared" si="93"/>
        <v>3</v>
      </c>
      <c r="FM32" s="208">
        <f t="shared" si="94"/>
        <v>69</v>
      </c>
      <c r="FN32" s="205">
        <f t="shared" si="95"/>
        <v>19.496843749999996</v>
      </c>
      <c r="FO32" s="206" t="str">
        <f t="shared" si="96"/>
        <v>(1.81)</v>
      </c>
      <c r="FP32" s="207">
        <v>2</v>
      </c>
      <c r="FQ32" s="207">
        <f t="shared" si="97"/>
        <v>3</v>
      </c>
      <c r="FR32" s="207">
        <v>1</v>
      </c>
      <c r="FS32" s="207">
        <f t="shared" si="98"/>
        <v>1.125</v>
      </c>
      <c r="FT32" s="207">
        <v>0</v>
      </c>
      <c r="FU32" s="207">
        <f t="shared" si="99"/>
        <v>0</v>
      </c>
      <c r="FV32" s="207">
        <f t="shared" si="100"/>
        <v>4.125</v>
      </c>
      <c r="FW32" s="208">
        <f t="shared" si="101"/>
        <v>73.875</v>
      </c>
      <c r="FX32" s="205">
        <f t="shared" si="102"/>
        <v>21.080343749999997</v>
      </c>
      <c r="FY32" s="206" t="str">
        <f t="shared" si="103"/>
        <v>(1.96)</v>
      </c>
      <c r="FZ32" s="207">
        <v>2</v>
      </c>
      <c r="GA32" s="207">
        <f t="shared" si="104"/>
        <v>3</v>
      </c>
      <c r="GB32" s="207">
        <v>1</v>
      </c>
      <c r="GC32" s="207">
        <f t="shared" si="105"/>
        <v>1.125</v>
      </c>
      <c r="GD32" s="207">
        <v>0</v>
      </c>
      <c r="GE32" s="207">
        <f t="shared" si="106"/>
        <v>0</v>
      </c>
      <c r="GF32" s="207">
        <f t="shared" si="107"/>
        <v>4.125</v>
      </c>
      <c r="GG32" s="208">
        <f t="shared" si="108"/>
        <v>79.875</v>
      </c>
      <c r="GH32" s="205">
        <f t="shared" si="109"/>
        <v>22.663843749999998</v>
      </c>
      <c r="GI32" s="206" t="str">
        <f t="shared" si="110"/>
        <v>(2.11)</v>
      </c>
      <c r="GJ32" s="207">
        <v>2</v>
      </c>
      <c r="GK32" s="207">
        <f t="shared" si="111"/>
        <v>3</v>
      </c>
      <c r="GL32" s="207">
        <v>1</v>
      </c>
      <c r="GM32" s="207">
        <f t="shared" si="112"/>
        <v>1.125</v>
      </c>
      <c r="GN32" s="207">
        <v>0</v>
      </c>
      <c r="GO32" s="207">
        <f t="shared" si="113"/>
        <v>0</v>
      </c>
      <c r="GP32" s="207">
        <f t="shared" si="114"/>
        <v>4.125</v>
      </c>
      <c r="GQ32" s="208">
        <f t="shared" si="115"/>
        <v>85.875</v>
      </c>
      <c r="GR32" s="205">
        <f t="shared" si="116"/>
        <v>24.247343749999999</v>
      </c>
      <c r="GS32" s="206" t="str">
        <f t="shared" si="117"/>
        <v>(2.25)</v>
      </c>
      <c r="GT32" s="207">
        <v>2</v>
      </c>
      <c r="GU32" s="207">
        <f t="shared" si="118"/>
        <v>3</v>
      </c>
      <c r="GV32" s="207">
        <v>1</v>
      </c>
      <c r="GW32" s="207">
        <f t="shared" si="119"/>
        <v>1.125</v>
      </c>
      <c r="GX32" s="207">
        <v>0</v>
      </c>
      <c r="GY32" s="207">
        <f t="shared" si="120"/>
        <v>0</v>
      </c>
      <c r="GZ32" s="207">
        <f t="shared" si="121"/>
        <v>4.125</v>
      </c>
      <c r="HA32" s="208">
        <f t="shared" si="122"/>
        <v>91.875</v>
      </c>
      <c r="HB32" s="205">
        <f t="shared" si="123"/>
        <v>25.83084375</v>
      </c>
      <c r="HC32" s="206" t="str">
        <f t="shared" si="124"/>
        <v>(2.40)</v>
      </c>
      <c r="HD32" s="207">
        <v>2</v>
      </c>
      <c r="HE32" s="207">
        <f t="shared" si="125"/>
        <v>3</v>
      </c>
      <c r="HF32" s="207">
        <v>1</v>
      </c>
      <c r="HG32" s="207">
        <f t="shared" si="126"/>
        <v>1.125</v>
      </c>
      <c r="HH32" s="207">
        <v>0</v>
      </c>
      <c r="HI32" s="207">
        <f t="shared" si="127"/>
        <v>0</v>
      </c>
      <c r="HJ32" s="207">
        <f t="shared" si="128"/>
        <v>4.125</v>
      </c>
      <c r="HK32" s="208">
        <f t="shared" si="129"/>
        <v>97.875</v>
      </c>
      <c r="HL32" s="205">
        <f t="shared" si="130"/>
        <v>26.886510416666667</v>
      </c>
      <c r="HM32" s="206" t="str">
        <f t="shared" si="131"/>
        <v>(2.50)</v>
      </c>
      <c r="HN32" s="207">
        <v>2</v>
      </c>
      <c r="HO32" s="207">
        <f t="shared" si="132"/>
        <v>3</v>
      </c>
      <c r="HP32" s="207">
        <v>1</v>
      </c>
      <c r="HQ32" s="207">
        <f t="shared" si="133"/>
        <v>1.125</v>
      </c>
      <c r="HR32" s="207">
        <v>2</v>
      </c>
      <c r="HS32" s="207">
        <f t="shared" si="134"/>
        <v>2</v>
      </c>
      <c r="HT32" s="207">
        <f t="shared" si="135"/>
        <v>6.125</v>
      </c>
      <c r="HU32" s="208">
        <f t="shared" si="136"/>
        <v>101.875</v>
      </c>
      <c r="HV32" s="205">
        <f t="shared" si="137"/>
        <v>28.470010416666664</v>
      </c>
      <c r="HW32" s="206" t="str">
        <f t="shared" si="138"/>
        <v>(2.64)</v>
      </c>
      <c r="HX32" s="207">
        <v>2</v>
      </c>
      <c r="HY32" s="207">
        <f t="shared" si="139"/>
        <v>3</v>
      </c>
      <c r="HZ32" s="207">
        <v>1</v>
      </c>
      <c r="IA32" s="207">
        <f t="shared" si="140"/>
        <v>1.125</v>
      </c>
      <c r="IB32" s="207">
        <v>2</v>
      </c>
      <c r="IC32" s="207">
        <f t="shared" si="141"/>
        <v>2</v>
      </c>
      <c r="ID32" s="207">
        <f t="shared" si="142"/>
        <v>6.125</v>
      </c>
      <c r="IE32" s="208">
        <f t="shared" si="143"/>
        <v>107.875</v>
      </c>
      <c r="IF32" s="205">
        <f t="shared" si="144"/>
        <v>30.053510416666668</v>
      </c>
      <c r="IG32" s="206" t="str">
        <f t="shared" si="145"/>
        <v>(2.79)</v>
      </c>
      <c r="IH32" s="21">
        <v>2</v>
      </c>
      <c r="II32" s="21">
        <f t="shared" si="146"/>
        <v>3</v>
      </c>
      <c r="IJ32" s="21">
        <v>1</v>
      </c>
      <c r="IK32" s="21">
        <f t="shared" si="147"/>
        <v>1.125</v>
      </c>
      <c r="IL32" s="21">
        <v>2</v>
      </c>
      <c r="IM32" s="21">
        <f t="shared" si="148"/>
        <v>2</v>
      </c>
      <c r="IN32" s="21">
        <f t="shared" si="149"/>
        <v>6.125</v>
      </c>
      <c r="IO32" s="22">
        <f t="shared" si="150"/>
        <v>113.875</v>
      </c>
      <c r="IP32" s="23"/>
      <c r="IQ32" s="24">
        <v>13</v>
      </c>
      <c r="IR32" s="25">
        <v>2.5</v>
      </c>
      <c r="IS32" s="25">
        <v>2.8079999999999998</v>
      </c>
      <c r="IT32" s="25">
        <v>1.8080000000000001</v>
      </c>
      <c r="IU32" s="25">
        <v>1.5</v>
      </c>
      <c r="IV32" s="25">
        <v>1</v>
      </c>
      <c r="IW32" s="25">
        <v>1.125</v>
      </c>
      <c r="IX32" s="7"/>
    </row>
    <row r="33" spans="2:258" ht="15.75" thickBot="1" x14ac:dyDescent="0.3">
      <c r="B33" s="79">
        <f t="shared" si="9"/>
        <v>96</v>
      </c>
      <c r="C33" s="148">
        <v>17</v>
      </c>
      <c r="D33" s="487"/>
      <c r="E33" s="488"/>
      <c r="F33" s="488"/>
      <c r="G33" s="488"/>
      <c r="H33" s="488"/>
      <c r="I33" s="488"/>
      <c r="J33" s="488"/>
      <c r="K33" s="488"/>
      <c r="L33" s="488"/>
      <c r="M33" s="488"/>
      <c r="N33" s="488"/>
      <c r="O33" s="488"/>
      <c r="P33" s="488"/>
      <c r="Q33" s="488"/>
      <c r="R33" s="488"/>
      <c r="S33" s="488"/>
      <c r="T33" s="488"/>
      <c r="U33" s="488"/>
      <c r="V33" s="488"/>
      <c r="W33" s="488"/>
      <c r="X33" s="76"/>
      <c r="Y33" s="46"/>
      <c r="AT33" s="3"/>
      <c r="AU33" s="13">
        <f t="shared" si="151"/>
        <v>78</v>
      </c>
      <c r="AV33" s="11" t="str">
        <f t="shared" si="10"/>
        <v>(2000)</v>
      </c>
      <c r="AW33" s="18"/>
      <c r="AX33" s="19">
        <f t="shared" si="11"/>
        <v>1.7383749999999998</v>
      </c>
      <c r="AY33" s="20" t="str">
        <f t="shared" si="12"/>
        <v>(0.16)</v>
      </c>
      <c r="AZ33" s="21">
        <v>2</v>
      </c>
      <c r="BA33" s="21">
        <f t="shared" si="13"/>
        <v>3</v>
      </c>
      <c r="BB33" s="21">
        <v>0</v>
      </c>
      <c r="BC33" s="21">
        <f t="shared" si="14"/>
        <v>0</v>
      </c>
      <c r="BD33" s="21">
        <v>0</v>
      </c>
      <c r="BE33" s="21">
        <f t="shared" si="15"/>
        <v>0</v>
      </c>
      <c r="BF33" s="21">
        <f t="shared" si="16"/>
        <v>3</v>
      </c>
      <c r="BG33" s="22">
        <f t="shared" si="17"/>
        <v>6</v>
      </c>
      <c r="BH33" s="205">
        <f t="shared" si="18"/>
        <v>2.6075624999999998</v>
      </c>
      <c r="BI33" s="206" t="str">
        <f t="shared" si="19"/>
        <v>(0.24)</v>
      </c>
      <c r="BJ33" s="207">
        <v>2</v>
      </c>
      <c r="BK33" s="207">
        <f t="shared" si="20"/>
        <v>3</v>
      </c>
      <c r="BL33" s="207">
        <v>0</v>
      </c>
      <c r="BM33" s="207">
        <f t="shared" si="21"/>
        <v>0</v>
      </c>
      <c r="BN33" s="207">
        <v>0</v>
      </c>
      <c r="BO33" s="207">
        <f t="shared" si="22"/>
        <v>0</v>
      </c>
      <c r="BP33" s="207">
        <f t="shared" si="23"/>
        <v>3</v>
      </c>
      <c r="BQ33" s="208">
        <f t="shared" si="24"/>
        <v>9</v>
      </c>
      <c r="BR33" s="205">
        <f t="shared" si="25"/>
        <v>4.3459374999999998</v>
      </c>
      <c r="BS33" s="206" t="str">
        <f t="shared" si="26"/>
        <v>(0.4)</v>
      </c>
      <c r="BT33" s="207">
        <v>2</v>
      </c>
      <c r="BU33" s="207">
        <f t="shared" si="27"/>
        <v>3</v>
      </c>
      <c r="BV33" s="207">
        <v>0</v>
      </c>
      <c r="BW33" s="207">
        <f t="shared" si="28"/>
        <v>0</v>
      </c>
      <c r="BX33" s="207">
        <v>0</v>
      </c>
      <c r="BY33" s="207">
        <f t="shared" si="29"/>
        <v>0</v>
      </c>
      <c r="BZ33" s="207">
        <f t="shared" si="30"/>
        <v>3</v>
      </c>
      <c r="CA33" s="208">
        <f t="shared" si="31"/>
        <v>15</v>
      </c>
      <c r="CB33" s="205">
        <f t="shared" si="32"/>
        <v>6.0843124999999993</v>
      </c>
      <c r="CC33" s="206" t="str">
        <f t="shared" si="33"/>
        <v>(0.57)</v>
      </c>
      <c r="CD33" s="207">
        <v>2</v>
      </c>
      <c r="CE33" s="207">
        <f t="shared" si="34"/>
        <v>3</v>
      </c>
      <c r="CF33" s="207">
        <v>0</v>
      </c>
      <c r="CG33" s="207">
        <f t="shared" si="35"/>
        <v>0</v>
      </c>
      <c r="CH33" s="207">
        <v>0</v>
      </c>
      <c r="CI33" s="207">
        <f t="shared" si="36"/>
        <v>0</v>
      </c>
      <c r="CJ33" s="207">
        <f t="shared" si="37"/>
        <v>3</v>
      </c>
      <c r="CK33" s="208">
        <f t="shared" si="38"/>
        <v>21</v>
      </c>
      <c r="CL33" s="205">
        <f t="shared" si="39"/>
        <v>7.8226874999999989</v>
      </c>
      <c r="CM33" s="206" t="str">
        <f t="shared" si="40"/>
        <v>(0.73)</v>
      </c>
      <c r="CN33" s="207">
        <v>2</v>
      </c>
      <c r="CO33" s="207">
        <f t="shared" si="41"/>
        <v>3</v>
      </c>
      <c r="CP33" s="207">
        <v>0</v>
      </c>
      <c r="CQ33" s="207">
        <f t="shared" si="42"/>
        <v>0</v>
      </c>
      <c r="CR33" s="207">
        <v>0</v>
      </c>
      <c r="CS33" s="207">
        <f t="shared" si="43"/>
        <v>0</v>
      </c>
      <c r="CT33" s="207">
        <f t="shared" si="44"/>
        <v>3</v>
      </c>
      <c r="CU33" s="208">
        <f t="shared" si="45"/>
        <v>27</v>
      </c>
      <c r="CV33" s="205">
        <f t="shared" si="46"/>
        <v>9.5610624999999985</v>
      </c>
      <c r="CW33" s="206" t="str">
        <f t="shared" si="47"/>
        <v>(0.89)</v>
      </c>
      <c r="CX33" s="207">
        <v>2</v>
      </c>
      <c r="CY33" s="207">
        <f t="shared" si="48"/>
        <v>3</v>
      </c>
      <c r="CZ33" s="207">
        <v>0</v>
      </c>
      <c r="DA33" s="207">
        <f t="shared" si="49"/>
        <v>0</v>
      </c>
      <c r="DB33" s="207">
        <v>0</v>
      </c>
      <c r="DC33" s="207">
        <f t="shared" si="50"/>
        <v>0</v>
      </c>
      <c r="DD33" s="207">
        <f t="shared" si="51"/>
        <v>3</v>
      </c>
      <c r="DE33" s="208">
        <f t="shared" si="52"/>
        <v>33</v>
      </c>
      <c r="DF33" s="205">
        <f t="shared" si="53"/>
        <v>11.2994375</v>
      </c>
      <c r="DG33" s="206" t="str">
        <f t="shared" si="54"/>
        <v>(1.05)</v>
      </c>
      <c r="DH33" s="207">
        <v>2</v>
      </c>
      <c r="DI33" s="207">
        <f t="shared" si="55"/>
        <v>3</v>
      </c>
      <c r="DJ33" s="207">
        <v>0</v>
      </c>
      <c r="DK33" s="207">
        <f t="shared" si="56"/>
        <v>0</v>
      </c>
      <c r="DL33" s="207">
        <v>0</v>
      </c>
      <c r="DM33" s="207">
        <f t="shared" si="57"/>
        <v>0</v>
      </c>
      <c r="DN33" s="207">
        <f t="shared" si="58"/>
        <v>3</v>
      </c>
      <c r="DO33" s="208">
        <f t="shared" si="59"/>
        <v>39</v>
      </c>
      <c r="DP33" s="205">
        <f t="shared" si="60"/>
        <v>13.037812499999999</v>
      </c>
      <c r="DQ33" s="206" t="str">
        <f t="shared" si="61"/>
        <v>(1.21)</v>
      </c>
      <c r="DR33" s="207">
        <v>2</v>
      </c>
      <c r="DS33" s="207">
        <f t="shared" si="62"/>
        <v>3</v>
      </c>
      <c r="DT33" s="207">
        <v>0</v>
      </c>
      <c r="DU33" s="207">
        <f t="shared" si="63"/>
        <v>0</v>
      </c>
      <c r="DV33" s="207">
        <v>0</v>
      </c>
      <c r="DW33" s="207">
        <f t="shared" si="64"/>
        <v>0</v>
      </c>
      <c r="DX33" s="207">
        <f t="shared" si="65"/>
        <v>3</v>
      </c>
      <c r="DY33" s="208">
        <f t="shared" si="66"/>
        <v>45</v>
      </c>
      <c r="DZ33" s="205">
        <f t="shared" si="67"/>
        <v>14.486458333333331</v>
      </c>
      <c r="EA33" s="206" t="str">
        <f t="shared" si="68"/>
        <v>(1.35)</v>
      </c>
      <c r="EB33" s="207">
        <v>2</v>
      </c>
      <c r="EC33" s="207">
        <f t="shared" si="69"/>
        <v>3</v>
      </c>
      <c r="ED33" s="207">
        <v>0</v>
      </c>
      <c r="EE33" s="207">
        <f t="shared" si="70"/>
        <v>0</v>
      </c>
      <c r="EF33" s="207">
        <v>1</v>
      </c>
      <c r="EG33" s="207">
        <f t="shared" si="71"/>
        <v>1</v>
      </c>
      <c r="EH33" s="207">
        <f t="shared" si="72"/>
        <v>4</v>
      </c>
      <c r="EI33" s="208">
        <f t="shared" si="73"/>
        <v>50</v>
      </c>
      <c r="EJ33" s="205">
        <f t="shared" si="74"/>
        <v>16.224833333333333</v>
      </c>
      <c r="EK33" s="206" t="str">
        <f t="shared" si="75"/>
        <v>(1.51)</v>
      </c>
      <c r="EL33" s="207">
        <v>2</v>
      </c>
      <c r="EM33" s="207">
        <f t="shared" si="76"/>
        <v>3</v>
      </c>
      <c r="EN33" s="207">
        <v>0</v>
      </c>
      <c r="EO33" s="207">
        <f t="shared" si="77"/>
        <v>0</v>
      </c>
      <c r="EP33" s="207">
        <v>1</v>
      </c>
      <c r="EQ33" s="207">
        <f t="shared" si="78"/>
        <v>1</v>
      </c>
      <c r="ER33" s="207">
        <f t="shared" si="79"/>
        <v>4</v>
      </c>
      <c r="ES33" s="208">
        <f t="shared" si="80"/>
        <v>56</v>
      </c>
      <c r="ET33" s="205">
        <f t="shared" si="81"/>
        <v>17.963208333333331</v>
      </c>
      <c r="EU33" s="206" t="str">
        <f t="shared" si="82"/>
        <v>(1.67)</v>
      </c>
      <c r="EV33" s="207">
        <v>2</v>
      </c>
      <c r="EW33" s="207">
        <f t="shared" si="83"/>
        <v>3</v>
      </c>
      <c r="EX33" s="207">
        <v>0</v>
      </c>
      <c r="EY33" s="207">
        <f t="shared" si="84"/>
        <v>0</v>
      </c>
      <c r="EZ33" s="207">
        <v>1</v>
      </c>
      <c r="FA33" s="207">
        <f t="shared" si="85"/>
        <v>1</v>
      </c>
      <c r="FB33" s="207">
        <f t="shared" si="86"/>
        <v>4</v>
      </c>
      <c r="FC33" s="208">
        <f t="shared" si="87"/>
        <v>62</v>
      </c>
      <c r="FD33" s="205">
        <f t="shared" si="88"/>
        <v>19.991312499999999</v>
      </c>
      <c r="FE33" s="206" t="str">
        <f t="shared" si="89"/>
        <v>(1.86)</v>
      </c>
      <c r="FF33" s="207">
        <v>2</v>
      </c>
      <c r="FG33" s="207">
        <f t="shared" si="90"/>
        <v>3</v>
      </c>
      <c r="FH33" s="469">
        <v>0</v>
      </c>
      <c r="FI33" s="207">
        <f t="shared" si="91"/>
        <v>0</v>
      </c>
      <c r="FJ33" s="207">
        <v>0</v>
      </c>
      <c r="FK33" s="207">
        <f t="shared" si="92"/>
        <v>0</v>
      </c>
      <c r="FL33" s="207">
        <f t="shared" si="93"/>
        <v>3</v>
      </c>
      <c r="FM33" s="208">
        <f t="shared" si="94"/>
        <v>69</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1"/>
      <c r="GO33" s="31"/>
      <c r="GP33" s="31"/>
      <c r="GQ33" s="31"/>
      <c r="GR33" s="30"/>
      <c r="GS33" s="30"/>
      <c r="GT33" s="31"/>
      <c r="GU33" s="31"/>
      <c r="GV33" s="31"/>
      <c r="GW33" s="31"/>
      <c r="GX33" s="31"/>
      <c r="GY33" s="31"/>
      <c r="GZ33" s="31"/>
      <c r="HA33" s="31"/>
      <c r="HB33" s="30"/>
      <c r="HC33" s="30"/>
      <c r="HD33" s="31"/>
      <c r="HE33" s="31"/>
      <c r="HF33" s="31"/>
      <c r="HG33" s="31"/>
      <c r="HH33" s="31"/>
      <c r="HI33" s="31"/>
      <c r="HJ33" s="31"/>
      <c r="HK33" s="31"/>
      <c r="HL33" s="30"/>
      <c r="HM33" s="30"/>
      <c r="HN33" s="31"/>
      <c r="HO33" s="31"/>
      <c r="HP33" s="31"/>
      <c r="HQ33" s="31"/>
      <c r="HR33" s="31"/>
      <c r="HS33" s="31"/>
      <c r="HT33" s="31"/>
      <c r="HU33" s="31"/>
      <c r="HV33" s="30"/>
      <c r="HW33" s="30"/>
      <c r="HX33" s="31"/>
      <c r="HY33" s="31"/>
      <c r="HZ33" s="31"/>
      <c r="IA33" s="31"/>
      <c r="IB33" s="31"/>
      <c r="IC33" s="31"/>
      <c r="ID33" s="31"/>
      <c r="IE33" s="31"/>
      <c r="IF33" s="30"/>
      <c r="IG33" s="30"/>
      <c r="IH33" s="31"/>
      <c r="II33" s="31"/>
      <c r="IJ33" s="31"/>
      <c r="IK33" s="31"/>
      <c r="IL33" s="31"/>
      <c r="IM33" s="31"/>
      <c r="IN33" s="32"/>
      <c r="IO33" s="32"/>
      <c r="IP33" s="32"/>
      <c r="IQ33" s="24">
        <v>14</v>
      </c>
      <c r="IR33" s="25">
        <v>2.5</v>
      </c>
      <c r="IS33" s="25">
        <v>2.8079999999999998</v>
      </c>
      <c r="IT33" s="25">
        <v>2.7170000000000001</v>
      </c>
      <c r="IU33" s="25">
        <v>1.5</v>
      </c>
      <c r="IV33" s="25">
        <v>1</v>
      </c>
      <c r="IW33" s="25">
        <v>1.125</v>
      </c>
      <c r="IX33" s="7"/>
    </row>
    <row r="34" spans="2:258" ht="15.75" thickBot="1" x14ac:dyDescent="0.3">
      <c r="B34" s="79">
        <f t="shared" si="9"/>
        <v>102</v>
      </c>
      <c r="C34" s="147">
        <v>18</v>
      </c>
      <c r="D34" s="487"/>
      <c r="E34" s="488"/>
      <c r="F34" s="488"/>
      <c r="G34" s="488"/>
      <c r="H34" s="488"/>
      <c r="I34" s="488"/>
      <c r="J34" s="488"/>
      <c r="K34" s="488"/>
      <c r="L34" s="488"/>
      <c r="M34" s="488"/>
      <c r="N34" s="488"/>
      <c r="O34" s="488"/>
      <c r="P34" s="488"/>
      <c r="Q34" s="488"/>
      <c r="R34" s="488"/>
      <c r="S34" s="488"/>
      <c r="T34" s="488"/>
      <c r="U34" s="488"/>
      <c r="V34" s="488"/>
      <c r="W34" s="488"/>
      <c r="X34" s="76"/>
      <c r="Y34" s="46"/>
      <c r="AT34" s="3"/>
      <c r="AU34" s="13">
        <f t="shared" si="151"/>
        <v>84</v>
      </c>
      <c r="AV34" s="11" t="str">
        <f t="shared" si="10"/>
        <v>(2150)</v>
      </c>
      <c r="AW34" s="18"/>
      <c r="AX34" s="19">
        <f t="shared" si="11"/>
        <v>1.8435833333333334</v>
      </c>
      <c r="AY34" s="20" t="str">
        <f t="shared" si="12"/>
        <v>(0.17)</v>
      </c>
      <c r="AZ34" s="21">
        <v>2</v>
      </c>
      <c r="BA34" s="21">
        <f t="shared" si="13"/>
        <v>3</v>
      </c>
      <c r="BB34" s="21">
        <v>0</v>
      </c>
      <c r="BC34" s="21">
        <f t="shared" si="14"/>
        <v>0</v>
      </c>
      <c r="BD34" s="21">
        <v>0</v>
      </c>
      <c r="BE34" s="21">
        <f t="shared" si="15"/>
        <v>0</v>
      </c>
      <c r="BF34" s="21">
        <f t="shared" si="16"/>
        <v>3</v>
      </c>
      <c r="BG34" s="22">
        <f t="shared" si="17"/>
        <v>6</v>
      </c>
      <c r="BH34" s="205">
        <f t="shared" si="18"/>
        <v>2.7653749999999997</v>
      </c>
      <c r="BI34" s="206" t="str">
        <f t="shared" si="19"/>
        <v>(0.26)</v>
      </c>
      <c r="BJ34" s="207">
        <v>2</v>
      </c>
      <c r="BK34" s="207">
        <f t="shared" si="20"/>
        <v>3</v>
      </c>
      <c r="BL34" s="207">
        <v>0</v>
      </c>
      <c r="BM34" s="207">
        <f t="shared" si="21"/>
        <v>0</v>
      </c>
      <c r="BN34" s="207">
        <v>0</v>
      </c>
      <c r="BO34" s="207">
        <f t="shared" si="22"/>
        <v>0</v>
      </c>
      <c r="BP34" s="207">
        <f t="shared" si="23"/>
        <v>3</v>
      </c>
      <c r="BQ34" s="208">
        <f t="shared" si="24"/>
        <v>9</v>
      </c>
      <c r="BR34" s="205">
        <f t="shared" si="25"/>
        <v>4.6089583333333328</v>
      </c>
      <c r="BS34" s="206" t="str">
        <f t="shared" si="26"/>
        <v>(0.43)</v>
      </c>
      <c r="BT34" s="207">
        <v>2</v>
      </c>
      <c r="BU34" s="207">
        <f t="shared" si="27"/>
        <v>3</v>
      </c>
      <c r="BV34" s="207">
        <v>0</v>
      </c>
      <c r="BW34" s="207">
        <f t="shared" si="28"/>
        <v>0</v>
      </c>
      <c r="BX34" s="207">
        <v>0</v>
      </c>
      <c r="BY34" s="207">
        <f t="shared" si="29"/>
        <v>0</v>
      </c>
      <c r="BZ34" s="207">
        <f t="shared" si="30"/>
        <v>3</v>
      </c>
      <c r="CA34" s="208">
        <f t="shared" si="31"/>
        <v>15</v>
      </c>
      <c r="CB34" s="205">
        <f t="shared" si="32"/>
        <v>6.452541666666666</v>
      </c>
      <c r="CC34" s="206" t="str">
        <f t="shared" si="33"/>
        <v>(0.6)</v>
      </c>
      <c r="CD34" s="207">
        <v>2</v>
      </c>
      <c r="CE34" s="207">
        <f t="shared" si="34"/>
        <v>3</v>
      </c>
      <c r="CF34" s="207">
        <v>0</v>
      </c>
      <c r="CG34" s="207">
        <f t="shared" si="35"/>
        <v>0</v>
      </c>
      <c r="CH34" s="207">
        <v>0</v>
      </c>
      <c r="CI34" s="207">
        <f t="shared" si="36"/>
        <v>0</v>
      </c>
      <c r="CJ34" s="207">
        <f t="shared" si="37"/>
        <v>3</v>
      </c>
      <c r="CK34" s="208">
        <f t="shared" si="38"/>
        <v>21</v>
      </c>
      <c r="CL34" s="205">
        <f t="shared" si="39"/>
        <v>8.2961249999999982</v>
      </c>
      <c r="CM34" s="206" t="str">
        <f t="shared" si="40"/>
        <v>(0.77)</v>
      </c>
      <c r="CN34" s="207">
        <v>2</v>
      </c>
      <c r="CO34" s="207">
        <f t="shared" si="41"/>
        <v>3</v>
      </c>
      <c r="CP34" s="207">
        <v>0</v>
      </c>
      <c r="CQ34" s="207">
        <f t="shared" si="42"/>
        <v>0</v>
      </c>
      <c r="CR34" s="207">
        <v>0</v>
      </c>
      <c r="CS34" s="207">
        <f t="shared" si="43"/>
        <v>0</v>
      </c>
      <c r="CT34" s="207">
        <f t="shared" si="44"/>
        <v>3</v>
      </c>
      <c r="CU34" s="208">
        <f t="shared" si="45"/>
        <v>27</v>
      </c>
      <c r="CV34" s="205">
        <f t="shared" si="46"/>
        <v>10.139708333333333</v>
      </c>
      <c r="CW34" s="206" t="str">
        <f t="shared" si="47"/>
        <v>(0.94)</v>
      </c>
      <c r="CX34" s="207">
        <v>2</v>
      </c>
      <c r="CY34" s="207">
        <f t="shared" si="48"/>
        <v>3</v>
      </c>
      <c r="CZ34" s="207">
        <v>0</v>
      </c>
      <c r="DA34" s="207">
        <f t="shared" si="49"/>
        <v>0</v>
      </c>
      <c r="DB34" s="207">
        <v>0</v>
      </c>
      <c r="DC34" s="207">
        <f t="shared" si="50"/>
        <v>0</v>
      </c>
      <c r="DD34" s="207">
        <f t="shared" si="51"/>
        <v>3</v>
      </c>
      <c r="DE34" s="208">
        <f t="shared" si="52"/>
        <v>33</v>
      </c>
      <c r="DF34" s="205">
        <f t="shared" si="53"/>
        <v>11.983291666666666</v>
      </c>
      <c r="DG34" s="206" t="str">
        <f t="shared" si="54"/>
        <v>(1.11)</v>
      </c>
      <c r="DH34" s="207">
        <v>2</v>
      </c>
      <c r="DI34" s="207">
        <f t="shared" si="55"/>
        <v>3</v>
      </c>
      <c r="DJ34" s="207">
        <v>0</v>
      </c>
      <c r="DK34" s="207">
        <f t="shared" si="56"/>
        <v>0</v>
      </c>
      <c r="DL34" s="207">
        <v>0</v>
      </c>
      <c r="DM34" s="207">
        <f t="shared" si="57"/>
        <v>0</v>
      </c>
      <c r="DN34" s="207">
        <f t="shared" si="58"/>
        <v>3</v>
      </c>
      <c r="DO34" s="208">
        <f t="shared" si="59"/>
        <v>39</v>
      </c>
      <c r="DP34" s="205">
        <f t="shared" si="60"/>
        <v>13.826874999999998</v>
      </c>
      <c r="DQ34" s="206" t="str">
        <f t="shared" si="61"/>
        <v>(1.28)</v>
      </c>
      <c r="DR34" s="207">
        <v>2</v>
      </c>
      <c r="DS34" s="207">
        <f t="shared" si="62"/>
        <v>3</v>
      </c>
      <c r="DT34" s="207">
        <v>0</v>
      </c>
      <c r="DU34" s="207">
        <f t="shared" si="63"/>
        <v>0</v>
      </c>
      <c r="DV34" s="207">
        <v>0</v>
      </c>
      <c r="DW34" s="207">
        <f t="shared" si="64"/>
        <v>0</v>
      </c>
      <c r="DX34" s="207">
        <f t="shared" si="65"/>
        <v>3</v>
      </c>
      <c r="DY34" s="208">
        <f t="shared" si="66"/>
        <v>45</v>
      </c>
      <c r="DZ34" s="205">
        <f t="shared" si="67"/>
        <v>15.363194444444442</v>
      </c>
      <c r="EA34" s="206" t="str">
        <f t="shared" si="68"/>
        <v>(1.43)</v>
      </c>
      <c r="EB34" s="207">
        <v>2</v>
      </c>
      <c r="EC34" s="207">
        <f t="shared" si="69"/>
        <v>3</v>
      </c>
      <c r="ED34" s="207">
        <v>0</v>
      </c>
      <c r="EE34" s="207">
        <f t="shared" si="70"/>
        <v>0</v>
      </c>
      <c r="EF34" s="207">
        <v>1</v>
      </c>
      <c r="EG34" s="207">
        <f t="shared" si="71"/>
        <v>1</v>
      </c>
      <c r="EH34" s="207">
        <f t="shared" si="72"/>
        <v>4</v>
      </c>
      <c r="EI34" s="208">
        <f t="shared" si="73"/>
        <v>50</v>
      </c>
      <c r="EJ34" s="205">
        <f t="shared" si="74"/>
        <v>17.206777777777777</v>
      </c>
      <c r="EK34" s="206" t="str">
        <f t="shared" si="75"/>
        <v>(1.60)</v>
      </c>
      <c r="EL34" s="207">
        <v>2</v>
      </c>
      <c r="EM34" s="207">
        <f t="shared" si="76"/>
        <v>3</v>
      </c>
      <c r="EN34" s="207">
        <v>0</v>
      </c>
      <c r="EO34" s="207">
        <f t="shared" si="77"/>
        <v>0</v>
      </c>
      <c r="EP34" s="207">
        <v>1</v>
      </c>
      <c r="EQ34" s="207">
        <f t="shared" si="78"/>
        <v>1</v>
      </c>
      <c r="ER34" s="207">
        <f t="shared" si="79"/>
        <v>4</v>
      </c>
      <c r="ES34" s="208">
        <f t="shared" si="80"/>
        <v>56</v>
      </c>
      <c r="ET34" s="205">
        <f t="shared" si="81"/>
        <v>19.050361111111108</v>
      </c>
      <c r="EU34" s="206" t="str">
        <f t="shared" si="82"/>
        <v>(1.77)</v>
      </c>
      <c r="EV34" s="207">
        <v>2</v>
      </c>
      <c r="EW34" s="207">
        <f t="shared" si="83"/>
        <v>3</v>
      </c>
      <c r="EX34" s="207">
        <v>0</v>
      </c>
      <c r="EY34" s="207">
        <f t="shared" si="84"/>
        <v>0</v>
      </c>
      <c r="EZ34" s="207">
        <v>1</v>
      </c>
      <c r="FA34" s="207">
        <f t="shared" si="85"/>
        <v>1</v>
      </c>
      <c r="FB34" s="207">
        <f t="shared" si="86"/>
        <v>4</v>
      </c>
      <c r="FC34" s="208">
        <f t="shared" si="87"/>
        <v>62</v>
      </c>
      <c r="FD34" s="205">
        <f t="shared" si="88"/>
        <v>21.20120833333333</v>
      </c>
      <c r="FE34" s="206" t="str">
        <f t="shared" si="89"/>
        <v>(1.97)</v>
      </c>
      <c r="FF34" s="207">
        <v>2</v>
      </c>
      <c r="FG34" s="207">
        <f t="shared" si="90"/>
        <v>3</v>
      </c>
      <c r="FH34" s="469">
        <v>0</v>
      </c>
      <c r="FI34" s="207">
        <f t="shared" si="91"/>
        <v>0</v>
      </c>
      <c r="FJ34" s="207">
        <v>0</v>
      </c>
      <c r="FK34" s="207">
        <f t="shared" si="92"/>
        <v>0</v>
      </c>
      <c r="FL34" s="207">
        <f t="shared" si="93"/>
        <v>3</v>
      </c>
      <c r="FM34" s="208">
        <f t="shared" si="94"/>
        <v>69</v>
      </c>
      <c r="FN34" s="30"/>
      <c r="FO34" s="30"/>
      <c r="FP34" s="31"/>
      <c r="FQ34" s="31"/>
      <c r="FR34" s="31"/>
      <c r="FS34" s="31"/>
      <c r="FT34" s="31"/>
      <c r="FU34" s="31"/>
      <c r="FV34" s="31"/>
      <c r="FW34" s="31"/>
      <c r="FX34" s="30"/>
      <c r="FY34" s="30"/>
      <c r="FZ34" s="31"/>
      <c r="GA34" s="31"/>
      <c r="GB34" s="31"/>
      <c r="GC34" s="31"/>
      <c r="GD34" s="31"/>
      <c r="GE34" s="31"/>
      <c r="GF34" s="31"/>
      <c r="GG34" s="31"/>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1"/>
      <c r="IK34" s="31"/>
      <c r="IL34" s="31"/>
      <c r="IM34" s="31"/>
      <c r="IN34" s="32"/>
      <c r="IO34" s="32"/>
      <c r="IP34" s="32"/>
      <c r="IQ34" s="24">
        <v>15</v>
      </c>
      <c r="IR34" s="25">
        <v>2.5</v>
      </c>
      <c r="IS34" s="25">
        <v>2.8079999999999998</v>
      </c>
      <c r="IT34" s="25">
        <v>2.4340000000000002</v>
      </c>
      <c r="IU34" s="25">
        <v>1.5</v>
      </c>
      <c r="IV34" s="25">
        <v>1</v>
      </c>
      <c r="IW34" s="25">
        <v>1.125</v>
      </c>
      <c r="IX34" s="7"/>
    </row>
    <row r="35" spans="2:258" ht="15.75" thickBot="1" x14ac:dyDescent="0.3">
      <c r="B35" s="79">
        <f t="shared" si="9"/>
        <v>108</v>
      </c>
      <c r="C35" s="148">
        <v>19</v>
      </c>
      <c r="D35" s="487"/>
      <c r="E35" s="488"/>
      <c r="F35" s="488"/>
      <c r="G35" s="488"/>
      <c r="H35" s="488"/>
      <c r="I35" s="488"/>
      <c r="J35" s="488"/>
      <c r="K35" s="488"/>
      <c r="L35" s="488"/>
      <c r="M35" s="488"/>
      <c r="N35" s="488"/>
      <c r="O35" s="488"/>
      <c r="P35" s="488"/>
      <c r="Q35" s="488"/>
      <c r="R35" s="488"/>
      <c r="S35" s="488"/>
      <c r="T35" s="488"/>
      <c r="U35" s="488"/>
      <c r="V35" s="488"/>
      <c r="W35" s="488"/>
      <c r="X35" s="76"/>
      <c r="Y35" s="46"/>
      <c r="AT35" s="3"/>
      <c r="AU35" s="26">
        <f t="shared" si="151"/>
        <v>90</v>
      </c>
      <c r="AV35" s="27" t="str">
        <f t="shared" si="10"/>
        <v>(2300)</v>
      </c>
      <c r="AW35" s="18"/>
      <c r="AX35" s="19">
        <f t="shared" si="11"/>
        <v>1.9798333333333333</v>
      </c>
      <c r="AY35" s="28" t="str">
        <f t="shared" si="12"/>
        <v>(0.18)</v>
      </c>
      <c r="AZ35" s="21">
        <v>2</v>
      </c>
      <c r="BA35" s="21">
        <f t="shared" si="13"/>
        <v>3</v>
      </c>
      <c r="BB35" s="29">
        <v>0</v>
      </c>
      <c r="BC35" s="21">
        <f t="shared" si="14"/>
        <v>0</v>
      </c>
      <c r="BD35" s="29">
        <v>0</v>
      </c>
      <c r="BE35" s="21">
        <f t="shared" si="15"/>
        <v>0</v>
      </c>
      <c r="BF35" s="21">
        <f t="shared" si="16"/>
        <v>3</v>
      </c>
      <c r="BG35" s="22">
        <f t="shared" si="17"/>
        <v>6</v>
      </c>
      <c r="BH35" s="205">
        <f t="shared" si="18"/>
        <v>2.9697499999999999</v>
      </c>
      <c r="BI35" s="206" t="str">
        <f t="shared" si="19"/>
        <v>(0.28)</v>
      </c>
      <c r="BJ35" s="207">
        <v>2</v>
      </c>
      <c r="BK35" s="207">
        <f t="shared" si="20"/>
        <v>3</v>
      </c>
      <c r="BL35" s="207">
        <v>0</v>
      </c>
      <c r="BM35" s="207">
        <f t="shared" si="21"/>
        <v>0</v>
      </c>
      <c r="BN35" s="207">
        <v>0</v>
      </c>
      <c r="BO35" s="207">
        <f t="shared" si="22"/>
        <v>0</v>
      </c>
      <c r="BP35" s="207">
        <f t="shared" si="23"/>
        <v>3</v>
      </c>
      <c r="BQ35" s="208">
        <f t="shared" si="24"/>
        <v>9</v>
      </c>
      <c r="BR35" s="205">
        <f t="shared" si="25"/>
        <v>4.949583333333333</v>
      </c>
      <c r="BS35" s="206" t="str">
        <f t="shared" si="26"/>
        <v>(0.46)</v>
      </c>
      <c r="BT35" s="207">
        <v>2</v>
      </c>
      <c r="BU35" s="207">
        <f t="shared" si="27"/>
        <v>3</v>
      </c>
      <c r="BV35" s="207">
        <v>0</v>
      </c>
      <c r="BW35" s="207">
        <f t="shared" si="28"/>
        <v>0</v>
      </c>
      <c r="BX35" s="207">
        <v>0</v>
      </c>
      <c r="BY35" s="207">
        <f t="shared" si="29"/>
        <v>0</v>
      </c>
      <c r="BZ35" s="207">
        <f t="shared" si="30"/>
        <v>3</v>
      </c>
      <c r="CA35" s="208">
        <f t="shared" si="31"/>
        <v>15</v>
      </c>
      <c r="CB35" s="205">
        <f t="shared" si="32"/>
        <v>6.9294166666666666</v>
      </c>
      <c r="CC35" s="206" t="str">
        <f t="shared" si="33"/>
        <v>(0.64)</v>
      </c>
      <c r="CD35" s="207">
        <v>2</v>
      </c>
      <c r="CE35" s="207">
        <f t="shared" si="34"/>
        <v>3</v>
      </c>
      <c r="CF35" s="207">
        <v>0</v>
      </c>
      <c r="CG35" s="207">
        <f t="shared" si="35"/>
        <v>0</v>
      </c>
      <c r="CH35" s="207">
        <v>0</v>
      </c>
      <c r="CI35" s="207">
        <f t="shared" si="36"/>
        <v>0</v>
      </c>
      <c r="CJ35" s="207">
        <f t="shared" si="37"/>
        <v>3</v>
      </c>
      <c r="CK35" s="208">
        <f t="shared" si="38"/>
        <v>21</v>
      </c>
      <c r="CL35" s="205">
        <f t="shared" si="39"/>
        <v>8.9092500000000001</v>
      </c>
      <c r="CM35" s="206" t="str">
        <f t="shared" si="40"/>
        <v>(0.83)</v>
      </c>
      <c r="CN35" s="207">
        <v>2</v>
      </c>
      <c r="CO35" s="207">
        <f t="shared" si="41"/>
        <v>3</v>
      </c>
      <c r="CP35" s="207">
        <v>0</v>
      </c>
      <c r="CQ35" s="207">
        <f t="shared" si="42"/>
        <v>0</v>
      </c>
      <c r="CR35" s="207">
        <v>0</v>
      </c>
      <c r="CS35" s="207">
        <f t="shared" si="43"/>
        <v>0</v>
      </c>
      <c r="CT35" s="207">
        <f t="shared" si="44"/>
        <v>3</v>
      </c>
      <c r="CU35" s="208">
        <f t="shared" si="45"/>
        <v>27</v>
      </c>
      <c r="CV35" s="205">
        <f t="shared" si="46"/>
        <v>10.889083333333334</v>
      </c>
      <c r="CW35" s="206" t="str">
        <f t="shared" si="47"/>
        <v>(1.01)</v>
      </c>
      <c r="CX35" s="207">
        <v>2</v>
      </c>
      <c r="CY35" s="207">
        <f t="shared" si="48"/>
        <v>3</v>
      </c>
      <c r="CZ35" s="207">
        <v>0</v>
      </c>
      <c r="DA35" s="207">
        <f t="shared" si="49"/>
        <v>0</v>
      </c>
      <c r="DB35" s="207">
        <v>0</v>
      </c>
      <c r="DC35" s="207">
        <f t="shared" si="50"/>
        <v>0</v>
      </c>
      <c r="DD35" s="207">
        <f t="shared" si="51"/>
        <v>3</v>
      </c>
      <c r="DE35" s="208">
        <f t="shared" si="52"/>
        <v>33</v>
      </c>
      <c r="DF35" s="205">
        <f t="shared" si="53"/>
        <v>12.868916666666667</v>
      </c>
      <c r="DG35" s="206" t="str">
        <f t="shared" si="54"/>
        <v>(1.2)</v>
      </c>
      <c r="DH35" s="207">
        <v>2</v>
      </c>
      <c r="DI35" s="207">
        <f t="shared" si="55"/>
        <v>3</v>
      </c>
      <c r="DJ35" s="207">
        <v>0</v>
      </c>
      <c r="DK35" s="207">
        <f t="shared" si="56"/>
        <v>0</v>
      </c>
      <c r="DL35" s="207">
        <v>0</v>
      </c>
      <c r="DM35" s="207">
        <f t="shared" si="57"/>
        <v>0</v>
      </c>
      <c r="DN35" s="207">
        <f t="shared" si="58"/>
        <v>3</v>
      </c>
      <c r="DO35" s="208">
        <f t="shared" si="59"/>
        <v>39</v>
      </c>
      <c r="DP35" s="205">
        <f t="shared" si="60"/>
        <v>14.848749999999999</v>
      </c>
      <c r="DQ35" s="206" t="str">
        <f t="shared" si="61"/>
        <v>(1.38)</v>
      </c>
      <c r="DR35" s="207">
        <v>2</v>
      </c>
      <c r="DS35" s="207">
        <f t="shared" si="62"/>
        <v>3</v>
      </c>
      <c r="DT35" s="207">
        <v>0</v>
      </c>
      <c r="DU35" s="207">
        <f t="shared" si="63"/>
        <v>0</v>
      </c>
      <c r="DV35" s="207">
        <v>0</v>
      </c>
      <c r="DW35" s="207">
        <f t="shared" si="64"/>
        <v>0</v>
      </c>
      <c r="DX35" s="207">
        <f t="shared" si="65"/>
        <v>3</v>
      </c>
      <c r="DY35" s="208">
        <f t="shared" si="66"/>
        <v>45</v>
      </c>
      <c r="DZ35" s="205">
        <f t="shared" si="67"/>
        <v>16.49861111111111</v>
      </c>
      <c r="EA35" s="206" t="str">
        <f t="shared" si="68"/>
        <v>(1.53)</v>
      </c>
      <c r="EB35" s="207">
        <v>2</v>
      </c>
      <c r="EC35" s="207">
        <f t="shared" si="69"/>
        <v>3</v>
      </c>
      <c r="ED35" s="207">
        <v>0</v>
      </c>
      <c r="EE35" s="207">
        <f t="shared" si="70"/>
        <v>0</v>
      </c>
      <c r="EF35" s="207">
        <v>1</v>
      </c>
      <c r="EG35" s="207">
        <f t="shared" si="71"/>
        <v>1</v>
      </c>
      <c r="EH35" s="207">
        <f t="shared" si="72"/>
        <v>4</v>
      </c>
      <c r="EI35" s="208">
        <f t="shared" si="73"/>
        <v>50</v>
      </c>
      <c r="EJ35" s="205">
        <f t="shared" si="74"/>
        <v>18.478444444444442</v>
      </c>
      <c r="EK35" s="206" t="str">
        <f t="shared" si="75"/>
        <v>(1.72)</v>
      </c>
      <c r="EL35" s="207">
        <v>2</v>
      </c>
      <c r="EM35" s="207">
        <f t="shared" si="76"/>
        <v>3</v>
      </c>
      <c r="EN35" s="207">
        <v>0</v>
      </c>
      <c r="EO35" s="207">
        <f t="shared" si="77"/>
        <v>0</v>
      </c>
      <c r="EP35" s="207">
        <v>1</v>
      </c>
      <c r="EQ35" s="207">
        <f t="shared" si="78"/>
        <v>1</v>
      </c>
      <c r="ER35" s="207">
        <f t="shared" si="79"/>
        <v>4</v>
      </c>
      <c r="ES35" s="208">
        <f t="shared" si="80"/>
        <v>56</v>
      </c>
      <c r="ET35" s="205">
        <f t="shared" si="81"/>
        <v>20.458277777777777</v>
      </c>
      <c r="EU35" s="206" t="str">
        <f t="shared" si="82"/>
        <v>(1.90)</v>
      </c>
      <c r="EV35" s="207">
        <v>2</v>
      </c>
      <c r="EW35" s="207">
        <f t="shared" si="83"/>
        <v>3</v>
      </c>
      <c r="EX35" s="207">
        <v>0</v>
      </c>
      <c r="EY35" s="207">
        <f t="shared" si="84"/>
        <v>0</v>
      </c>
      <c r="EZ35" s="207">
        <v>1</v>
      </c>
      <c r="FA35" s="207">
        <f t="shared" si="85"/>
        <v>1</v>
      </c>
      <c r="FB35" s="207">
        <f t="shared" si="86"/>
        <v>4</v>
      </c>
      <c r="FC35" s="208">
        <f t="shared" si="87"/>
        <v>62</v>
      </c>
      <c r="FD35" s="205">
        <f t="shared" si="88"/>
        <v>22.768083333333333</v>
      </c>
      <c r="FE35" s="206" t="str">
        <f t="shared" si="89"/>
        <v>(2.12)</v>
      </c>
      <c r="FF35" s="207">
        <v>2</v>
      </c>
      <c r="FG35" s="207">
        <f t="shared" si="90"/>
        <v>3</v>
      </c>
      <c r="FH35" s="469">
        <v>0</v>
      </c>
      <c r="FI35" s="207">
        <f t="shared" si="91"/>
        <v>0</v>
      </c>
      <c r="FJ35" s="207">
        <v>0</v>
      </c>
      <c r="FK35" s="207">
        <f t="shared" si="92"/>
        <v>0</v>
      </c>
      <c r="FL35" s="207">
        <f t="shared" si="93"/>
        <v>3</v>
      </c>
      <c r="FM35" s="208">
        <f t="shared" si="94"/>
        <v>69</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3"/>
      <c r="IK35" s="31"/>
      <c r="IL35" s="31"/>
      <c r="IM35" s="31"/>
      <c r="IN35" s="32"/>
      <c r="IO35" s="32"/>
      <c r="IP35" s="32"/>
      <c r="IQ35" s="24">
        <v>17</v>
      </c>
      <c r="IR35" s="25">
        <v>2.5</v>
      </c>
      <c r="IS35" s="25">
        <v>2.8079999999999998</v>
      </c>
      <c r="IT35" s="25">
        <v>8.7999999999999995E-2</v>
      </c>
      <c r="IU35" s="25">
        <v>1.5</v>
      </c>
      <c r="IV35" s="25">
        <v>1</v>
      </c>
      <c r="IW35" s="25">
        <v>1.125</v>
      </c>
      <c r="IX35" s="7"/>
    </row>
    <row r="36" spans="2:258" ht="15.75" thickBot="1" x14ac:dyDescent="0.3">
      <c r="B36" s="79">
        <f>B35+6</f>
        <v>114</v>
      </c>
      <c r="C36" s="147">
        <v>20</v>
      </c>
      <c r="D36" s="487"/>
      <c r="E36" s="488"/>
      <c r="F36" s="488"/>
      <c r="G36" s="488"/>
      <c r="H36" s="488"/>
      <c r="I36" s="488"/>
      <c r="J36" s="488"/>
      <c r="K36" s="488"/>
      <c r="L36" s="488"/>
      <c r="M36" s="488"/>
      <c r="N36" s="488"/>
      <c r="O36" s="488"/>
      <c r="P36" s="488"/>
      <c r="Q36" s="488"/>
      <c r="R36" s="488"/>
      <c r="S36" s="488"/>
      <c r="T36" s="488"/>
      <c r="U36" s="488"/>
      <c r="V36" s="488"/>
      <c r="W36" s="488"/>
      <c r="X36" s="76"/>
      <c r="Y36" s="46"/>
      <c r="AT36" s="3"/>
      <c r="AU36" s="26">
        <f t="shared" si="151"/>
        <v>96</v>
      </c>
      <c r="AV36" s="27" t="str">
        <f t="shared" si="10"/>
        <v>(2450)</v>
      </c>
      <c r="AW36" s="18"/>
      <c r="AX36" s="19">
        <f t="shared" si="11"/>
        <v>2.13</v>
      </c>
      <c r="AY36" s="20" t="str">
        <f t="shared" si="12"/>
        <v>(0.20)</v>
      </c>
      <c r="AZ36" s="21">
        <v>2</v>
      </c>
      <c r="BA36" s="21">
        <f t="shared" si="13"/>
        <v>3</v>
      </c>
      <c r="BB36" s="21">
        <v>0</v>
      </c>
      <c r="BC36" s="21">
        <f t="shared" si="14"/>
        <v>0</v>
      </c>
      <c r="BD36" s="21">
        <v>0</v>
      </c>
      <c r="BE36" s="21">
        <f t="shared" si="15"/>
        <v>0</v>
      </c>
      <c r="BF36" s="21">
        <f t="shared" si="16"/>
        <v>3</v>
      </c>
      <c r="BG36" s="22">
        <f t="shared" si="17"/>
        <v>6</v>
      </c>
      <c r="BH36" s="205">
        <f t="shared" si="18"/>
        <v>3.1949999999999998</v>
      </c>
      <c r="BI36" s="206" t="str">
        <f t="shared" si="19"/>
        <v>(0.30)</v>
      </c>
      <c r="BJ36" s="207">
        <v>2</v>
      </c>
      <c r="BK36" s="207">
        <f t="shared" si="20"/>
        <v>3</v>
      </c>
      <c r="BL36" s="207">
        <v>0</v>
      </c>
      <c r="BM36" s="207">
        <f t="shared" si="21"/>
        <v>0</v>
      </c>
      <c r="BN36" s="207">
        <v>0</v>
      </c>
      <c r="BO36" s="207">
        <f t="shared" si="22"/>
        <v>0</v>
      </c>
      <c r="BP36" s="207">
        <f t="shared" si="23"/>
        <v>3</v>
      </c>
      <c r="BQ36" s="208">
        <f t="shared" si="24"/>
        <v>9</v>
      </c>
      <c r="BR36" s="205">
        <f t="shared" si="25"/>
        <v>5.3249999999999993</v>
      </c>
      <c r="BS36" s="206" t="str">
        <f t="shared" si="26"/>
        <v>(0.49)</v>
      </c>
      <c r="BT36" s="207">
        <v>2</v>
      </c>
      <c r="BU36" s="207">
        <f t="shared" si="27"/>
        <v>3</v>
      </c>
      <c r="BV36" s="207">
        <v>0</v>
      </c>
      <c r="BW36" s="207">
        <f t="shared" si="28"/>
        <v>0</v>
      </c>
      <c r="BX36" s="207">
        <v>0</v>
      </c>
      <c r="BY36" s="207">
        <f t="shared" si="29"/>
        <v>0</v>
      </c>
      <c r="BZ36" s="207">
        <f t="shared" si="30"/>
        <v>3</v>
      </c>
      <c r="CA36" s="208">
        <f t="shared" si="31"/>
        <v>15</v>
      </c>
      <c r="CB36" s="205">
        <f t="shared" si="32"/>
        <v>7.4550000000000001</v>
      </c>
      <c r="CC36" s="206" t="str">
        <f t="shared" si="33"/>
        <v>(0.69)</v>
      </c>
      <c r="CD36" s="207">
        <v>2</v>
      </c>
      <c r="CE36" s="207">
        <f t="shared" si="34"/>
        <v>3</v>
      </c>
      <c r="CF36" s="207">
        <v>0</v>
      </c>
      <c r="CG36" s="207">
        <f t="shared" si="35"/>
        <v>0</v>
      </c>
      <c r="CH36" s="207">
        <v>0</v>
      </c>
      <c r="CI36" s="207">
        <f t="shared" si="36"/>
        <v>0</v>
      </c>
      <c r="CJ36" s="207">
        <f t="shared" si="37"/>
        <v>3</v>
      </c>
      <c r="CK36" s="208">
        <f t="shared" si="38"/>
        <v>21</v>
      </c>
      <c r="CL36" s="205">
        <f t="shared" si="39"/>
        <v>9.5850000000000009</v>
      </c>
      <c r="CM36" s="206" t="str">
        <f t="shared" si="40"/>
        <v>(0.89)</v>
      </c>
      <c r="CN36" s="207">
        <v>2</v>
      </c>
      <c r="CO36" s="207">
        <f t="shared" si="41"/>
        <v>3</v>
      </c>
      <c r="CP36" s="207">
        <v>0</v>
      </c>
      <c r="CQ36" s="207">
        <f t="shared" si="42"/>
        <v>0</v>
      </c>
      <c r="CR36" s="207">
        <v>0</v>
      </c>
      <c r="CS36" s="207">
        <f t="shared" si="43"/>
        <v>0</v>
      </c>
      <c r="CT36" s="207">
        <f t="shared" si="44"/>
        <v>3</v>
      </c>
      <c r="CU36" s="208">
        <f t="shared" si="45"/>
        <v>27</v>
      </c>
      <c r="CV36" s="205">
        <f t="shared" si="46"/>
        <v>11.714999999999998</v>
      </c>
      <c r="CW36" s="206" t="str">
        <f t="shared" si="47"/>
        <v>(1.09)</v>
      </c>
      <c r="CX36" s="207">
        <v>2</v>
      </c>
      <c r="CY36" s="207">
        <f t="shared" si="48"/>
        <v>3</v>
      </c>
      <c r="CZ36" s="207">
        <v>0</v>
      </c>
      <c r="DA36" s="207">
        <f t="shared" si="49"/>
        <v>0</v>
      </c>
      <c r="DB36" s="207">
        <v>0</v>
      </c>
      <c r="DC36" s="207">
        <f t="shared" si="50"/>
        <v>0</v>
      </c>
      <c r="DD36" s="207">
        <f t="shared" si="51"/>
        <v>3</v>
      </c>
      <c r="DE36" s="208">
        <f t="shared" si="52"/>
        <v>33</v>
      </c>
      <c r="DF36" s="205">
        <f t="shared" si="53"/>
        <v>13.844999999999999</v>
      </c>
      <c r="DG36" s="206" t="str">
        <f t="shared" si="54"/>
        <v>(1.29)</v>
      </c>
      <c r="DH36" s="207">
        <v>2</v>
      </c>
      <c r="DI36" s="207">
        <f t="shared" si="55"/>
        <v>3</v>
      </c>
      <c r="DJ36" s="207">
        <v>0</v>
      </c>
      <c r="DK36" s="207">
        <f t="shared" si="56"/>
        <v>0</v>
      </c>
      <c r="DL36" s="207">
        <v>0</v>
      </c>
      <c r="DM36" s="207">
        <f t="shared" si="57"/>
        <v>0</v>
      </c>
      <c r="DN36" s="207">
        <f t="shared" si="58"/>
        <v>3</v>
      </c>
      <c r="DO36" s="208">
        <f t="shared" si="59"/>
        <v>39</v>
      </c>
      <c r="DP36" s="205">
        <f t="shared" si="60"/>
        <v>15.975000000000001</v>
      </c>
      <c r="DQ36" s="206" t="str">
        <f t="shared" si="61"/>
        <v>(1.48)</v>
      </c>
      <c r="DR36" s="207">
        <v>2</v>
      </c>
      <c r="DS36" s="207">
        <f t="shared" si="62"/>
        <v>3</v>
      </c>
      <c r="DT36" s="207">
        <v>0</v>
      </c>
      <c r="DU36" s="207">
        <f t="shared" si="63"/>
        <v>0</v>
      </c>
      <c r="DV36" s="207">
        <v>0</v>
      </c>
      <c r="DW36" s="207">
        <f t="shared" si="64"/>
        <v>0</v>
      </c>
      <c r="DX36" s="207">
        <f t="shared" si="65"/>
        <v>3</v>
      </c>
      <c r="DY36" s="208">
        <f t="shared" si="66"/>
        <v>45</v>
      </c>
      <c r="DZ36" s="205">
        <f t="shared" si="67"/>
        <v>17.75</v>
      </c>
      <c r="EA36" s="206" t="str">
        <f t="shared" si="68"/>
        <v>(1.65)</v>
      </c>
      <c r="EB36" s="207">
        <v>2</v>
      </c>
      <c r="EC36" s="207">
        <f t="shared" si="69"/>
        <v>3</v>
      </c>
      <c r="ED36" s="207">
        <v>0</v>
      </c>
      <c r="EE36" s="207">
        <f t="shared" si="70"/>
        <v>0</v>
      </c>
      <c r="EF36" s="207">
        <v>1</v>
      </c>
      <c r="EG36" s="207">
        <f t="shared" si="71"/>
        <v>1</v>
      </c>
      <c r="EH36" s="207">
        <f t="shared" si="72"/>
        <v>4</v>
      </c>
      <c r="EI36" s="208">
        <f t="shared" si="73"/>
        <v>50</v>
      </c>
      <c r="EJ36" s="205">
        <f t="shared" si="74"/>
        <v>19.88</v>
      </c>
      <c r="EK36" s="206" t="str">
        <f t="shared" si="75"/>
        <v>(1.85)</v>
      </c>
      <c r="EL36" s="207">
        <v>2</v>
      </c>
      <c r="EM36" s="207">
        <f t="shared" si="76"/>
        <v>3</v>
      </c>
      <c r="EN36" s="207">
        <v>0</v>
      </c>
      <c r="EO36" s="207">
        <f t="shared" si="77"/>
        <v>0</v>
      </c>
      <c r="EP36" s="207">
        <v>1</v>
      </c>
      <c r="EQ36" s="207">
        <f t="shared" si="78"/>
        <v>1</v>
      </c>
      <c r="ER36" s="207">
        <f t="shared" si="79"/>
        <v>4</v>
      </c>
      <c r="ES36" s="208">
        <f t="shared" si="80"/>
        <v>56</v>
      </c>
      <c r="ET36" s="205">
        <f t="shared" si="81"/>
        <v>22.01</v>
      </c>
      <c r="EU36" s="206" t="str">
        <f t="shared" si="82"/>
        <v>(2.04)</v>
      </c>
      <c r="EV36" s="207">
        <v>2</v>
      </c>
      <c r="EW36" s="207">
        <f t="shared" si="83"/>
        <v>3</v>
      </c>
      <c r="EX36" s="207">
        <v>0</v>
      </c>
      <c r="EY36" s="207">
        <f t="shared" si="84"/>
        <v>0</v>
      </c>
      <c r="EZ36" s="207">
        <v>1</v>
      </c>
      <c r="FA36" s="207">
        <f t="shared" si="85"/>
        <v>1</v>
      </c>
      <c r="FB36" s="207">
        <f t="shared" si="86"/>
        <v>4</v>
      </c>
      <c r="FC36" s="208">
        <f t="shared" si="87"/>
        <v>62</v>
      </c>
      <c r="FD36" s="205">
        <f t="shared" si="88"/>
        <v>24.494999999999997</v>
      </c>
      <c r="FE36" s="206" t="str">
        <f t="shared" si="89"/>
        <v>(2.28)</v>
      </c>
      <c r="FF36" s="207">
        <v>2</v>
      </c>
      <c r="FG36" s="207">
        <f t="shared" si="90"/>
        <v>3</v>
      </c>
      <c r="FH36" s="469">
        <v>0</v>
      </c>
      <c r="FI36" s="207">
        <f t="shared" si="91"/>
        <v>0</v>
      </c>
      <c r="FJ36" s="207">
        <v>0</v>
      </c>
      <c r="FK36" s="207">
        <f t="shared" si="92"/>
        <v>0</v>
      </c>
      <c r="FL36" s="207">
        <f t="shared" si="93"/>
        <v>3</v>
      </c>
      <c r="FM36" s="208">
        <f t="shared" si="94"/>
        <v>69</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24">
        <v>18</v>
      </c>
      <c r="IR36" s="25">
        <v>2.5</v>
      </c>
      <c r="IS36" s="25">
        <v>2.8079999999999998</v>
      </c>
      <c r="IT36" s="25">
        <v>0.88400000000000001</v>
      </c>
      <c r="IU36" s="25">
        <v>1.5</v>
      </c>
      <c r="IV36" s="25">
        <v>1</v>
      </c>
      <c r="IW36" s="25">
        <v>1.125</v>
      </c>
      <c r="IX36" s="7"/>
    </row>
    <row r="37" spans="2:258" ht="15.75" thickBot="1" x14ac:dyDescent="0.3">
      <c r="B37" s="79">
        <f t="shared" si="9"/>
        <v>120</v>
      </c>
      <c r="C37" s="149">
        <v>21</v>
      </c>
      <c r="D37" s="487"/>
      <c r="E37" s="488"/>
      <c r="F37" s="488"/>
      <c r="G37" s="488"/>
      <c r="H37" s="488"/>
      <c r="I37" s="488"/>
      <c r="J37" s="488"/>
      <c r="K37" s="488"/>
      <c r="L37" s="488"/>
      <c r="M37" s="488"/>
      <c r="N37" s="488"/>
      <c r="O37" s="488"/>
      <c r="P37" s="488"/>
      <c r="Q37" s="488"/>
      <c r="R37" s="488"/>
      <c r="S37" s="488"/>
      <c r="T37" s="488"/>
      <c r="U37" s="488"/>
      <c r="V37" s="488"/>
      <c r="W37" s="488"/>
      <c r="X37" s="76"/>
      <c r="Y37" s="46"/>
      <c r="AT37" s="3"/>
      <c r="AU37" s="26">
        <f t="shared" si="151"/>
        <v>102</v>
      </c>
      <c r="AV37" s="27" t="str">
        <f t="shared" si="10"/>
        <v>(2600)</v>
      </c>
      <c r="AW37" s="18"/>
      <c r="AX37" s="19">
        <f t="shared" si="11"/>
        <v>2.2854999999999999</v>
      </c>
      <c r="AY37" s="20" t="str">
        <f t="shared" si="12"/>
        <v>(0.21)</v>
      </c>
      <c r="AZ37" s="21">
        <v>2</v>
      </c>
      <c r="BA37" s="21">
        <f t="shared" si="13"/>
        <v>3</v>
      </c>
      <c r="BB37" s="21">
        <v>0</v>
      </c>
      <c r="BC37" s="21">
        <f t="shared" si="14"/>
        <v>0</v>
      </c>
      <c r="BD37" s="21">
        <v>0</v>
      </c>
      <c r="BE37" s="21">
        <f t="shared" si="15"/>
        <v>0</v>
      </c>
      <c r="BF37" s="21">
        <f t="shared" si="16"/>
        <v>3</v>
      </c>
      <c r="BG37" s="22">
        <f t="shared" si="17"/>
        <v>6</v>
      </c>
      <c r="BH37" s="205">
        <f t="shared" si="18"/>
        <v>3.4282499999999998</v>
      </c>
      <c r="BI37" s="206" t="str">
        <f t="shared" si="19"/>
        <v>(0.32)</v>
      </c>
      <c r="BJ37" s="207">
        <v>2</v>
      </c>
      <c r="BK37" s="207">
        <f t="shared" si="20"/>
        <v>3</v>
      </c>
      <c r="BL37" s="207">
        <v>0</v>
      </c>
      <c r="BM37" s="207">
        <f t="shared" si="21"/>
        <v>0</v>
      </c>
      <c r="BN37" s="207">
        <v>0</v>
      </c>
      <c r="BO37" s="207">
        <f t="shared" si="22"/>
        <v>0</v>
      </c>
      <c r="BP37" s="207">
        <f t="shared" si="23"/>
        <v>3</v>
      </c>
      <c r="BQ37" s="208">
        <f t="shared" si="24"/>
        <v>9</v>
      </c>
      <c r="BR37" s="205">
        <f t="shared" si="25"/>
        <v>5.7137500000000001</v>
      </c>
      <c r="BS37" s="206" t="str">
        <f t="shared" si="26"/>
        <v>(0.53)</v>
      </c>
      <c r="BT37" s="207">
        <v>2</v>
      </c>
      <c r="BU37" s="207">
        <f t="shared" si="27"/>
        <v>3</v>
      </c>
      <c r="BV37" s="207">
        <v>0</v>
      </c>
      <c r="BW37" s="207">
        <f t="shared" si="28"/>
        <v>0</v>
      </c>
      <c r="BX37" s="207">
        <v>0</v>
      </c>
      <c r="BY37" s="207">
        <f t="shared" si="29"/>
        <v>0</v>
      </c>
      <c r="BZ37" s="207">
        <f t="shared" si="30"/>
        <v>3</v>
      </c>
      <c r="CA37" s="208">
        <f t="shared" si="31"/>
        <v>15</v>
      </c>
      <c r="CB37" s="205">
        <f t="shared" si="32"/>
        <v>7.9992499999999991</v>
      </c>
      <c r="CC37" s="206" t="str">
        <f t="shared" si="33"/>
        <v>(0.74)</v>
      </c>
      <c r="CD37" s="207">
        <v>2</v>
      </c>
      <c r="CE37" s="207">
        <f t="shared" si="34"/>
        <v>3</v>
      </c>
      <c r="CF37" s="207">
        <v>0</v>
      </c>
      <c r="CG37" s="207">
        <f t="shared" si="35"/>
        <v>0</v>
      </c>
      <c r="CH37" s="207">
        <v>0</v>
      </c>
      <c r="CI37" s="207">
        <f t="shared" si="36"/>
        <v>0</v>
      </c>
      <c r="CJ37" s="207">
        <f t="shared" si="37"/>
        <v>3</v>
      </c>
      <c r="CK37" s="208">
        <f t="shared" si="38"/>
        <v>21</v>
      </c>
      <c r="CL37" s="205">
        <f t="shared" si="39"/>
        <v>10.284749999999999</v>
      </c>
      <c r="CM37" s="206" t="str">
        <f t="shared" si="40"/>
        <v>(0.96)</v>
      </c>
      <c r="CN37" s="207">
        <v>2</v>
      </c>
      <c r="CO37" s="207">
        <f t="shared" si="41"/>
        <v>3</v>
      </c>
      <c r="CP37" s="207">
        <v>0</v>
      </c>
      <c r="CQ37" s="207">
        <f t="shared" si="42"/>
        <v>0</v>
      </c>
      <c r="CR37" s="207">
        <v>0</v>
      </c>
      <c r="CS37" s="207">
        <f t="shared" si="43"/>
        <v>0</v>
      </c>
      <c r="CT37" s="207">
        <f t="shared" si="44"/>
        <v>3</v>
      </c>
      <c r="CU37" s="208">
        <f t="shared" si="45"/>
        <v>27</v>
      </c>
      <c r="CV37" s="205">
        <f t="shared" si="46"/>
        <v>12.57025</v>
      </c>
      <c r="CW37" s="206" t="str">
        <f t="shared" si="47"/>
        <v>(1.17)</v>
      </c>
      <c r="CX37" s="207">
        <v>2</v>
      </c>
      <c r="CY37" s="207">
        <f t="shared" si="48"/>
        <v>3</v>
      </c>
      <c r="CZ37" s="207">
        <v>0</v>
      </c>
      <c r="DA37" s="207">
        <f t="shared" si="49"/>
        <v>0</v>
      </c>
      <c r="DB37" s="207">
        <v>0</v>
      </c>
      <c r="DC37" s="207">
        <f t="shared" si="50"/>
        <v>0</v>
      </c>
      <c r="DD37" s="207">
        <f t="shared" si="51"/>
        <v>3</v>
      </c>
      <c r="DE37" s="208">
        <f t="shared" si="52"/>
        <v>33</v>
      </c>
      <c r="DF37" s="205">
        <f t="shared" si="53"/>
        <v>14.85575</v>
      </c>
      <c r="DG37" s="206" t="str">
        <f t="shared" si="54"/>
        <v>(1.38)</v>
      </c>
      <c r="DH37" s="207">
        <v>2</v>
      </c>
      <c r="DI37" s="207">
        <f t="shared" si="55"/>
        <v>3</v>
      </c>
      <c r="DJ37" s="207">
        <v>0</v>
      </c>
      <c r="DK37" s="207">
        <f t="shared" si="56"/>
        <v>0</v>
      </c>
      <c r="DL37" s="207">
        <v>0</v>
      </c>
      <c r="DM37" s="207">
        <f t="shared" si="57"/>
        <v>0</v>
      </c>
      <c r="DN37" s="207">
        <f t="shared" si="58"/>
        <v>3</v>
      </c>
      <c r="DO37" s="208">
        <f t="shared" si="59"/>
        <v>39</v>
      </c>
      <c r="DP37" s="205">
        <f t="shared" si="60"/>
        <v>17.141249999999999</v>
      </c>
      <c r="DQ37" s="206" t="str">
        <f t="shared" si="61"/>
        <v>(1.59)</v>
      </c>
      <c r="DR37" s="207">
        <v>2</v>
      </c>
      <c r="DS37" s="207">
        <f t="shared" si="62"/>
        <v>3</v>
      </c>
      <c r="DT37" s="207">
        <v>0</v>
      </c>
      <c r="DU37" s="207">
        <f t="shared" si="63"/>
        <v>0</v>
      </c>
      <c r="DV37" s="207">
        <v>0</v>
      </c>
      <c r="DW37" s="207">
        <f t="shared" si="64"/>
        <v>0</v>
      </c>
      <c r="DX37" s="207">
        <f t="shared" si="65"/>
        <v>3</v>
      </c>
      <c r="DY37" s="208">
        <f t="shared" si="66"/>
        <v>45</v>
      </c>
      <c r="DZ37" s="205">
        <f t="shared" si="67"/>
        <v>19.045833333333334</v>
      </c>
      <c r="EA37" s="206" t="str">
        <f t="shared" si="68"/>
        <v>(1.77)</v>
      </c>
      <c r="EB37" s="207">
        <v>2</v>
      </c>
      <c r="EC37" s="207">
        <f t="shared" si="69"/>
        <v>3</v>
      </c>
      <c r="ED37" s="207">
        <v>0</v>
      </c>
      <c r="EE37" s="207">
        <f t="shared" si="70"/>
        <v>0</v>
      </c>
      <c r="EF37" s="207">
        <v>1</v>
      </c>
      <c r="EG37" s="207">
        <f t="shared" si="71"/>
        <v>1</v>
      </c>
      <c r="EH37" s="207">
        <f t="shared" si="72"/>
        <v>4</v>
      </c>
      <c r="EI37" s="208">
        <f t="shared" si="73"/>
        <v>50</v>
      </c>
      <c r="EJ37" s="205">
        <f t="shared" si="74"/>
        <v>21.331333333333333</v>
      </c>
      <c r="EK37" s="206" t="str">
        <f t="shared" si="75"/>
        <v>(1.98)</v>
      </c>
      <c r="EL37" s="207">
        <v>2</v>
      </c>
      <c r="EM37" s="207">
        <f t="shared" si="76"/>
        <v>3</v>
      </c>
      <c r="EN37" s="207">
        <v>0</v>
      </c>
      <c r="EO37" s="207">
        <f t="shared" si="77"/>
        <v>0</v>
      </c>
      <c r="EP37" s="207">
        <v>1</v>
      </c>
      <c r="EQ37" s="207">
        <f t="shared" si="78"/>
        <v>1</v>
      </c>
      <c r="ER37" s="207">
        <f t="shared" si="79"/>
        <v>4</v>
      </c>
      <c r="ES37" s="208">
        <f t="shared" si="80"/>
        <v>56</v>
      </c>
      <c r="ET37" s="205">
        <f t="shared" si="81"/>
        <v>23.616833333333332</v>
      </c>
      <c r="EU37" s="206" t="str">
        <f t="shared" si="82"/>
        <v>(2.19)</v>
      </c>
      <c r="EV37" s="207">
        <v>2</v>
      </c>
      <c r="EW37" s="207">
        <f t="shared" si="83"/>
        <v>3</v>
      </c>
      <c r="EX37" s="207">
        <v>0</v>
      </c>
      <c r="EY37" s="207">
        <f t="shared" si="84"/>
        <v>0</v>
      </c>
      <c r="EZ37" s="207">
        <v>1</v>
      </c>
      <c r="FA37" s="207">
        <f t="shared" si="85"/>
        <v>1</v>
      </c>
      <c r="FB37" s="207">
        <f t="shared" si="86"/>
        <v>4</v>
      </c>
      <c r="FC37" s="208">
        <f t="shared" si="87"/>
        <v>62</v>
      </c>
      <c r="FD37" s="205">
        <f t="shared" si="88"/>
        <v>26.283249999999995</v>
      </c>
      <c r="FE37" s="206" t="str">
        <f t="shared" si="89"/>
        <v>(2.44)</v>
      </c>
      <c r="FF37" s="207">
        <v>2</v>
      </c>
      <c r="FG37" s="207">
        <f t="shared" si="90"/>
        <v>3</v>
      </c>
      <c r="FH37" s="469">
        <v>0</v>
      </c>
      <c r="FI37" s="207">
        <f t="shared" si="91"/>
        <v>0</v>
      </c>
      <c r="FJ37" s="207">
        <v>0</v>
      </c>
      <c r="FK37" s="207">
        <f t="shared" si="92"/>
        <v>0</v>
      </c>
      <c r="FL37" s="207">
        <f t="shared" si="93"/>
        <v>3</v>
      </c>
      <c r="FM37" s="208">
        <f t="shared" si="94"/>
        <v>69</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24">
        <v>19</v>
      </c>
      <c r="IR37" s="25">
        <v>2.5</v>
      </c>
      <c r="IS37" s="25">
        <v>2.8079999999999998</v>
      </c>
      <c r="IT37" s="25">
        <v>1.8080000000000001</v>
      </c>
      <c r="IU37" s="25">
        <v>1.5</v>
      </c>
      <c r="IV37" s="25">
        <v>1</v>
      </c>
      <c r="IW37" s="25">
        <v>1.125</v>
      </c>
      <c r="IX37" s="7"/>
    </row>
    <row r="38" spans="2:258" ht="15.75" thickBot="1" x14ac:dyDescent="0.3">
      <c r="B38" s="47"/>
      <c r="C38" s="76"/>
      <c r="D38" s="76"/>
      <c r="E38" s="76"/>
      <c r="F38" s="76"/>
      <c r="G38" s="76"/>
      <c r="H38" s="76"/>
      <c r="I38" s="76"/>
      <c r="J38" s="76"/>
      <c r="K38" s="76"/>
      <c r="L38" s="76"/>
      <c r="M38" s="76"/>
      <c r="N38" s="76"/>
      <c r="O38" s="76"/>
      <c r="P38" s="76"/>
      <c r="Q38" s="76"/>
      <c r="R38" s="76"/>
      <c r="S38" s="76"/>
      <c r="T38" s="76"/>
      <c r="U38" s="76"/>
      <c r="V38" s="76"/>
      <c r="W38" s="76"/>
      <c r="X38" s="76"/>
      <c r="Y38" s="46"/>
      <c r="AT38" s="3"/>
      <c r="AU38" s="26">
        <f t="shared" si="151"/>
        <v>108</v>
      </c>
      <c r="AV38" s="27" t="str">
        <f t="shared" si="10"/>
        <v>(2750)</v>
      </c>
      <c r="AW38" s="18"/>
      <c r="AX38" s="19">
        <f t="shared" si="11"/>
        <v>2.440375</v>
      </c>
      <c r="AY38" s="20" t="str">
        <f t="shared" si="12"/>
        <v>(0.23)</v>
      </c>
      <c r="AZ38" s="21">
        <v>2</v>
      </c>
      <c r="BA38" s="21">
        <f t="shared" si="13"/>
        <v>3</v>
      </c>
      <c r="BB38" s="21">
        <v>0</v>
      </c>
      <c r="BC38" s="21">
        <f t="shared" si="14"/>
        <v>0</v>
      </c>
      <c r="BD38" s="21">
        <v>0</v>
      </c>
      <c r="BE38" s="21">
        <f t="shared" si="15"/>
        <v>0</v>
      </c>
      <c r="BF38" s="21">
        <f t="shared" si="16"/>
        <v>3</v>
      </c>
      <c r="BG38" s="22">
        <f t="shared" si="17"/>
        <v>6</v>
      </c>
      <c r="BH38" s="205">
        <f t="shared" si="18"/>
        <v>3.6605624999999997</v>
      </c>
      <c r="BI38" s="206" t="str">
        <f t="shared" si="19"/>
        <v>(0.34)</v>
      </c>
      <c r="BJ38" s="207">
        <v>2</v>
      </c>
      <c r="BK38" s="207">
        <f t="shared" si="20"/>
        <v>3</v>
      </c>
      <c r="BL38" s="207">
        <v>0</v>
      </c>
      <c r="BM38" s="207">
        <f t="shared" si="21"/>
        <v>0</v>
      </c>
      <c r="BN38" s="207">
        <v>0</v>
      </c>
      <c r="BO38" s="207">
        <f t="shared" si="22"/>
        <v>0</v>
      </c>
      <c r="BP38" s="207">
        <f t="shared" si="23"/>
        <v>3</v>
      </c>
      <c r="BQ38" s="208">
        <f t="shared" si="24"/>
        <v>9</v>
      </c>
      <c r="BR38" s="205">
        <f t="shared" si="25"/>
        <v>6.1009374999999997</v>
      </c>
      <c r="BS38" s="206" t="str">
        <f t="shared" si="26"/>
        <v>(0.57)</v>
      </c>
      <c r="BT38" s="207">
        <v>2</v>
      </c>
      <c r="BU38" s="207">
        <f t="shared" si="27"/>
        <v>3</v>
      </c>
      <c r="BV38" s="207">
        <v>0</v>
      </c>
      <c r="BW38" s="207">
        <f t="shared" si="28"/>
        <v>0</v>
      </c>
      <c r="BX38" s="207">
        <v>0</v>
      </c>
      <c r="BY38" s="207">
        <f t="shared" si="29"/>
        <v>0</v>
      </c>
      <c r="BZ38" s="207">
        <f t="shared" si="30"/>
        <v>3</v>
      </c>
      <c r="CA38" s="208">
        <f t="shared" si="31"/>
        <v>15</v>
      </c>
      <c r="CB38" s="205">
        <f t="shared" si="32"/>
        <v>8.5413124999999983</v>
      </c>
      <c r="CC38" s="206" t="str">
        <f t="shared" si="33"/>
        <v>(0.79)</v>
      </c>
      <c r="CD38" s="207">
        <v>2</v>
      </c>
      <c r="CE38" s="207">
        <f t="shared" si="34"/>
        <v>3</v>
      </c>
      <c r="CF38" s="207">
        <v>0</v>
      </c>
      <c r="CG38" s="207">
        <f t="shared" si="35"/>
        <v>0</v>
      </c>
      <c r="CH38" s="207">
        <v>0</v>
      </c>
      <c r="CI38" s="207">
        <f t="shared" si="36"/>
        <v>0</v>
      </c>
      <c r="CJ38" s="207">
        <f t="shared" si="37"/>
        <v>3</v>
      </c>
      <c r="CK38" s="208">
        <f t="shared" si="38"/>
        <v>21</v>
      </c>
      <c r="CL38" s="205">
        <f t="shared" si="39"/>
        <v>10.9816875</v>
      </c>
      <c r="CM38" s="206" t="str">
        <f t="shared" si="40"/>
        <v>(1.02)</v>
      </c>
      <c r="CN38" s="207">
        <v>2</v>
      </c>
      <c r="CO38" s="207">
        <f t="shared" si="41"/>
        <v>3</v>
      </c>
      <c r="CP38" s="207">
        <v>0</v>
      </c>
      <c r="CQ38" s="207">
        <f t="shared" si="42"/>
        <v>0</v>
      </c>
      <c r="CR38" s="207">
        <v>0</v>
      </c>
      <c r="CS38" s="207">
        <f t="shared" si="43"/>
        <v>0</v>
      </c>
      <c r="CT38" s="207">
        <f t="shared" si="44"/>
        <v>3</v>
      </c>
      <c r="CU38" s="208">
        <f t="shared" si="45"/>
        <v>27</v>
      </c>
      <c r="CV38" s="205">
        <f t="shared" si="46"/>
        <v>13.422062499999999</v>
      </c>
      <c r="CW38" s="206" t="str">
        <f t="shared" si="47"/>
        <v>(1.25)</v>
      </c>
      <c r="CX38" s="207">
        <v>2</v>
      </c>
      <c r="CY38" s="207">
        <f t="shared" si="48"/>
        <v>3</v>
      </c>
      <c r="CZ38" s="207">
        <v>0</v>
      </c>
      <c r="DA38" s="207">
        <f t="shared" si="49"/>
        <v>0</v>
      </c>
      <c r="DB38" s="207">
        <v>0</v>
      </c>
      <c r="DC38" s="207">
        <f t="shared" si="50"/>
        <v>0</v>
      </c>
      <c r="DD38" s="207">
        <f t="shared" si="51"/>
        <v>3</v>
      </c>
      <c r="DE38" s="208">
        <f t="shared" si="52"/>
        <v>33</v>
      </c>
      <c r="DF38" s="205">
        <f t="shared" si="53"/>
        <v>15.862437499999999</v>
      </c>
      <c r="DG38" s="206" t="str">
        <f t="shared" si="54"/>
        <v>(1.47)</v>
      </c>
      <c r="DH38" s="207">
        <v>2</v>
      </c>
      <c r="DI38" s="207">
        <f t="shared" si="55"/>
        <v>3</v>
      </c>
      <c r="DJ38" s="207">
        <v>0</v>
      </c>
      <c r="DK38" s="207">
        <f t="shared" si="56"/>
        <v>0</v>
      </c>
      <c r="DL38" s="207">
        <v>0</v>
      </c>
      <c r="DM38" s="207">
        <f t="shared" si="57"/>
        <v>0</v>
      </c>
      <c r="DN38" s="207">
        <f t="shared" si="58"/>
        <v>3</v>
      </c>
      <c r="DO38" s="208">
        <f t="shared" si="59"/>
        <v>39</v>
      </c>
      <c r="DP38" s="205">
        <f t="shared" si="60"/>
        <v>18.302812500000002</v>
      </c>
      <c r="DQ38" s="206" t="str">
        <f t="shared" si="61"/>
        <v>(1.7)</v>
      </c>
      <c r="DR38" s="207">
        <v>2</v>
      </c>
      <c r="DS38" s="207">
        <f t="shared" si="62"/>
        <v>3</v>
      </c>
      <c r="DT38" s="207">
        <v>0</v>
      </c>
      <c r="DU38" s="207">
        <f t="shared" si="63"/>
        <v>0</v>
      </c>
      <c r="DV38" s="207">
        <v>0</v>
      </c>
      <c r="DW38" s="207">
        <f t="shared" si="64"/>
        <v>0</v>
      </c>
      <c r="DX38" s="207">
        <f t="shared" si="65"/>
        <v>3</v>
      </c>
      <c r="DY38" s="208">
        <f t="shared" si="66"/>
        <v>45</v>
      </c>
      <c r="DZ38" s="205">
        <f t="shared" si="67"/>
        <v>20.336458333333333</v>
      </c>
      <c r="EA38" s="206" t="str">
        <f t="shared" si="68"/>
        <v>(1.89)</v>
      </c>
      <c r="EB38" s="207">
        <v>2</v>
      </c>
      <c r="EC38" s="207">
        <f t="shared" si="69"/>
        <v>3</v>
      </c>
      <c r="ED38" s="207">
        <v>0</v>
      </c>
      <c r="EE38" s="207">
        <f t="shared" si="70"/>
        <v>0</v>
      </c>
      <c r="EF38" s="207">
        <v>1</v>
      </c>
      <c r="EG38" s="207">
        <f t="shared" si="71"/>
        <v>1</v>
      </c>
      <c r="EH38" s="207">
        <f t="shared" si="72"/>
        <v>4</v>
      </c>
      <c r="EI38" s="208">
        <f t="shared" si="73"/>
        <v>50</v>
      </c>
      <c r="EJ38" s="205">
        <f t="shared" si="74"/>
        <v>22.776833333333329</v>
      </c>
      <c r="EK38" s="206" t="str">
        <f t="shared" si="75"/>
        <v>(2.12)</v>
      </c>
      <c r="EL38" s="207">
        <v>2</v>
      </c>
      <c r="EM38" s="207">
        <f t="shared" si="76"/>
        <v>3</v>
      </c>
      <c r="EN38" s="207">
        <v>0</v>
      </c>
      <c r="EO38" s="207">
        <f t="shared" si="77"/>
        <v>0</v>
      </c>
      <c r="EP38" s="207">
        <v>1</v>
      </c>
      <c r="EQ38" s="207">
        <f t="shared" si="78"/>
        <v>1</v>
      </c>
      <c r="ER38" s="207">
        <f t="shared" si="79"/>
        <v>4</v>
      </c>
      <c r="ES38" s="208">
        <f t="shared" si="80"/>
        <v>56</v>
      </c>
      <c r="ET38" s="205">
        <f t="shared" si="81"/>
        <v>25.217208333333332</v>
      </c>
      <c r="EU38" s="206" t="str">
        <f t="shared" si="82"/>
        <v>(2.34)</v>
      </c>
      <c r="EV38" s="207">
        <v>2</v>
      </c>
      <c r="EW38" s="207">
        <f t="shared" si="83"/>
        <v>3</v>
      </c>
      <c r="EX38" s="207">
        <v>0</v>
      </c>
      <c r="EY38" s="207">
        <f t="shared" si="84"/>
        <v>0</v>
      </c>
      <c r="EZ38" s="207">
        <v>1</v>
      </c>
      <c r="FA38" s="207">
        <f t="shared" si="85"/>
        <v>1</v>
      </c>
      <c r="FB38" s="207">
        <f t="shared" si="86"/>
        <v>4</v>
      </c>
      <c r="FC38" s="208">
        <f t="shared" si="87"/>
        <v>62</v>
      </c>
      <c r="FD38" s="205">
        <f t="shared" si="88"/>
        <v>28.064312499999996</v>
      </c>
      <c r="FE38" s="206" t="str">
        <f t="shared" si="89"/>
        <v>(2.61)</v>
      </c>
      <c r="FF38" s="207">
        <v>2</v>
      </c>
      <c r="FG38" s="207">
        <f t="shared" si="90"/>
        <v>3</v>
      </c>
      <c r="FH38" s="469">
        <v>0</v>
      </c>
      <c r="FI38" s="207">
        <f t="shared" si="91"/>
        <v>0</v>
      </c>
      <c r="FJ38" s="207">
        <v>0</v>
      </c>
      <c r="FK38" s="207">
        <f t="shared" si="92"/>
        <v>0</v>
      </c>
      <c r="FL38" s="207">
        <f t="shared" si="93"/>
        <v>3</v>
      </c>
      <c r="FM38" s="208">
        <f t="shared" si="94"/>
        <v>69</v>
      </c>
      <c r="FN38" s="30"/>
      <c r="FO38" s="30"/>
      <c r="FP38" s="31"/>
      <c r="FQ38" s="31"/>
      <c r="FR38" s="31"/>
      <c r="FS38" s="31"/>
      <c r="FT38" s="31"/>
      <c r="FU38" s="31"/>
      <c r="FV38" s="30"/>
      <c r="FW38" s="30"/>
      <c r="FX38" s="30"/>
      <c r="FY38" s="30"/>
      <c r="FZ38" s="30"/>
      <c r="GA38" s="30"/>
      <c r="GB38" s="30"/>
      <c r="GC38" s="30"/>
      <c r="GD38" s="30"/>
      <c r="GE38" s="30"/>
      <c r="GF38" s="30"/>
      <c r="GG38" s="30"/>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24">
        <v>20</v>
      </c>
      <c r="IR38" s="25">
        <v>2.5</v>
      </c>
      <c r="IS38" s="25">
        <v>2.8079999999999998</v>
      </c>
      <c r="IT38" s="25">
        <v>2.7170000000000001</v>
      </c>
      <c r="IU38" s="25">
        <v>1.5</v>
      </c>
      <c r="IV38" s="25">
        <v>1</v>
      </c>
      <c r="IW38" s="25">
        <v>1.125</v>
      </c>
      <c r="IX38" s="7"/>
    </row>
    <row r="39" spans="2:258"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3"/>
      <c r="AU39" s="26">
        <f t="shared" si="151"/>
        <v>114</v>
      </c>
      <c r="AV39" s="27" t="str">
        <f t="shared" si="10"/>
        <v>(2900)</v>
      </c>
      <c r="AW39" s="18"/>
      <c r="AX39" s="19">
        <f t="shared" si="11"/>
        <v>2.5455833333333331</v>
      </c>
      <c r="AY39" s="20" t="str">
        <f t="shared" si="12"/>
        <v>(0.24)</v>
      </c>
      <c r="AZ39" s="21">
        <v>2</v>
      </c>
      <c r="BA39" s="21">
        <f t="shared" si="13"/>
        <v>3</v>
      </c>
      <c r="BB39" s="21">
        <v>0</v>
      </c>
      <c r="BC39" s="21">
        <f t="shared" si="14"/>
        <v>0</v>
      </c>
      <c r="BD39" s="21">
        <v>0</v>
      </c>
      <c r="BE39" s="21">
        <f t="shared" si="15"/>
        <v>0</v>
      </c>
      <c r="BF39" s="21">
        <f t="shared" si="16"/>
        <v>3</v>
      </c>
      <c r="BG39" s="22">
        <f t="shared" si="17"/>
        <v>6</v>
      </c>
      <c r="BH39" s="205">
        <f t="shared" si="18"/>
        <v>3.8183750000000001</v>
      </c>
      <c r="BI39" s="206" t="str">
        <f t="shared" si="19"/>
        <v>(0.35)</v>
      </c>
      <c r="BJ39" s="207">
        <v>2</v>
      </c>
      <c r="BK39" s="207">
        <f t="shared" si="20"/>
        <v>3</v>
      </c>
      <c r="BL39" s="207">
        <v>0</v>
      </c>
      <c r="BM39" s="207">
        <f t="shared" si="21"/>
        <v>0</v>
      </c>
      <c r="BN39" s="207">
        <v>0</v>
      </c>
      <c r="BO39" s="207">
        <f t="shared" si="22"/>
        <v>0</v>
      </c>
      <c r="BP39" s="207">
        <f t="shared" si="23"/>
        <v>3</v>
      </c>
      <c r="BQ39" s="208">
        <f t="shared" si="24"/>
        <v>9</v>
      </c>
      <c r="BR39" s="205">
        <f t="shared" si="25"/>
        <v>6.3639583333333327</v>
      </c>
      <c r="BS39" s="206" t="str">
        <f t="shared" si="26"/>
        <v>(0.59)</v>
      </c>
      <c r="BT39" s="207">
        <v>2</v>
      </c>
      <c r="BU39" s="207">
        <f t="shared" si="27"/>
        <v>3</v>
      </c>
      <c r="BV39" s="207">
        <v>0</v>
      </c>
      <c r="BW39" s="207">
        <f t="shared" si="28"/>
        <v>0</v>
      </c>
      <c r="BX39" s="207">
        <v>0</v>
      </c>
      <c r="BY39" s="207">
        <f t="shared" si="29"/>
        <v>0</v>
      </c>
      <c r="BZ39" s="207">
        <f t="shared" si="30"/>
        <v>3</v>
      </c>
      <c r="CA39" s="208">
        <f t="shared" si="31"/>
        <v>15</v>
      </c>
      <c r="CB39" s="205">
        <f t="shared" si="32"/>
        <v>8.9095416666666658</v>
      </c>
      <c r="CC39" s="206" t="str">
        <f t="shared" si="33"/>
        <v>(0.83)</v>
      </c>
      <c r="CD39" s="207">
        <v>2</v>
      </c>
      <c r="CE39" s="207">
        <f t="shared" si="34"/>
        <v>3</v>
      </c>
      <c r="CF39" s="207">
        <v>0</v>
      </c>
      <c r="CG39" s="207">
        <f t="shared" si="35"/>
        <v>0</v>
      </c>
      <c r="CH39" s="207">
        <v>0</v>
      </c>
      <c r="CI39" s="207">
        <f t="shared" si="36"/>
        <v>0</v>
      </c>
      <c r="CJ39" s="207">
        <f t="shared" si="37"/>
        <v>3</v>
      </c>
      <c r="CK39" s="208">
        <f t="shared" si="38"/>
        <v>21</v>
      </c>
      <c r="CL39" s="205">
        <f t="shared" si="39"/>
        <v>11.455124999999999</v>
      </c>
      <c r="CM39" s="206" t="str">
        <f t="shared" si="40"/>
        <v>(1.06)</v>
      </c>
      <c r="CN39" s="207">
        <v>2</v>
      </c>
      <c r="CO39" s="207">
        <f t="shared" si="41"/>
        <v>3</v>
      </c>
      <c r="CP39" s="207">
        <v>0</v>
      </c>
      <c r="CQ39" s="207">
        <f t="shared" si="42"/>
        <v>0</v>
      </c>
      <c r="CR39" s="207">
        <v>0</v>
      </c>
      <c r="CS39" s="207">
        <f t="shared" si="43"/>
        <v>0</v>
      </c>
      <c r="CT39" s="207">
        <f t="shared" si="44"/>
        <v>3</v>
      </c>
      <c r="CU39" s="208">
        <f t="shared" si="45"/>
        <v>27</v>
      </c>
      <c r="CV39" s="205">
        <f t="shared" si="46"/>
        <v>14.000708333333332</v>
      </c>
      <c r="CW39" s="206" t="str">
        <f t="shared" si="47"/>
        <v>(1.3)</v>
      </c>
      <c r="CX39" s="207">
        <v>2</v>
      </c>
      <c r="CY39" s="207">
        <f t="shared" si="48"/>
        <v>3</v>
      </c>
      <c r="CZ39" s="207">
        <v>0</v>
      </c>
      <c r="DA39" s="207">
        <f t="shared" si="49"/>
        <v>0</v>
      </c>
      <c r="DB39" s="207">
        <v>0</v>
      </c>
      <c r="DC39" s="207">
        <f t="shared" si="50"/>
        <v>0</v>
      </c>
      <c r="DD39" s="207">
        <f t="shared" si="51"/>
        <v>3</v>
      </c>
      <c r="DE39" s="208">
        <f t="shared" si="52"/>
        <v>33</v>
      </c>
      <c r="DF39" s="205">
        <f t="shared" si="53"/>
        <v>16.546291666666665</v>
      </c>
      <c r="DG39" s="206" t="str">
        <f t="shared" si="54"/>
        <v>(1.54)</v>
      </c>
      <c r="DH39" s="207">
        <v>2</v>
      </c>
      <c r="DI39" s="207">
        <f t="shared" si="55"/>
        <v>3</v>
      </c>
      <c r="DJ39" s="207">
        <v>0</v>
      </c>
      <c r="DK39" s="207">
        <f t="shared" si="56"/>
        <v>0</v>
      </c>
      <c r="DL39" s="207">
        <v>0</v>
      </c>
      <c r="DM39" s="207">
        <f t="shared" si="57"/>
        <v>0</v>
      </c>
      <c r="DN39" s="207">
        <f t="shared" si="58"/>
        <v>3</v>
      </c>
      <c r="DO39" s="208">
        <f t="shared" si="59"/>
        <v>39</v>
      </c>
      <c r="DP39" s="205">
        <f t="shared" si="60"/>
        <v>19.091874999999998</v>
      </c>
      <c r="DQ39" s="206" t="str">
        <f t="shared" si="61"/>
        <v>(1.77)</v>
      </c>
      <c r="DR39" s="207">
        <v>2</v>
      </c>
      <c r="DS39" s="207">
        <f t="shared" si="62"/>
        <v>3</v>
      </c>
      <c r="DT39" s="207">
        <v>0</v>
      </c>
      <c r="DU39" s="207">
        <f t="shared" si="63"/>
        <v>0</v>
      </c>
      <c r="DV39" s="207">
        <v>0</v>
      </c>
      <c r="DW39" s="207">
        <f t="shared" si="64"/>
        <v>0</v>
      </c>
      <c r="DX39" s="207">
        <f t="shared" si="65"/>
        <v>3</v>
      </c>
      <c r="DY39" s="208">
        <f t="shared" si="66"/>
        <v>45</v>
      </c>
      <c r="DZ39" s="205">
        <f t="shared" si="67"/>
        <v>21.213194444444444</v>
      </c>
      <c r="EA39" s="206" t="str">
        <f t="shared" si="68"/>
        <v>(1.97)</v>
      </c>
      <c r="EB39" s="207">
        <v>2</v>
      </c>
      <c r="EC39" s="207">
        <f t="shared" si="69"/>
        <v>3</v>
      </c>
      <c r="ED39" s="207">
        <v>0</v>
      </c>
      <c r="EE39" s="207">
        <f t="shared" si="70"/>
        <v>0</v>
      </c>
      <c r="EF39" s="207">
        <v>1</v>
      </c>
      <c r="EG39" s="207">
        <f t="shared" si="71"/>
        <v>1</v>
      </c>
      <c r="EH39" s="207">
        <f t="shared" si="72"/>
        <v>4</v>
      </c>
      <c r="EI39" s="208">
        <f t="shared" si="73"/>
        <v>50</v>
      </c>
      <c r="EJ39" s="205">
        <f t="shared" si="74"/>
        <v>23.758777777777777</v>
      </c>
      <c r="EK39" s="206" t="str">
        <f t="shared" si="75"/>
        <v>(2.21)</v>
      </c>
      <c r="EL39" s="207">
        <v>2</v>
      </c>
      <c r="EM39" s="207">
        <f t="shared" si="76"/>
        <v>3</v>
      </c>
      <c r="EN39" s="207">
        <v>0</v>
      </c>
      <c r="EO39" s="207">
        <f t="shared" si="77"/>
        <v>0</v>
      </c>
      <c r="EP39" s="207">
        <v>1</v>
      </c>
      <c r="EQ39" s="207">
        <f t="shared" si="78"/>
        <v>1</v>
      </c>
      <c r="ER39" s="207">
        <f t="shared" si="79"/>
        <v>4</v>
      </c>
      <c r="ES39" s="208">
        <f t="shared" si="80"/>
        <v>56</v>
      </c>
      <c r="ET39" s="205">
        <f t="shared" si="81"/>
        <v>26.304361111111106</v>
      </c>
      <c r="EU39" s="206" t="str">
        <f t="shared" si="82"/>
        <v>(2.44)</v>
      </c>
      <c r="EV39" s="207">
        <v>2</v>
      </c>
      <c r="EW39" s="207">
        <f t="shared" si="83"/>
        <v>3</v>
      </c>
      <c r="EX39" s="207">
        <v>0</v>
      </c>
      <c r="EY39" s="207">
        <f t="shared" si="84"/>
        <v>0</v>
      </c>
      <c r="EZ39" s="207">
        <v>1</v>
      </c>
      <c r="FA39" s="207">
        <f t="shared" si="85"/>
        <v>1</v>
      </c>
      <c r="FB39" s="207">
        <f t="shared" si="86"/>
        <v>4</v>
      </c>
      <c r="FC39" s="208">
        <f t="shared" si="87"/>
        <v>62</v>
      </c>
      <c r="FD39" s="205">
        <f t="shared" si="88"/>
        <v>29.274208333333334</v>
      </c>
      <c r="FE39" s="206" t="str">
        <f t="shared" si="89"/>
        <v>(2.72)</v>
      </c>
      <c r="FF39" s="207">
        <v>2</v>
      </c>
      <c r="FG39" s="207">
        <f t="shared" si="90"/>
        <v>3</v>
      </c>
      <c r="FH39" s="469">
        <v>0</v>
      </c>
      <c r="FI39" s="207">
        <f t="shared" si="91"/>
        <v>0</v>
      </c>
      <c r="FJ39" s="207">
        <v>0</v>
      </c>
      <c r="FK39" s="207">
        <f t="shared" si="92"/>
        <v>0</v>
      </c>
      <c r="FL39" s="207">
        <f t="shared" si="93"/>
        <v>3</v>
      </c>
      <c r="FM39" s="208">
        <f t="shared" si="94"/>
        <v>69</v>
      </c>
      <c r="FN39" s="30"/>
      <c r="FO39" s="30"/>
      <c r="FP39" s="31"/>
      <c r="FQ39" s="31"/>
      <c r="FR39" s="31"/>
      <c r="FS39" s="31"/>
      <c r="FT39" s="31"/>
      <c r="FU39" s="31"/>
      <c r="FV39" s="5"/>
      <c r="FW39" s="5"/>
      <c r="FX39" s="5"/>
      <c r="FY39" s="5"/>
      <c r="FZ39" s="5"/>
      <c r="GA39" s="5"/>
      <c r="GB39" s="5"/>
      <c r="GC39" s="5"/>
      <c r="GD39" s="5"/>
      <c r="GE39" s="5"/>
      <c r="GF39" s="5"/>
      <c r="GG39" s="5"/>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1"/>
      <c r="IK39" s="31"/>
      <c r="IL39" s="31"/>
      <c r="IM39" s="31"/>
      <c r="IN39" s="32"/>
      <c r="IO39" s="32"/>
      <c r="IP39" s="32"/>
      <c r="IQ39" s="24">
        <v>21</v>
      </c>
      <c r="IR39" s="25">
        <v>2.5</v>
      </c>
      <c r="IS39" s="25">
        <v>2.8079999999999998</v>
      </c>
      <c r="IT39" s="25">
        <v>2.4340000000000002</v>
      </c>
      <c r="IU39" s="25">
        <v>1.5</v>
      </c>
      <c r="IV39" s="25">
        <v>1</v>
      </c>
      <c r="IW39" s="25">
        <v>1.125</v>
      </c>
      <c r="IX39" s="7"/>
    </row>
    <row r="40" spans="2:25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3"/>
      <c r="AU40" s="26">
        <f t="shared" si="151"/>
        <v>120</v>
      </c>
      <c r="AV40" s="27" t="str">
        <f t="shared" si="10"/>
        <v>(3050)</v>
      </c>
      <c r="AW40" s="18"/>
      <c r="AX40" s="19">
        <f t="shared" si="11"/>
        <v>2.6818333333333331</v>
      </c>
      <c r="AY40" s="28" t="str">
        <f t="shared" si="12"/>
        <v>(0.25)</v>
      </c>
      <c r="AZ40" s="21">
        <v>2</v>
      </c>
      <c r="BA40" s="21">
        <f t="shared" si="13"/>
        <v>3</v>
      </c>
      <c r="BB40" s="29">
        <v>0</v>
      </c>
      <c r="BC40" s="21">
        <f t="shared" si="14"/>
        <v>0</v>
      </c>
      <c r="BD40" s="29">
        <v>0</v>
      </c>
      <c r="BE40" s="21">
        <f t="shared" si="15"/>
        <v>0</v>
      </c>
      <c r="BF40" s="21">
        <f t="shared" si="16"/>
        <v>3</v>
      </c>
      <c r="BG40" s="22">
        <f t="shared" si="17"/>
        <v>6</v>
      </c>
      <c r="BH40" s="205">
        <f t="shared" si="18"/>
        <v>4.0227499999999994</v>
      </c>
      <c r="BI40" s="206" t="str">
        <f t="shared" si="19"/>
        <v>(0.37)</v>
      </c>
      <c r="BJ40" s="207">
        <v>2</v>
      </c>
      <c r="BK40" s="207">
        <f t="shared" si="20"/>
        <v>3</v>
      </c>
      <c r="BL40" s="207">
        <v>0</v>
      </c>
      <c r="BM40" s="207">
        <f t="shared" si="21"/>
        <v>0</v>
      </c>
      <c r="BN40" s="207">
        <v>0</v>
      </c>
      <c r="BO40" s="207">
        <f t="shared" si="22"/>
        <v>0</v>
      </c>
      <c r="BP40" s="207">
        <f t="shared" si="23"/>
        <v>3</v>
      </c>
      <c r="BQ40" s="208">
        <f t="shared" si="24"/>
        <v>9</v>
      </c>
      <c r="BR40" s="205">
        <f t="shared" si="25"/>
        <v>6.704583333333332</v>
      </c>
      <c r="BS40" s="206" t="str">
        <f t="shared" si="26"/>
        <v>(0.62)</v>
      </c>
      <c r="BT40" s="207">
        <v>2</v>
      </c>
      <c r="BU40" s="207">
        <f t="shared" si="27"/>
        <v>3</v>
      </c>
      <c r="BV40" s="207">
        <v>0</v>
      </c>
      <c r="BW40" s="207">
        <f t="shared" si="28"/>
        <v>0</v>
      </c>
      <c r="BX40" s="207">
        <v>0</v>
      </c>
      <c r="BY40" s="207">
        <f t="shared" si="29"/>
        <v>0</v>
      </c>
      <c r="BZ40" s="207">
        <f t="shared" si="30"/>
        <v>3</v>
      </c>
      <c r="CA40" s="208">
        <f t="shared" si="31"/>
        <v>15</v>
      </c>
      <c r="CB40" s="205">
        <f t="shared" si="32"/>
        <v>9.3864166666666655</v>
      </c>
      <c r="CC40" s="206" t="str">
        <f t="shared" si="33"/>
        <v>(0.87)</v>
      </c>
      <c r="CD40" s="207">
        <v>2</v>
      </c>
      <c r="CE40" s="207">
        <f t="shared" si="34"/>
        <v>3</v>
      </c>
      <c r="CF40" s="207">
        <v>0</v>
      </c>
      <c r="CG40" s="207">
        <f t="shared" si="35"/>
        <v>0</v>
      </c>
      <c r="CH40" s="207">
        <v>0</v>
      </c>
      <c r="CI40" s="207">
        <f t="shared" si="36"/>
        <v>0</v>
      </c>
      <c r="CJ40" s="207">
        <f t="shared" si="37"/>
        <v>3</v>
      </c>
      <c r="CK40" s="208">
        <f t="shared" si="38"/>
        <v>21</v>
      </c>
      <c r="CL40" s="205">
        <f t="shared" si="39"/>
        <v>12.068249999999999</v>
      </c>
      <c r="CM40" s="206" t="str">
        <f t="shared" si="40"/>
        <v>(1.12)</v>
      </c>
      <c r="CN40" s="207">
        <v>2</v>
      </c>
      <c r="CO40" s="207">
        <f t="shared" si="41"/>
        <v>3</v>
      </c>
      <c r="CP40" s="207">
        <v>0</v>
      </c>
      <c r="CQ40" s="207">
        <f t="shared" si="42"/>
        <v>0</v>
      </c>
      <c r="CR40" s="207">
        <v>0</v>
      </c>
      <c r="CS40" s="207">
        <f t="shared" si="43"/>
        <v>0</v>
      </c>
      <c r="CT40" s="207">
        <f t="shared" si="44"/>
        <v>3</v>
      </c>
      <c r="CU40" s="208">
        <f t="shared" si="45"/>
        <v>27</v>
      </c>
      <c r="CV40" s="205">
        <f t="shared" si="46"/>
        <v>14.750083333333331</v>
      </c>
      <c r="CW40" s="206" t="str">
        <f t="shared" si="47"/>
        <v>(1.37)</v>
      </c>
      <c r="CX40" s="207">
        <v>2</v>
      </c>
      <c r="CY40" s="207">
        <f t="shared" si="48"/>
        <v>3</v>
      </c>
      <c r="CZ40" s="207">
        <v>0</v>
      </c>
      <c r="DA40" s="207">
        <f t="shared" si="49"/>
        <v>0</v>
      </c>
      <c r="DB40" s="207">
        <v>0</v>
      </c>
      <c r="DC40" s="207">
        <f t="shared" si="50"/>
        <v>0</v>
      </c>
      <c r="DD40" s="207">
        <f t="shared" si="51"/>
        <v>3</v>
      </c>
      <c r="DE40" s="208">
        <f t="shared" si="52"/>
        <v>33</v>
      </c>
      <c r="DF40" s="205">
        <f t="shared" si="53"/>
        <v>17.431916666666663</v>
      </c>
      <c r="DG40" s="206" t="str">
        <f t="shared" si="54"/>
        <v>(1.62)</v>
      </c>
      <c r="DH40" s="207">
        <v>2</v>
      </c>
      <c r="DI40" s="207">
        <f t="shared" si="55"/>
        <v>3</v>
      </c>
      <c r="DJ40" s="207">
        <v>0</v>
      </c>
      <c r="DK40" s="207">
        <f t="shared" si="56"/>
        <v>0</v>
      </c>
      <c r="DL40" s="207">
        <v>0</v>
      </c>
      <c r="DM40" s="207">
        <f t="shared" si="57"/>
        <v>0</v>
      </c>
      <c r="DN40" s="207">
        <f t="shared" si="58"/>
        <v>3</v>
      </c>
      <c r="DO40" s="208">
        <f t="shared" si="59"/>
        <v>39</v>
      </c>
      <c r="DP40" s="205">
        <f t="shared" si="60"/>
        <v>20.113749999999996</v>
      </c>
      <c r="DQ40" s="206" t="str">
        <f t="shared" si="61"/>
        <v>(1.87)</v>
      </c>
      <c r="DR40" s="207">
        <v>2</v>
      </c>
      <c r="DS40" s="207">
        <f t="shared" si="62"/>
        <v>3</v>
      </c>
      <c r="DT40" s="207">
        <v>0</v>
      </c>
      <c r="DU40" s="207">
        <f t="shared" si="63"/>
        <v>0</v>
      </c>
      <c r="DV40" s="207">
        <v>0</v>
      </c>
      <c r="DW40" s="207">
        <f t="shared" si="64"/>
        <v>0</v>
      </c>
      <c r="DX40" s="207">
        <f t="shared" si="65"/>
        <v>3</v>
      </c>
      <c r="DY40" s="208">
        <f t="shared" si="66"/>
        <v>45</v>
      </c>
      <c r="DZ40" s="205">
        <f t="shared" si="67"/>
        <v>22.348611111111108</v>
      </c>
      <c r="EA40" s="206" t="str">
        <f t="shared" si="68"/>
        <v>(2.08)</v>
      </c>
      <c r="EB40" s="207">
        <v>2</v>
      </c>
      <c r="EC40" s="207">
        <f t="shared" si="69"/>
        <v>3</v>
      </c>
      <c r="ED40" s="207">
        <v>0</v>
      </c>
      <c r="EE40" s="207">
        <f t="shared" si="70"/>
        <v>0</v>
      </c>
      <c r="EF40" s="207">
        <v>1</v>
      </c>
      <c r="EG40" s="207">
        <f t="shared" si="71"/>
        <v>1</v>
      </c>
      <c r="EH40" s="207">
        <f t="shared" si="72"/>
        <v>4</v>
      </c>
      <c r="EI40" s="208">
        <f t="shared" si="73"/>
        <v>50</v>
      </c>
      <c r="EJ40" s="205">
        <f t="shared" si="74"/>
        <v>25.030444444444441</v>
      </c>
      <c r="EK40" s="206" t="str">
        <f t="shared" si="75"/>
        <v>(2.33)</v>
      </c>
      <c r="EL40" s="207">
        <v>2</v>
      </c>
      <c r="EM40" s="207">
        <f t="shared" si="76"/>
        <v>3</v>
      </c>
      <c r="EN40" s="207">
        <v>0</v>
      </c>
      <c r="EO40" s="207">
        <f t="shared" si="77"/>
        <v>0</v>
      </c>
      <c r="EP40" s="207">
        <v>1</v>
      </c>
      <c r="EQ40" s="207">
        <f t="shared" si="78"/>
        <v>1</v>
      </c>
      <c r="ER40" s="207">
        <f t="shared" si="79"/>
        <v>4</v>
      </c>
      <c r="ES40" s="208">
        <f t="shared" si="80"/>
        <v>56</v>
      </c>
      <c r="ET40" s="205">
        <f t="shared" si="81"/>
        <v>27.712277777777771</v>
      </c>
      <c r="EU40" s="206" t="str">
        <f t="shared" si="82"/>
        <v>(2.57)</v>
      </c>
      <c r="EV40" s="207">
        <v>2</v>
      </c>
      <c r="EW40" s="207">
        <f t="shared" si="83"/>
        <v>3</v>
      </c>
      <c r="EX40" s="207">
        <v>0</v>
      </c>
      <c r="EY40" s="207">
        <f t="shared" si="84"/>
        <v>0</v>
      </c>
      <c r="EZ40" s="207">
        <v>1</v>
      </c>
      <c r="FA40" s="207">
        <f t="shared" si="85"/>
        <v>1</v>
      </c>
      <c r="FB40" s="207">
        <f t="shared" si="86"/>
        <v>4</v>
      </c>
      <c r="FC40" s="208">
        <f t="shared" si="87"/>
        <v>62</v>
      </c>
      <c r="FD40" s="205">
        <f t="shared" si="88"/>
        <v>30.841083333333327</v>
      </c>
      <c r="FE40" s="206" t="str">
        <f t="shared" si="89"/>
        <v>(2.87)</v>
      </c>
      <c r="FF40" s="207">
        <v>2</v>
      </c>
      <c r="FG40" s="207">
        <f t="shared" si="90"/>
        <v>3</v>
      </c>
      <c r="FH40" s="469">
        <v>0</v>
      </c>
      <c r="FI40" s="207">
        <f t="shared" si="91"/>
        <v>0</v>
      </c>
      <c r="FJ40" s="207">
        <v>0</v>
      </c>
      <c r="FK40" s="207">
        <f t="shared" si="92"/>
        <v>0</v>
      </c>
      <c r="FL40" s="207">
        <f t="shared" si="93"/>
        <v>3</v>
      </c>
      <c r="FM40" s="208">
        <f t="shared" si="94"/>
        <v>69</v>
      </c>
      <c r="FN40" s="30"/>
      <c r="FO40" s="30"/>
      <c r="FP40" s="31"/>
      <c r="FQ40" s="31"/>
      <c r="FR40" s="31"/>
      <c r="FS40" s="31"/>
      <c r="FT40" s="31"/>
      <c r="FU40" s="31"/>
      <c r="FV40" s="30"/>
      <c r="FW40" s="30"/>
      <c r="FX40" s="30"/>
      <c r="FY40" s="30"/>
      <c r="FZ40" s="30"/>
      <c r="GA40" s="30"/>
      <c r="GB40" s="30"/>
      <c r="GC40" s="30"/>
      <c r="GD40" s="30"/>
      <c r="GE40" s="30"/>
      <c r="GF40" s="30"/>
      <c r="GG40" s="30"/>
      <c r="GH40" s="30"/>
      <c r="GI40" s="30"/>
      <c r="GJ40" s="31"/>
      <c r="GK40" s="31"/>
      <c r="GL40" s="31"/>
      <c r="GM40" s="31"/>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1"/>
      <c r="HO40" s="31"/>
      <c r="HP40" s="31"/>
      <c r="HQ40" s="31"/>
      <c r="HR40" s="31"/>
      <c r="HS40" s="31"/>
      <c r="HT40" s="31"/>
      <c r="HU40" s="31"/>
      <c r="HV40" s="31"/>
      <c r="HW40" s="31"/>
      <c r="HX40" s="31"/>
      <c r="HY40" s="31"/>
      <c r="HZ40" s="31"/>
      <c r="IA40" s="31"/>
      <c r="IB40" s="31"/>
      <c r="IC40" s="31"/>
      <c r="ID40" s="31"/>
      <c r="IE40" s="31"/>
      <c r="IF40" s="30"/>
      <c r="IG40" s="30"/>
      <c r="IH40" s="31"/>
      <c r="II40" s="31"/>
      <c r="IJ40" s="33"/>
      <c r="IK40" s="31"/>
      <c r="IL40" s="31"/>
      <c r="IM40" s="31"/>
      <c r="IN40" s="32"/>
      <c r="IO40" s="32"/>
      <c r="IP40" s="32"/>
      <c r="IQ40" s="24">
        <v>23</v>
      </c>
      <c r="IR40" s="25">
        <v>2.5</v>
      </c>
      <c r="IS40" s="25">
        <v>2.8079999999999998</v>
      </c>
      <c r="IT40" s="25">
        <v>8.7999999999999995E-2</v>
      </c>
      <c r="IU40" s="25">
        <v>1.5</v>
      </c>
      <c r="IV40" s="25">
        <v>1</v>
      </c>
      <c r="IW40" s="25">
        <v>1.125</v>
      </c>
      <c r="IX40" s="7"/>
    </row>
    <row r="41" spans="2:258" ht="15.75" thickBot="1" x14ac:dyDescent="0.3">
      <c r="B41" s="2"/>
      <c r="C41" s="2"/>
      <c r="D41" s="2"/>
      <c r="E41" s="2"/>
      <c r="F41" s="2"/>
      <c r="G41" s="2"/>
      <c r="H41" s="2"/>
      <c r="I41" s="2"/>
      <c r="J41" s="2"/>
      <c r="K41" s="2"/>
      <c r="L41" s="2"/>
      <c r="M41" s="2"/>
      <c r="N41" s="2"/>
      <c r="O41" s="2"/>
      <c r="P41" s="2"/>
      <c r="Q41" s="2"/>
      <c r="R41" s="2"/>
      <c r="S41" s="2"/>
      <c r="T41" s="2"/>
      <c r="U41" s="2"/>
      <c r="V41" s="2"/>
      <c r="W41" s="2"/>
      <c r="X41" s="2"/>
      <c r="AT41" s="34"/>
      <c r="AU41" s="35"/>
      <c r="AV41" s="35"/>
      <c r="AW41" s="35"/>
      <c r="AX41" s="35"/>
      <c r="AY41" s="35"/>
      <c r="AZ41" s="35"/>
      <c r="BA41" s="35"/>
      <c r="BB41" s="35"/>
      <c r="BC41" s="35"/>
      <c r="BD41" s="35"/>
      <c r="BE41" s="35"/>
      <c r="BF41" s="35"/>
      <c r="BG41" s="35"/>
      <c r="BH41" s="36"/>
      <c r="BI41" s="37"/>
      <c r="BJ41" s="37"/>
      <c r="BK41" s="37"/>
      <c r="BL41" s="37"/>
      <c r="BM41" s="37"/>
      <c r="BN41" s="37"/>
      <c r="BO41" s="37"/>
      <c r="BP41" s="37"/>
      <c r="BQ41" s="37"/>
      <c r="BR41" s="36"/>
      <c r="BS41" s="37"/>
      <c r="BT41" s="37"/>
      <c r="BU41" s="37"/>
      <c r="BV41" s="37"/>
      <c r="BW41" s="37"/>
      <c r="BX41" s="37"/>
      <c r="BY41" s="37"/>
      <c r="BZ41" s="37"/>
      <c r="CA41" s="37"/>
      <c r="CB41" s="36"/>
      <c r="CC41" s="37"/>
      <c r="CD41" s="37"/>
      <c r="CE41" s="37"/>
      <c r="CF41" s="37"/>
      <c r="CG41" s="37"/>
      <c r="CH41" s="37"/>
      <c r="CI41" s="37"/>
      <c r="CJ41" s="37"/>
      <c r="CK41" s="37"/>
      <c r="CL41" s="36"/>
      <c r="CM41" s="37"/>
      <c r="CN41" s="37"/>
      <c r="CO41" s="37"/>
      <c r="CP41" s="37"/>
      <c r="CQ41" s="37"/>
      <c r="CR41" s="37"/>
      <c r="CS41" s="37"/>
      <c r="CT41" s="37"/>
      <c r="CU41" s="37"/>
      <c r="CV41" s="36"/>
      <c r="CW41" s="37"/>
      <c r="CX41" s="37"/>
      <c r="CY41" s="37"/>
      <c r="CZ41" s="37"/>
      <c r="DA41" s="37"/>
      <c r="DB41" s="37"/>
      <c r="DC41" s="37"/>
      <c r="DD41" s="37"/>
      <c r="DE41" s="37"/>
      <c r="DF41" s="36"/>
      <c r="DG41" s="37"/>
      <c r="DH41" s="37"/>
      <c r="DI41" s="37"/>
      <c r="DJ41" s="37"/>
      <c r="DK41" s="37"/>
      <c r="DL41" s="37"/>
      <c r="DM41" s="37"/>
      <c r="DN41" s="37"/>
      <c r="DO41" s="37"/>
      <c r="DP41" s="36"/>
      <c r="DQ41" s="37"/>
      <c r="DR41" s="37"/>
      <c r="DS41" s="37"/>
      <c r="DT41" s="37"/>
      <c r="DU41" s="37"/>
      <c r="DV41" s="37"/>
      <c r="DW41" s="37"/>
      <c r="DX41" s="37"/>
      <c r="DY41" s="37"/>
      <c r="DZ41" s="36"/>
      <c r="EA41" s="37"/>
      <c r="EB41" s="37"/>
      <c r="EC41" s="37"/>
      <c r="ED41" s="37"/>
      <c r="EE41" s="37"/>
      <c r="EF41" s="37"/>
      <c r="EG41" s="37"/>
      <c r="EH41" s="37"/>
      <c r="EI41" s="37"/>
      <c r="EJ41" s="36"/>
      <c r="EK41" s="37"/>
      <c r="EL41" s="37"/>
      <c r="EM41" s="37"/>
      <c r="EN41" s="37"/>
      <c r="EO41" s="37"/>
      <c r="EP41" s="37"/>
      <c r="EQ41" s="37"/>
      <c r="ER41" s="37"/>
      <c r="ES41" s="37"/>
      <c r="ET41" s="36"/>
      <c r="EU41" s="37"/>
      <c r="EV41" s="37"/>
      <c r="EW41" s="37"/>
      <c r="EX41" s="37"/>
      <c r="EY41" s="37"/>
      <c r="EZ41" s="37"/>
      <c r="FA41" s="37"/>
      <c r="FB41" s="37"/>
      <c r="FC41" s="37"/>
      <c r="FD41" s="36"/>
      <c r="FE41" s="37"/>
      <c r="FF41" s="37"/>
      <c r="FG41" s="37"/>
      <c r="FH41" s="37"/>
      <c r="FI41" s="37"/>
      <c r="FJ41" s="37"/>
      <c r="FK41" s="37"/>
      <c r="FL41" s="37"/>
      <c r="FM41" s="37"/>
      <c r="FN41" s="36"/>
      <c r="FO41" s="37"/>
      <c r="FP41" s="37"/>
      <c r="FQ41" s="37"/>
      <c r="FR41" s="37"/>
      <c r="FS41" s="37"/>
      <c r="FT41" s="37"/>
      <c r="FU41" s="37"/>
      <c r="FV41" s="161"/>
      <c r="FW41" s="161"/>
      <c r="FX41" s="161"/>
      <c r="FY41" s="161"/>
      <c r="FZ41" s="161"/>
      <c r="GA41" s="161"/>
      <c r="GB41" s="161"/>
      <c r="GC41" s="161"/>
      <c r="GD41" s="161"/>
      <c r="GE41" s="161"/>
      <c r="GF41" s="161"/>
      <c r="GG41" s="161"/>
      <c r="GH41" s="36"/>
      <c r="GI41" s="37"/>
      <c r="GJ41" s="37"/>
      <c r="GK41" s="37"/>
      <c r="GL41" s="37"/>
      <c r="GM41" s="37"/>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36"/>
      <c r="HM41" s="37"/>
      <c r="HN41" s="37"/>
      <c r="HO41" s="37"/>
      <c r="HP41" s="37"/>
      <c r="HQ41" s="37"/>
      <c r="HR41" s="37"/>
      <c r="HS41" s="37"/>
      <c r="HT41" s="162"/>
      <c r="HU41" s="162"/>
      <c r="HV41" s="162"/>
      <c r="HW41" s="162"/>
      <c r="HX41" s="162"/>
      <c r="HY41" s="162"/>
      <c r="HZ41" s="162"/>
      <c r="IA41" s="162"/>
      <c r="IB41" s="162"/>
      <c r="IC41" s="162"/>
      <c r="ID41" s="162"/>
      <c r="IE41" s="162"/>
      <c r="IF41" s="36"/>
      <c r="IG41" s="37"/>
      <c r="IH41" s="37"/>
      <c r="II41" s="37"/>
      <c r="IJ41" s="37"/>
      <c r="IK41" s="37"/>
      <c r="IL41" s="37"/>
      <c r="IM41" s="37"/>
      <c r="IN41" s="35"/>
      <c r="IO41" s="35"/>
      <c r="IP41" s="35"/>
      <c r="IQ41" s="35"/>
      <c r="IR41" s="35"/>
      <c r="IS41" s="35"/>
      <c r="IT41" s="35"/>
      <c r="IU41" s="35"/>
      <c r="IV41" s="35"/>
      <c r="IW41" s="35"/>
      <c r="IX41" s="38"/>
    </row>
    <row r="42" spans="2:258" ht="16.5" thickTop="1" thickBot="1" x14ac:dyDescent="0.3">
      <c r="B42" s="2"/>
      <c r="C42" s="2"/>
      <c r="D42" s="2"/>
      <c r="E42" s="2"/>
      <c r="F42" s="2"/>
      <c r="G42" s="2"/>
      <c r="H42" s="2"/>
      <c r="I42" s="2"/>
      <c r="J42" s="2"/>
      <c r="K42" s="2"/>
      <c r="L42" s="2"/>
      <c r="M42" s="2"/>
      <c r="N42" s="2"/>
      <c r="O42" s="2"/>
      <c r="P42" s="2"/>
      <c r="Q42" s="2"/>
      <c r="R42" s="2"/>
      <c r="S42" s="2"/>
      <c r="T42" s="2"/>
      <c r="U42" s="2"/>
      <c r="V42" s="2"/>
      <c r="W42" s="2"/>
      <c r="BE42" s="2"/>
    </row>
    <row r="43" spans="2:258" ht="24" thickBot="1" x14ac:dyDescent="0.4">
      <c r="B43" s="166" t="s">
        <v>70</v>
      </c>
      <c r="C43" s="167"/>
      <c r="D43" s="167"/>
      <c r="E43" s="167"/>
      <c r="F43" s="167"/>
      <c r="G43" s="167"/>
      <c r="H43" s="167"/>
      <c r="I43" s="167"/>
      <c r="J43" s="167"/>
      <c r="K43" s="167"/>
      <c r="L43" s="168"/>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BE43" s="2"/>
      <c r="BF43" s="6"/>
      <c r="BG43" s="6"/>
      <c r="BH43" s="6"/>
      <c r="BI43" s="6"/>
      <c r="BJ43" s="6"/>
      <c r="BK43" s="6"/>
      <c r="BL43" s="6"/>
      <c r="BM43" s="6"/>
      <c r="BN43" s="5"/>
      <c r="BO43" s="6"/>
      <c r="BP43" s="6"/>
      <c r="BQ43" s="6"/>
      <c r="BR43" s="6"/>
      <c r="BS43" s="6"/>
      <c r="BT43" s="6"/>
      <c r="BU43" s="6"/>
      <c r="BV43" s="6"/>
      <c r="BW43" s="6"/>
      <c r="BX43" s="5"/>
      <c r="BY43" s="6"/>
      <c r="BZ43" s="6"/>
      <c r="CA43" s="6"/>
      <c r="CB43" s="6"/>
      <c r="CC43" s="6"/>
      <c r="CD43" s="6"/>
      <c r="CE43" s="6"/>
      <c r="CF43" s="6"/>
      <c r="CG43" s="6"/>
      <c r="CH43" s="5"/>
      <c r="CI43" s="6"/>
      <c r="CJ43" s="6"/>
      <c r="CK43" s="6"/>
      <c r="CL43" s="6"/>
      <c r="CM43" s="6"/>
      <c r="CN43" s="6"/>
      <c r="CO43" s="6"/>
      <c r="CP43" s="6"/>
      <c r="CQ43" s="6"/>
      <c r="CR43" s="5"/>
      <c r="CS43" s="6"/>
      <c r="CT43" s="6"/>
      <c r="CU43" s="6"/>
      <c r="CV43" s="6"/>
      <c r="CW43" s="6"/>
      <c r="CX43" s="6"/>
      <c r="CY43" s="6"/>
      <c r="CZ43" s="6"/>
      <c r="DA43" s="6"/>
      <c r="DB43" s="5"/>
      <c r="DC43" s="6"/>
      <c r="DD43" s="6"/>
      <c r="DE43" s="6"/>
      <c r="DF43" s="6"/>
      <c r="DG43" s="6"/>
      <c r="DH43" s="6"/>
      <c r="DI43" s="6"/>
      <c r="DJ43" s="6"/>
      <c r="DK43" s="6"/>
      <c r="DL43" s="5"/>
      <c r="DM43" s="6"/>
      <c r="DN43" s="6"/>
      <c r="DO43" s="6"/>
      <c r="DP43" s="6"/>
      <c r="DQ43" s="6"/>
      <c r="DR43" s="6"/>
      <c r="DS43" s="6"/>
      <c r="DT43" s="6"/>
      <c r="DU43" s="6"/>
      <c r="DV43" s="5"/>
      <c r="DW43" s="6"/>
      <c r="DX43" s="6"/>
      <c r="DY43" s="6"/>
      <c r="DZ43" s="6"/>
      <c r="EA43" s="6"/>
      <c r="EB43" s="6"/>
      <c r="EC43" s="6"/>
      <c r="ED43" s="6"/>
      <c r="EE43" s="6"/>
      <c r="EF43" s="5"/>
      <c r="EG43" s="6"/>
      <c r="EH43" s="6"/>
      <c r="EI43" s="6"/>
      <c r="EJ43" s="6"/>
      <c r="EK43" s="6"/>
      <c r="EL43" s="6"/>
      <c r="EM43" s="6"/>
      <c r="EN43" s="6"/>
      <c r="EO43" s="6"/>
      <c r="EP43" s="5"/>
      <c r="EQ43" s="6"/>
      <c r="ER43" s="6"/>
      <c r="ES43" s="6"/>
      <c r="ET43" s="6"/>
      <c r="EU43" s="6"/>
      <c r="EV43" s="6"/>
      <c r="EW43" s="6"/>
      <c r="EX43" s="6"/>
      <c r="EY43" s="6"/>
      <c r="EZ43" s="5"/>
      <c r="FA43" s="6"/>
      <c r="FB43" s="6"/>
      <c r="FC43" s="6"/>
      <c r="FD43" s="6"/>
      <c r="FE43" s="6"/>
      <c r="FF43" s="6"/>
      <c r="FG43" s="6"/>
      <c r="FH43" s="6"/>
      <c r="FI43" s="6"/>
      <c r="FJ43" s="5"/>
      <c r="FK43" s="6"/>
      <c r="FL43" s="6"/>
      <c r="FM43" s="6"/>
      <c r="FN43" s="6"/>
      <c r="FO43" s="6"/>
      <c r="FP43" s="6"/>
      <c r="FQ43" s="6"/>
      <c r="FR43" s="6"/>
      <c r="FS43" s="6"/>
      <c r="FT43" s="5"/>
      <c r="FU43" s="6"/>
      <c r="FV43" s="6"/>
      <c r="FW43" s="6"/>
      <c r="FX43" s="6"/>
      <c r="FY43" s="6"/>
      <c r="FZ43" s="6"/>
      <c r="GA43" s="6"/>
      <c r="GB43" s="6"/>
      <c r="GC43" s="6"/>
      <c r="GD43" s="5"/>
      <c r="GE43" s="6"/>
      <c r="GF43" s="6"/>
      <c r="GG43" s="6"/>
      <c r="GH43" s="6"/>
      <c r="GI43" s="6"/>
      <c r="GJ43" s="6"/>
      <c r="GK43" s="6"/>
      <c r="GL43" s="6"/>
      <c r="GM43" s="6"/>
      <c r="GN43" s="5"/>
      <c r="GO43" s="6"/>
      <c r="GP43" s="6"/>
      <c r="GQ43" s="6"/>
      <c r="GR43" s="6"/>
      <c r="GS43" s="6"/>
      <c r="GT43" s="6"/>
      <c r="GU43" s="6"/>
      <c r="GV43" s="4"/>
      <c r="GW43" s="4"/>
      <c r="GX43" s="4"/>
      <c r="GY43" s="4"/>
      <c r="GZ43" s="4"/>
      <c r="HA43" s="4"/>
      <c r="HB43" s="4"/>
      <c r="HC43" s="4"/>
      <c r="HD43" s="4"/>
      <c r="HE43" s="4"/>
      <c r="HF43" s="4"/>
    </row>
    <row r="44" spans="2:258" ht="19.5" thickBot="1" x14ac:dyDescent="0.35">
      <c r="B44" s="164" t="s">
        <v>181</v>
      </c>
      <c r="C44" s="111" t="e">
        <f>C10</f>
        <v>#VALUE!</v>
      </c>
      <c r="D44" s="53"/>
      <c r="E44" s="53"/>
      <c r="F44" s="53"/>
      <c r="G44" s="53"/>
      <c r="H44" s="53"/>
      <c r="I44" s="53"/>
      <c r="J44" s="53"/>
      <c r="K44" s="53"/>
      <c r="L44" s="165"/>
      <c r="N44" s="994"/>
      <c r="O44" s="155"/>
      <c r="P44" s="75"/>
      <c r="Q44" s="156">
        <v>9</v>
      </c>
      <c r="R44" s="157">
        <v>12</v>
      </c>
      <c r="S44" s="157">
        <f t="shared" ref="S44:AJ44" si="152">R44+6</f>
        <v>18</v>
      </c>
      <c r="T44" s="157">
        <f t="shared" si="152"/>
        <v>24</v>
      </c>
      <c r="U44" s="157">
        <f t="shared" si="152"/>
        <v>30</v>
      </c>
      <c r="V44" s="157">
        <f t="shared" si="152"/>
        <v>36</v>
      </c>
      <c r="W44" s="157">
        <f t="shared" si="152"/>
        <v>42</v>
      </c>
      <c r="X44" s="158">
        <f t="shared" si="152"/>
        <v>48</v>
      </c>
      <c r="Y44" s="157">
        <f t="shared" si="152"/>
        <v>54</v>
      </c>
      <c r="Z44" s="157">
        <f t="shared" si="152"/>
        <v>60</v>
      </c>
      <c r="AA44" s="157">
        <f t="shared" si="152"/>
        <v>66</v>
      </c>
      <c r="AB44" s="157">
        <f t="shared" si="152"/>
        <v>72</v>
      </c>
      <c r="AC44" s="157">
        <f t="shared" si="152"/>
        <v>78</v>
      </c>
      <c r="AD44" s="158">
        <f t="shared" si="152"/>
        <v>84</v>
      </c>
      <c r="AE44" s="157">
        <f t="shared" si="152"/>
        <v>90</v>
      </c>
      <c r="AF44" s="157">
        <f t="shared" si="152"/>
        <v>96</v>
      </c>
      <c r="AG44" s="157">
        <f t="shared" si="152"/>
        <v>102</v>
      </c>
      <c r="AH44" s="157">
        <f t="shared" si="152"/>
        <v>108</v>
      </c>
      <c r="AI44" s="157">
        <f t="shared" si="152"/>
        <v>114</v>
      </c>
      <c r="AJ44" s="158">
        <f t="shared" si="152"/>
        <v>120</v>
      </c>
      <c r="AK44" s="74"/>
      <c r="AL44" s="74"/>
      <c r="AM44" s="74"/>
      <c r="AN44" s="74"/>
      <c r="AO44" s="74"/>
      <c r="AP44" s="74"/>
      <c r="AQ44" s="75"/>
    </row>
    <row r="45" spans="2:258" ht="18.75" customHeight="1" thickBot="1" x14ac:dyDescent="0.35">
      <c r="B45" s="150" t="s">
        <v>39</v>
      </c>
      <c r="C45" s="112" t="e">
        <f>I10</f>
        <v>#VALUE!</v>
      </c>
      <c r="D45" s="2"/>
      <c r="E45" s="51"/>
      <c r="F45" s="51"/>
      <c r="G45" s="51"/>
      <c r="H45" s="51"/>
      <c r="I45" s="51"/>
      <c r="J45" s="51"/>
      <c r="K45" s="51"/>
      <c r="L45" s="54"/>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t="s">
        <v>188</v>
      </c>
    </row>
    <row r="46" spans="2:258" ht="15.75" customHeight="1" thickBot="1" x14ac:dyDescent="0.4">
      <c r="B46" s="454" t="s">
        <v>63</v>
      </c>
      <c r="C46" s="51"/>
      <c r="D46" s="51"/>
      <c r="E46" s="51"/>
      <c r="F46" s="51"/>
      <c r="G46" s="51"/>
      <c r="H46" s="51"/>
      <c r="I46" s="51"/>
      <c r="J46" s="51"/>
      <c r="K46" s="51"/>
      <c r="L46" s="54"/>
      <c r="N46" s="455"/>
      <c r="O46" s="154">
        <f>H5</f>
        <v>10.5</v>
      </c>
      <c r="P46" s="183">
        <v>2</v>
      </c>
      <c r="Q46" s="490"/>
      <c r="R46" s="291">
        <v>3.71</v>
      </c>
      <c r="S46" s="291">
        <v>5.28</v>
      </c>
      <c r="T46" s="291">
        <v>6.85</v>
      </c>
      <c r="U46" s="291">
        <v>8.42</v>
      </c>
      <c r="V46" s="291">
        <v>10</v>
      </c>
      <c r="W46" s="291">
        <v>11.57</v>
      </c>
      <c r="X46" s="291">
        <v>13.14</v>
      </c>
      <c r="Y46" s="291">
        <v>14.71</v>
      </c>
      <c r="Z46" s="291">
        <v>16.29</v>
      </c>
      <c r="AA46" s="493"/>
      <c r="AB46" s="493"/>
      <c r="AC46" s="493"/>
      <c r="AD46" s="493"/>
      <c r="AE46" s="493"/>
      <c r="AF46" s="493"/>
      <c r="AG46" s="493"/>
      <c r="AH46" s="493"/>
      <c r="AI46" s="493"/>
      <c r="AJ46" s="493"/>
      <c r="AK46" s="114"/>
      <c r="AL46" s="114"/>
      <c r="AM46" s="114"/>
      <c r="AN46" s="114"/>
      <c r="AO46" s="114"/>
      <c r="AP46" s="114"/>
      <c r="AQ46" s="120"/>
      <c r="IS46" s="135"/>
    </row>
    <row r="47" spans="2:258" ht="15" customHeight="1" thickBot="1" x14ac:dyDescent="0.3">
      <c r="B47" s="57"/>
      <c r="C47" s="2"/>
      <c r="D47" s="51"/>
      <c r="E47" s="51"/>
      <c r="F47" s="51"/>
      <c r="G47" s="51"/>
      <c r="H47" s="51"/>
      <c r="I47" s="51"/>
      <c r="J47" s="51"/>
      <c r="K47" s="51"/>
      <c r="L47" s="54"/>
      <c r="N47" s="136"/>
      <c r="O47" s="124">
        <v>12</v>
      </c>
      <c r="P47" s="184">
        <v>3</v>
      </c>
      <c r="Q47" s="491"/>
      <c r="R47" s="298">
        <v>3.91</v>
      </c>
      <c r="S47" s="298">
        <v>5.48</v>
      </c>
      <c r="T47" s="298">
        <v>7.05</v>
      </c>
      <c r="U47" s="298">
        <v>8.6199999999999992</v>
      </c>
      <c r="V47" s="298">
        <v>10.19</v>
      </c>
      <c r="W47" s="298">
        <v>11.76</v>
      </c>
      <c r="X47" s="298">
        <v>13.33</v>
      </c>
      <c r="Y47" s="298">
        <v>14.9</v>
      </c>
      <c r="Z47" s="298">
        <v>16.47</v>
      </c>
      <c r="AA47" s="492"/>
      <c r="AB47" s="492"/>
      <c r="AC47" s="492"/>
      <c r="AD47" s="492"/>
      <c r="AE47" s="492"/>
      <c r="AF47" s="492"/>
      <c r="AG47" s="492"/>
      <c r="AH47" s="492"/>
      <c r="AI47" s="492"/>
      <c r="AJ47" s="492"/>
      <c r="AK47" s="45"/>
      <c r="AL47" s="117"/>
      <c r="AM47" s="117" t="e">
        <f>D50</f>
        <v>#VALUE!</v>
      </c>
      <c r="AN47" s="118" t="e">
        <f>C44</f>
        <v>#VALUE!</v>
      </c>
      <c r="AO47" s="117" t="e">
        <f>E50</f>
        <v>#VALUE!</v>
      </c>
      <c r="AP47" s="45"/>
      <c r="AQ47" s="46"/>
      <c r="CL47" s="61"/>
      <c r="CM47" s="61"/>
      <c r="CN47" s="61"/>
      <c r="CO47" s="61"/>
      <c r="CP47" s="61"/>
      <c r="CQ47" s="61"/>
      <c r="CR47" s="61"/>
      <c r="CS47" s="61"/>
    </row>
    <row r="48" spans="2:258" ht="15" customHeight="1" thickBot="1" x14ac:dyDescent="0.3">
      <c r="B48" s="57"/>
      <c r="C48" s="96"/>
      <c r="D48" s="97" t="s">
        <v>215</v>
      </c>
      <c r="E48" s="98"/>
      <c r="F48" s="98"/>
      <c r="G48" s="100"/>
      <c r="H48" s="97" t="s">
        <v>33</v>
      </c>
      <c r="I48" s="99"/>
      <c r="J48" s="51"/>
      <c r="K48" s="51"/>
      <c r="L48" s="54"/>
      <c r="N48" s="79"/>
      <c r="O48" s="124">
        <f t="shared" ref="O48:O65" si="153">O47+6</f>
        <v>18</v>
      </c>
      <c r="P48" s="184">
        <v>4</v>
      </c>
      <c r="Q48" s="491"/>
      <c r="R48" s="298">
        <v>5.26</v>
      </c>
      <c r="S48" s="298">
        <v>7.21</v>
      </c>
      <c r="T48" s="298">
        <v>9.15</v>
      </c>
      <c r="U48" s="298">
        <v>11.1</v>
      </c>
      <c r="V48" s="298">
        <v>13.049999999999999</v>
      </c>
      <c r="W48" s="298">
        <v>14.999999999999998</v>
      </c>
      <c r="X48" s="298">
        <v>16.95</v>
      </c>
      <c r="Y48" s="298">
        <v>18.899999999999999</v>
      </c>
      <c r="Z48" s="298">
        <v>20.849999999999998</v>
      </c>
      <c r="AA48" s="492"/>
      <c r="AB48" s="492"/>
      <c r="AC48" s="492"/>
      <c r="AD48" s="492"/>
      <c r="AE48" s="492"/>
      <c r="AF48" s="492"/>
      <c r="AG48" s="492"/>
      <c r="AH48" s="492"/>
      <c r="AI48" s="492"/>
      <c r="AJ48" s="492"/>
      <c r="AK48" s="76"/>
      <c r="AL48" s="117" t="e">
        <f>H50</f>
        <v>#VALUE!</v>
      </c>
      <c r="AM48" s="118" t="e">
        <f>INDEX(P45:AJ65,$H$51,$D$51)</f>
        <v>#VALUE!</v>
      </c>
      <c r="AN48" s="118" t="e">
        <f>(((AN47-AM47)/(AO47-AM47))*(AO48-AM48))+AM48</f>
        <v>#VALUE!</v>
      </c>
      <c r="AO48" s="118" t="e">
        <f>INDEX(P45:AJ65,$H$51,$E$51)</f>
        <v>#VALUE!</v>
      </c>
      <c r="AP48" s="45"/>
      <c r="AQ48" s="46"/>
    </row>
    <row r="49" spans="1:59" ht="16.5" thickBot="1" x14ac:dyDescent="0.3">
      <c r="B49" s="57"/>
      <c r="C49" s="92"/>
      <c r="D49" s="93" t="s">
        <v>64</v>
      </c>
      <c r="E49" s="94" t="s">
        <v>65</v>
      </c>
      <c r="F49" s="94"/>
      <c r="G49" s="101"/>
      <c r="H49" s="93" t="s">
        <v>64</v>
      </c>
      <c r="I49" s="95" t="s">
        <v>65</v>
      </c>
      <c r="J49" s="51"/>
      <c r="K49" s="51"/>
      <c r="L49" s="54"/>
      <c r="N49" s="79"/>
      <c r="O49" s="124">
        <f t="shared" si="153"/>
        <v>24</v>
      </c>
      <c r="P49" s="184">
        <v>5</v>
      </c>
      <c r="Q49" s="491"/>
      <c r="R49" s="298">
        <v>6.62</v>
      </c>
      <c r="S49" s="298">
        <v>8.94</v>
      </c>
      <c r="T49" s="298">
        <v>11.26</v>
      </c>
      <c r="U49" s="298">
        <v>13.58</v>
      </c>
      <c r="V49" s="298">
        <v>15.9</v>
      </c>
      <c r="W49" s="298">
        <v>18.22</v>
      </c>
      <c r="X49" s="298">
        <v>20.54</v>
      </c>
      <c r="Y49" s="298">
        <v>22.86</v>
      </c>
      <c r="Z49" s="298">
        <v>25.18</v>
      </c>
      <c r="AA49" s="492"/>
      <c r="AB49" s="492"/>
      <c r="AC49" s="492"/>
      <c r="AD49" s="492"/>
      <c r="AE49" s="492"/>
      <c r="AF49" s="492"/>
      <c r="AG49" s="492"/>
      <c r="AH49" s="492"/>
      <c r="AI49" s="492"/>
      <c r="AJ49" s="492"/>
      <c r="AK49" s="45"/>
      <c r="AL49" s="117" t="e">
        <f>C45</f>
        <v>#VALUE!</v>
      </c>
      <c r="AM49" s="118" t="e">
        <f>(((AL49-AL48)/(AL50-AL48))*(AM50-AM48))+AM48</f>
        <v>#VALUE!</v>
      </c>
      <c r="AN49" s="119" t="e">
        <f>IF(AND(AN47&gt;72,AL49&gt;72),5/0,IF(AN47=120,AM49,(((AN48-AM48)/(AO48-AM48))*(AO49-AM49))+AM49))</f>
        <v>#VALUE!</v>
      </c>
      <c r="AO49" s="118" t="e">
        <f>(((AL49-AL48)/(AL50-AL48))*(AO50-AO48))+AO48</f>
        <v>#VALUE!</v>
      </c>
      <c r="AP49" s="45"/>
      <c r="AQ49" s="46"/>
    </row>
    <row r="50" spans="1:59" ht="16.5" thickBot="1" x14ac:dyDescent="0.3">
      <c r="B50" s="57"/>
      <c r="C50" s="90"/>
      <c r="D50" s="88" t="e">
        <f>IF(AND(C44&lt;12,C44&gt;=H3),H3,FLOOR(C44/6,1)*6)</f>
        <v>#VALUE!</v>
      </c>
      <c r="E50" s="84" t="e">
        <f>IF(D50&lt;12,12,D50+6)</f>
        <v>#VALUE!</v>
      </c>
      <c r="F50" s="84"/>
      <c r="G50" s="102"/>
      <c r="H50" s="88" t="e">
        <f>IF(AND(C45&lt;12,C45&gt;=H5),H5,FLOOR(C45/6,1)*6)</f>
        <v>#VALUE!</v>
      </c>
      <c r="I50" s="85" t="e">
        <f>IF(H50&lt;12,12,H50+6)</f>
        <v>#VALUE!</v>
      </c>
      <c r="J50" s="51"/>
      <c r="K50" s="51"/>
      <c r="L50" s="54"/>
      <c r="N50" s="79"/>
      <c r="O50" s="124">
        <f t="shared" si="153"/>
        <v>30</v>
      </c>
      <c r="P50" s="184">
        <v>6</v>
      </c>
      <c r="Q50" s="491"/>
      <c r="R50" s="298">
        <v>8.5299999999999994</v>
      </c>
      <c r="S50" s="298">
        <v>11.6</v>
      </c>
      <c r="T50" s="298">
        <v>14.67</v>
      </c>
      <c r="U50" s="298">
        <v>17.739999999999998</v>
      </c>
      <c r="V50" s="298">
        <v>20.81</v>
      </c>
      <c r="W50" s="298">
        <v>23.88</v>
      </c>
      <c r="X50" s="298">
        <v>26.95</v>
      </c>
      <c r="Y50" s="298">
        <v>30.02</v>
      </c>
      <c r="Z50" s="298">
        <v>33.089999999999996</v>
      </c>
      <c r="AA50" s="492"/>
      <c r="AB50" s="492"/>
      <c r="AC50" s="492"/>
      <c r="AD50" s="492"/>
      <c r="AE50" s="492"/>
      <c r="AF50" s="492"/>
      <c r="AG50" s="492"/>
      <c r="AH50" s="492"/>
      <c r="AI50" s="492"/>
      <c r="AJ50" s="492"/>
      <c r="AK50" s="45"/>
      <c r="AL50" s="117" t="e">
        <f>I50</f>
        <v>#VALUE!</v>
      </c>
      <c r="AM50" s="118" t="e">
        <f>INDEX(P45:AJ65,$I$51,$D$51)</f>
        <v>#VALUE!</v>
      </c>
      <c r="AN50" s="118" t="e">
        <f>(((AN47-AM47)/(AO47-AM47))*(AO50-AM50))+AM50</f>
        <v>#VALUE!</v>
      </c>
      <c r="AO50" s="118" t="e">
        <f>INDEX(P45:AJ65,$I$51,$E$51)</f>
        <v>#VALUE!</v>
      </c>
      <c r="AP50" s="45"/>
      <c r="AQ50" s="46"/>
    </row>
    <row r="51" spans="1:59" ht="15.75" thickBot="1" x14ac:dyDescent="0.3">
      <c r="B51" s="57"/>
      <c r="C51" s="90" t="s">
        <v>34</v>
      </c>
      <c r="D51" s="88" t="e">
        <f>HLOOKUP(D50,C16:W17,2)</f>
        <v>#VALUE!</v>
      </c>
      <c r="E51" s="84" t="e">
        <f>HLOOKUP(E50,C16:W17,2)</f>
        <v>#VALUE!</v>
      </c>
      <c r="F51" s="84"/>
      <c r="G51" s="102" t="s">
        <v>35</v>
      </c>
      <c r="H51" s="88" t="e">
        <f>VLOOKUP(H50,B17:C37,2)</f>
        <v>#VALUE!</v>
      </c>
      <c r="I51" s="85" t="e">
        <f>VLOOKUP(I50,B17:C37,2)</f>
        <v>#VALUE!</v>
      </c>
      <c r="J51" s="51"/>
      <c r="K51" s="51"/>
      <c r="L51" s="54"/>
      <c r="N51" s="79"/>
      <c r="O51" s="124">
        <f t="shared" si="153"/>
        <v>36</v>
      </c>
      <c r="P51" s="184">
        <v>7</v>
      </c>
      <c r="Q51" s="491"/>
      <c r="R51" s="298">
        <v>9.89</v>
      </c>
      <c r="S51" s="298">
        <v>13.33</v>
      </c>
      <c r="T51" s="298">
        <v>16.77</v>
      </c>
      <c r="U51" s="298">
        <v>20.21</v>
      </c>
      <c r="V51" s="298">
        <v>23.650000000000002</v>
      </c>
      <c r="W51" s="298">
        <v>27.090000000000003</v>
      </c>
      <c r="X51" s="298">
        <v>30.530000000000005</v>
      </c>
      <c r="Y51" s="298">
        <v>33.970000000000006</v>
      </c>
      <c r="Z51" s="298">
        <v>37.410000000000004</v>
      </c>
      <c r="AA51" s="492"/>
      <c r="AB51" s="492"/>
      <c r="AC51" s="492"/>
      <c r="AD51" s="492"/>
      <c r="AE51" s="492"/>
      <c r="AF51" s="492"/>
      <c r="AG51" s="492"/>
      <c r="AH51" s="492"/>
      <c r="AI51" s="492"/>
      <c r="AJ51" s="492"/>
      <c r="AK51" s="45"/>
      <c r="AL51" s="45"/>
      <c r="AM51" s="45"/>
      <c r="AN51" s="45"/>
      <c r="AO51" s="45"/>
      <c r="AP51" s="45"/>
      <c r="AQ51" s="46"/>
    </row>
    <row r="52" spans="1:59" ht="16.5" thickBot="1" x14ac:dyDescent="0.3">
      <c r="B52" s="57"/>
      <c r="C52" s="91"/>
      <c r="D52" s="89"/>
      <c r="E52" s="86"/>
      <c r="F52" s="86"/>
      <c r="G52" s="103"/>
      <c r="H52" s="89"/>
      <c r="I52" s="87"/>
      <c r="J52" s="51"/>
      <c r="K52" s="51"/>
      <c r="L52" s="54"/>
      <c r="N52" s="79"/>
      <c r="O52" s="124">
        <f t="shared" si="153"/>
        <v>42</v>
      </c>
      <c r="P52" s="184">
        <v>8</v>
      </c>
      <c r="Q52" s="491"/>
      <c r="R52" s="298">
        <v>10.98</v>
      </c>
      <c r="S52" s="298">
        <v>15.06</v>
      </c>
      <c r="T52" s="298">
        <v>18.87</v>
      </c>
      <c r="U52" s="298">
        <v>22.68</v>
      </c>
      <c r="V52" s="298">
        <v>26.5</v>
      </c>
      <c r="W52" s="298">
        <v>30.31</v>
      </c>
      <c r="X52" s="298">
        <v>34.119999999999997</v>
      </c>
      <c r="Y52" s="298">
        <v>37.93</v>
      </c>
      <c r="Z52" s="298">
        <v>41.74</v>
      </c>
      <c r="AA52" s="492"/>
      <c r="AB52" s="492"/>
      <c r="AC52" s="492"/>
      <c r="AD52" s="492"/>
      <c r="AE52" s="492"/>
      <c r="AF52" s="492"/>
      <c r="AG52" s="492"/>
      <c r="AH52" s="492"/>
      <c r="AI52" s="492"/>
      <c r="AJ52" s="492"/>
      <c r="AK52" s="45"/>
      <c r="AL52" s="117"/>
      <c r="AM52" s="117" t="e">
        <f>D69</f>
        <v>#VALUE!</v>
      </c>
      <c r="AN52" s="118" t="e">
        <f>C63</f>
        <v>#VALUE!</v>
      </c>
      <c r="AO52" s="117" t="e">
        <f>E69</f>
        <v>#VALUE!</v>
      </c>
      <c r="AP52" s="45"/>
      <c r="AQ52" s="46"/>
    </row>
    <row r="53" spans="1:59" ht="16.5" thickBot="1" x14ac:dyDescent="0.3">
      <c r="A53" s="71"/>
      <c r="B53" s="57"/>
      <c r="C53" s="51"/>
      <c r="D53" s="51"/>
      <c r="E53" s="51"/>
      <c r="F53" s="51"/>
      <c r="G53" s="51"/>
      <c r="H53" s="51"/>
      <c r="I53" s="51"/>
      <c r="J53" s="51"/>
      <c r="K53" s="51"/>
      <c r="L53" s="54"/>
      <c r="N53" s="79"/>
      <c r="O53" s="124">
        <f t="shared" si="153"/>
        <v>48</v>
      </c>
      <c r="P53" s="184">
        <v>9</v>
      </c>
      <c r="Q53" s="491"/>
      <c r="R53" s="298">
        <v>12.6</v>
      </c>
      <c r="S53" s="298">
        <v>16.79</v>
      </c>
      <c r="T53" s="298">
        <v>20.97</v>
      </c>
      <c r="U53" s="298">
        <v>25.16</v>
      </c>
      <c r="V53" s="298">
        <v>29.35</v>
      </c>
      <c r="W53" s="298">
        <v>33.54</v>
      </c>
      <c r="X53" s="298">
        <v>37.729999999999997</v>
      </c>
      <c r="Y53" s="298">
        <v>41.919999999999995</v>
      </c>
      <c r="Z53" s="298">
        <v>46.109999999999992</v>
      </c>
      <c r="AA53" s="492"/>
      <c r="AB53" s="492"/>
      <c r="AC53" s="492"/>
      <c r="AD53" s="492"/>
      <c r="AE53" s="492"/>
      <c r="AF53" s="492"/>
      <c r="AG53" s="492"/>
      <c r="AH53" s="492"/>
      <c r="AI53" s="492"/>
      <c r="AJ53" s="492"/>
      <c r="AK53" s="45"/>
      <c r="AL53" s="117" t="e">
        <f>H69</f>
        <v>#VALUE!</v>
      </c>
      <c r="AM53" s="118" t="e">
        <f>INDEX(P45:AJ65,$H$70,$D$70)</f>
        <v>#VALUE!</v>
      </c>
      <c r="AN53" s="118" t="e">
        <f>(((AN52-AM52)/(AO52-AM52))*(AO53-AM53))+AM53</f>
        <v>#VALUE!</v>
      </c>
      <c r="AO53" s="118" t="e">
        <f>INDEX(P45:AJ65,$H$70,$E$70)</f>
        <v>#VALUE!</v>
      </c>
      <c r="AP53" s="45"/>
      <c r="AQ53" s="46"/>
    </row>
    <row r="54" spans="1:59" ht="21.75" thickBot="1" x14ac:dyDescent="0.4">
      <c r="B54" s="151" t="s">
        <v>57</v>
      </c>
      <c r="C54" s="51"/>
      <c r="D54" s="2"/>
      <c r="E54" s="51"/>
      <c r="F54" s="51"/>
      <c r="G54" s="51"/>
      <c r="H54" s="51"/>
      <c r="I54" s="108"/>
      <c r="J54" s="108"/>
      <c r="K54" s="108"/>
      <c r="L54" s="54"/>
      <c r="N54" s="79"/>
      <c r="O54" s="124">
        <f t="shared" si="153"/>
        <v>54</v>
      </c>
      <c r="P54" s="184">
        <v>10</v>
      </c>
      <c r="Q54" s="491"/>
      <c r="R54" s="298">
        <v>13.96</v>
      </c>
      <c r="S54" s="298">
        <v>18.52</v>
      </c>
      <c r="T54" s="298">
        <v>23.08</v>
      </c>
      <c r="U54" s="298">
        <v>27.639999999999997</v>
      </c>
      <c r="V54" s="298">
        <v>32.199999999999996</v>
      </c>
      <c r="W54" s="298">
        <v>36.76</v>
      </c>
      <c r="X54" s="298">
        <v>41.32</v>
      </c>
      <c r="Y54" s="298">
        <v>45.88</v>
      </c>
      <c r="Z54" s="298">
        <v>50.440000000000005</v>
      </c>
      <c r="AA54" s="492"/>
      <c r="AB54" s="492"/>
      <c r="AC54" s="492"/>
      <c r="AD54" s="492"/>
      <c r="AE54" s="492"/>
      <c r="AF54" s="492"/>
      <c r="AG54" s="492"/>
      <c r="AH54" s="492"/>
      <c r="AI54" s="492"/>
      <c r="AJ54" s="492"/>
      <c r="AK54" s="45"/>
      <c r="AL54" s="413" t="e">
        <f>C64</f>
        <v>#VALUE!</v>
      </c>
      <c r="AM54" s="118" t="e">
        <f>(((AL54-AL53)/(AL55-AL53))*(AM55-AM53))+AM53</f>
        <v>#VALUE!</v>
      </c>
      <c r="AN54" s="119" t="e">
        <f>IF(AND(AN52&gt;72,AL54&gt;72),5/0,IF(AN52=120,AM54,(((AN53-AM53)/(AO53-AM53))*(AO54-AM54))+AM54))</f>
        <v>#VALUE!</v>
      </c>
      <c r="AO54" s="118" t="e">
        <f>(((AL54-AL53)/(AL55-AL53))*(AO55-AO53))+AO53</f>
        <v>#VALUE!</v>
      </c>
      <c r="AP54" s="45"/>
      <c r="AQ54" s="46"/>
    </row>
    <row r="55" spans="1:59" ht="19.5" thickBot="1" x14ac:dyDescent="0.35">
      <c r="B55" s="57"/>
      <c r="C55" s="51"/>
      <c r="D55" s="83"/>
      <c r="E55" s="83" t="e">
        <f>D50</f>
        <v>#VALUE!</v>
      </c>
      <c r="F55" s="104" t="e">
        <f>C44</f>
        <v>#VALUE!</v>
      </c>
      <c r="G55" s="83" t="e">
        <f>E50</f>
        <v>#VALUE!</v>
      </c>
      <c r="H55" s="51"/>
      <c r="I55" s="108"/>
      <c r="J55" s="108"/>
      <c r="K55" s="108"/>
      <c r="L55" s="54"/>
      <c r="N55" s="79"/>
      <c r="O55" s="124">
        <f t="shared" si="153"/>
        <v>60</v>
      </c>
      <c r="P55" s="184">
        <v>11</v>
      </c>
      <c r="Q55" s="491"/>
      <c r="R55" s="298">
        <v>15.87</v>
      </c>
      <c r="S55" s="298">
        <v>21.18</v>
      </c>
      <c r="T55" s="298">
        <v>26.49</v>
      </c>
      <c r="U55" s="298">
        <v>31.799999999999997</v>
      </c>
      <c r="V55" s="298">
        <v>37.11</v>
      </c>
      <c r="W55" s="298">
        <v>42.42</v>
      </c>
      <c r="X55" s="298">
        <v>47.730000000000004</v>
      </c>
      <c r="Y55" s="298">
        <v>53.040000000000006</v>
      </c>
      <c r="Z55" s="298">
        <v>58.350000000000009</v>
      </c>
      <c r="AA55" s="492"/>
      <c r="AB55" s="492"/>
      <c r="AC55" s="492"/>
      <c r="AD55" s="492"/>
      <c r="AE55" s="492"/>
      <c r="AF55" s="492"/>
      <c r="AG55" s="492"/>
      <c r="AH55" s="492"/>
      <c r="AI55" s="492"/>
      <c r="AJ55" s="492"/>
      <c r="AK55" s="45"/>
      <c r="AL55" s="117" t="e">
        <f>I69</f>
        <v>#VALUE!</v>
      </c>
      <c r="AM55" s="118" t="e">
        <f>INDEX(P45:AJ65,$I$70,$D$70)</f>
        <v>#VALUE!</v>
      </c>
      <c r="AN55" s="118" t="e">
        <f>(((AN52-AM52)/(AO52-AM52))*(AO55-AM55))+AM55</f>
        <v>#VALUE!</v>
      </c>
      <c r="AO55" s="118" t="e">
        <f>INDEX(P45:AJ65,$I$70,$E$70)</f>
        <v>#VALUE!</v>
      </c>
      <c r="AP55" s="185"/>
      <c r="AQ55" s="46"/>
    </row>
    <row r="56" spans="1:59" ht="19.5" thickBot="1" x14ac:dyDescent="0.35">
      <c r="B56" s="57"/>
      <c r="C56" s="51"/>
      <c r="D56" s="83" t="e">
        <f>H50</f>
        <v>#VALUE!</v>
      </c>
      <c r="E56" s="105" t="e">
        <f>INDEX(C17:W37,$H$51,$D$51)</f>
        <v>#VALUE!</v>
      </c>
      <c r="F56" s="105" t="e">
        <f>(((F55-E55)/(G55-E55))*(G56-E56))+E56</f>
        <v>#VALUE!</v>
      </c>
      <c r="G56" s="105" t="e">
        <f>INDEX(C17:W37,$H$51,$E$51)</f>
        <v>#VALUE!</v>
      </c>
      <c r="H56" s="51"/>
      <c r="I56" s="108" t="s">
        <v>43</v>
      </c>
      <c r="J56" s="108" t="e">
        <f>F57*(C3*C5)/144</f>
        <v>#VALUE!</v>
      </c>
      <c r="K56" s="108" t="s">
        <v>42</v>
      </c>
      <c r="L56" s="54"/>
      <c r="N56" s="79"/>
      <c r="O56" s="124">
        <f t="shared" si="153"/>
        <v>66</v>
      </c>
      <c r="P56" s="184">
        <v>12</v>
      </c>
      <c r="Q56" s="491"/>
      <c r="R56" s="298">
        <v>17.23</v>
      </c>
      <c r="S56" s="298">
        <v>22.91</v>
      </c>
      <c r="T56" s="298">
        <v>28.59</v>
      </c>
      <c r="U56" s="298">
        <v>34.269999999999996</v>
      </c>
      <c r="V56" s="298">
        <v>39.949999999999996</v>
      </c>
      <c r="W56" s="298">
        <v>45.629999999999995</v>
      </c>
      <c r="X56" s="298">
        <v>51.309999999999995</v>
      </c>
      <c r="Y56" s="298">
        <v>56.989999999999995</v>
      </c>
      <c r="Z56" s="298">
        <v>62.669999999999995</v>
      </c>
      <c r="AA56" s="492"/>
      <c r="AB56" s="492"/>
      <c r="AC56" s="492"/>
      <c r="AD56" s="492"/>
      <c r="AE56" s="492"/>
      <c r="AF56" s="492"/>
      <c r="AG56" s="492"/>
      <c r="AH56" s="492"/>
      <c r="AI56" s="492"/>
      <c r="AJ56" s="492"/>
      <c r="AK56" s="45"/>
      <c r="AL56" s="327"/>
      <c r="AM56" s="327"/>
      <c r="AN56" s="327"/>
      <c r="AO56" s="327"/>
      <c r="AP56" s="327"/>
      <c r="AQ56" s="46"/>
    </row>
    <row r="57" spans="1:59" ht="19.5" thickBot="1" x14ac:dyDescent="0.35">
      <c r="B57" s="57"/>
      <c r="C57" s="51"/>
      <c r="D57" s="83" t="e">
        <f>C45</f>
        <v>#VALUE!</v>
      </c>
      <c r="E57" s="105" t="e">
        <f>(((D57-D56)/(D58-D56))*(E58-E56))+E56</f>
        <v>#VALUE!</v>
      </c>
      <c r="F57" s="106" t="e">
        <f>IF(AND(F55&gt;72,D57&gt;72),5/0,IF(F55=120,E57,(((F56-E56)/(G56-E56))*(G57-E57))+E57))</f>
        <v>#VALUE!</v>
      </c>
      <c r="G57" s="105" t="e">
        <f>(((D57-D56)/(D58-D56))*(G58-G56))+G56</f>
        <v>#VALUE!</v>
      </c>
      <c r="H57" s="51"/>
      <c r="I57" s="108"/>
      <c r="J57" s="108"/>
      <c r="K57" s="108"/>
      <c r="L57" s="54"/>
      <c r="N57" s="79"/>
      <c r="O57" s="124">
        <f t="shared" si="153"/>
        <v>72</v>
      </c>
      <c r="P57" s="184">
        <v>13</v>
      </c>
      <c r="Q57" s="491"/>
      <c r="R57" s="298">
        <v>18.579999999999998</v>
      </c>
      <c r="S57" s="298">
        <v>24.64</v>
      </c>
      <c r="T57" s="298">
        <v>30.69</v>
      </c>
      <c r="U57" s="298">
        <v>36.75</v>
      </c>
      <c r="V57" s="298">
        <v>42.81</v>
      </c>
      <c r="W57" s="298">
        <v>48.870000000000005</v>
      </c>
      <c r="X57" s="298">
        <v>54.930000000000007</v>
      </c>
      <c r="Y57" s="298">
        <v>60.990000000000009</v>
      </c>
      <c r="Z57" s="298">
        <v>67.050000000000011</v>
      </c>
      <c r="AA57" s="492"/>
      <c r="AB57" s="492"/>
      <c r="AC57" s="492"/>
      <c r="AD57" s="492"/>
      <c r="AE57" s="492"/>
      <c r="AF57" s="492"/>
      <c r="AG57" s="492"/>
      <c r="AH57" s="492"/>
      <c r="AI57" s="492"/>
      <c r="AJ57" s="492"/>
      <c r="AK57" s="45"/>
      <c r="AL57" s="45"/>
      <c r="AM57" s="327"/>
      <c r="AN57" s="186"/>
      <c r="AO57" s="185"/>
      <c r="AP57" s="325"/>
      <c r="AQ57" s="46"/>
    </row>
    <row r="58" spans="1:59" ht="19.5" thickBot="1" x14ac:dyDescent="0.35">
      <c r="B58" s="57"/>
      <c r="C58" s="51"/>
      <c r="D58" s="83" t="e">
        <f>I50</f>
        <v>#VALUE!</v>
      </c>
      <c r="E58" s="105" t="e">
        <f>INDEX(C17:W37,$I$51,$D$51)</f>
        <v>#VALUE!</v>
      </c>
      <c r="F58" s="105" t="e">
        <f>(((F55-E55)/(G55-E55))*(G58-E58))+E58</f>
        <v>#VALUE!</v>
      </c>
      <c r="G58" s="105" t="e">
        <f>INDEX(C17:W37,$I$51,$E$51)</f>
        <v>#VALUE!</v>
      </c>
      <c r="H58" s="51"/>
      <c r="I58" s="108"/>
      <c r="J58" s="108"/>
      <c r="K58" s="108"/>
      <c r="L58" s="54"/>
      <c r="N58" s="79"/>
      <c r="O58" s="124">
        <f t="shared" si="153"/>
        <v>78</v>
      </c>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AN49</f>
        <v>#VALUE!</v>
      </c>
      <c r="AP58" s="325" t="s">
        <v>141</v>
      </c>
      <c r="AQ58" s="46"/>
    </row>
    <row r="59" spans="1:59" ht="19.5" thickBot="1" x14ac:dyDescent="0.35">
      <c r="B59" s="57"/>
      <c r="C59" s="51"/>
      <c r="D59" s="51"/>
      <c r="E59" s="51"/>
      <c r="F59" s="51"/>
      <c r="G59" s="51"/>
      <c r="H59" s="51"/>
      <c r="I59" s="108"/>
      <c r="J59" s="108"/>
      <c r="K59" s="108"/>
      <c r="L59" s="54"/>
      <c r="N59" s="79"/>
      <c r="O59" s="124">
        <f t="shared" si="153"/>
        <v>84</v>
      </c>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AN54</f>
        <v>#VALUE!</v>
      </c>
      <c r="AP59" s="185" t="s">
        <v>141</v>
      </c>
      <c r="AQ59" s="77"/>
    </row>
    <row r="60" spans="1:59" ht="15.75" thickBot="1" x14ac:dyDescent="0.3">
      <c r="B60" s="57"/>
      <c r="C60" s="51"/>
      <c r="D60" s="51"/>
      <c r="E60" s="51"/>
      <c r="F60" s="51"/>
      <c r="G60" s="51"/>
      <c r="H60" s="51"/>
      <c r="I60" s="51"/>
      <c r="J60" s="51"/>
      <c r="K60" s="51"/>
      <c r="L60" s="54"/>
      <c r="N60" s="79"/>
      <c r="O60" s="124">
        <f t="shared" si="153"/>
        <v>90</v>
      </c>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59" ht="15.75" thickBot="1" x14ac:dyDescent="0.3">
      <c r="B61" s="57"/>
      <c r="C61" s="51"/>
      <c r="D61" s="51"/>
      <c r="E61" s="51"/>
      <c r="F61" s="51"/>
      <c r="G61" s="51"/>
      <c r="H61" s="51"/>
      <c r="I61" s="51"/>
      <c r="J61" s="51"/>
      <c r="K61" s="51"/>
      <c r="L61" s="54"/>
      <c r="N61" s="79"/>
      <c r="O61" s="124">
        <f t="shared" si="153"/>
        <v>96</v>
      </c>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59" ht="15.75" thickBot="1" x14ac:dyDescent="0.3">
      <c r="A62" s="1"/>
      <c r="B62" s="51"/>
      <c r="C62" s="51"/>
      <c r="D62" s="51"/>
      <c r="E62" s="51"/>
      <c r="F62" s="51"/>
      <c r="G62" s="51"/>
      <c r="H62" s="51"/>
      <c r="I62" s="51"/>
      <c r="J62" s="51"/>
      <c r="K62" s="51"/>
      <c r="L62" s="54"/>
      <c r="N62" s="79"/>
      <c r="O62" s="124">
        <f t="shared" si="153"/>
        <v>102</v>
      </c>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9.5" thickBot="1" x14ac:dyDescent="0.35">
      <c r="A63" s="1"/>
      <c r="B63" s="150" t="s">
        <v>38</v>
      </c>
      <c r="C63" s="112" t="e">
        <f>F10</f>
        <v>#VALUE!</v>
      </c>
      <c r="D63" s="51"/>
      <c r="E63" s="51"/>
      <c r="F63" s="51"/>
      <c r="G63" s="51"/>
      <c r="H63" s="51"/>
      <c r="I63" s="51"/>
      <c r="J63" s="51"/>
      <c r="K63" s="51"/>
      <c r="L63" s="54"/>
      <c r="N63" s="79"/>
      <c r="O63" s="124">
        <f t="shared" si="153"/>
        <v>108</v>
      </c>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9.5" thickBot="1" x14ac:dyDescent="0.35">
      <c r="B64" s="150" t="s">
        <v>39</v>
      </c>
      <c r="C64" s="112" t="e">
        <f>I10</f>
        <v>#VALUE!</v>
      </c>
      <c r="D64" s="2"/>
      <c r="E64" s="51"/>
      <c r="F64" s="51"/>
      <c r="G64" s="51"/>
      <c r="H64" s="51"/>
      <c r="I64" s="51"/>
      <c r="J64" s="51"/>
      <c r="K64" s="51"/>
      <c r="L64" s="54"/>
      <c r="N64" s="79"/>
      <c r="O64" s="124">
        <f t="shared" si="153"/>
        <v>114</v>
      </c>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21.75" thickBot="1" x14ac:dyDescent="0.4">
      <c r="B65" s="454" t="s">
        <v>63</v>
      </c>
      <c r="C65" s="51"/>
      <c r="D65" s="51"/>
      <c r="E65" s="51"/>
      <c r="F65" s="51"/>
      <c r="G65" s="51"/>
      <c r="H65" s="51"/>
      <c r="I65" s="51"/>
      <c r="J65" s="51"/>
      <c r="K65" s="51"/>
      <c r="L65" s="54"/>
      <c r="N65" s="79"/>
      <c r="O65" s="124">
        <f t="shared" si="153"/>
        <v>120</v>
      </c>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57"/>
      <c r="C66" s="2"/>
      <c r="D66" s="51"/>
      <c r="E66" s="51"/>
      <c r="F66" s="51"/>
      <c r="G66" s="51"/>
      <c r="H66" s="51"/>
      <c r="I66" s="51"/>
      <c r="J66" s="51"/>
      <c r="K66" s="51"/>
      <c r="L66" s="54"/>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57"/>
      <c r="C67" s="96"/>
      <c r="D67" s="97" t="s">
        <v>32</v>
      </c>
      <c r="E67" s="98"/>
      <c r="F67" s="98"/>
      <c r="G67" s="100"/>
      <c r="H67" s="97" t="s">
        <v>33</v>
      </c>
      <c r="I67" s="99"/>
      <c r="J67" s="51"/>
      <c r="K67" s="51"/>
      <c r="L67" s="54"/>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57"/>
      <c r="C68" s="92"/>
      <c r="D68" s="93" t="s">
        <v>64</v>
      </c>
      <c r="E68" s="94" t="s">
        <v>65</v>
      </c>
      <c r="F68" s="94"/>
      <c r="G68" s="101"/>
      <c r="H68" s="93" t="s">
        <v>64</v>
      </c>
      <c r="I68" s="95" t="s">
        <v>65</v>
      </c>
      <c r="J68" s="51"/>
      <c r="K68" s="51"/>
      <c r="L68" s="54"/>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57"/>
      <c r="C69" s="90"/>
      <c r="D69" s="88" t="e">
        <f>IF(AND(C63&lt;12,C63&gt;=H3),H3,FLOOR(C63/6,1)*6)</f>
        <v>#VALUE!</v>
      </c>
      <c r="E69" s="84" t="e">
        <f>IF(D69&lt;12,12,D69+6)</f>
        <v>#VALUE!</v>
      </c>
      <c r="F69" s="84"/>
      <c r="G69" s="102"/>
      <c r="H69" s="88" t="e">
        <f>IF(AND(C64&lt;12,C64&gt;=H5),H5,FLOOR(C64/6,1)*6)</f>
        <v>#VALUE!</v>
      </c>
      <c r="I69" s="85" t="e">
        <f>IF(H69&lt;12,12,H69+6)</f>
        <v>#VALUE!</v>
      </c>
      <c r="J69" s="51"/>
      <c r="K69" s="51"/>
      <c r="L69" s="54"/>
      <c r="BG69" s="2"/>
      <c r="BH69" s="2"/>
    </row>
    <row r="70" spans="1:79" ht="24" thickBot="1" x14ac:dyDescent="0.4">
      <c r="A70" s="2"/>
      <c r="B70" s="57"/>
      <c r="C70" s="90" t="s">
        <v>34</v>
      </c>
      <c r="D70" s="88" t="e">
        <f>HLOOKUP(D69,C16:W17,2)</f>
        <v>#VALUE!</v>
      </c>
      <c r="E70" s="84" t="e">
        <f>HLOOKUP(E69,C16:W17,2)</f>
        <v>#VALUE!</v>
      </c>
      <c r="F70" s="84"/>
      <c r="G70" s="102" t="s">
        <v>35</v>
      </c>
      <c r="H70" s="88" t="e">
        <f>VLOOKUP(H69,B17:C37,2)</f>
        <v>#VALUE!</v>
      </c>
      <c r="I70" s="85" t="e">
        <f>VLOOKUP(I69,B17:C37,2)</f>
        <v>#VALUE!</v>
      </c>
      <c r="J70" s="51"/>
      <c r="K70" s="51"/>
      <c r="L70" s="54"/>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57"/>
      <c r="C71" s="91"/>
      <c r="D71" s="89"/>
      <c r="E71" s="86"/>
      <c r="F71" s="86"/>
      <c r="G71" s="103"/>
      <c r="H71" s="89"/>
      <c r="I71" s="87"/>
      <c r="J71" s="51"/>
      <c r="K71" s="51"/>
      <c r="L71" s="54"/>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57"/>
      <c r="C72" s="51"/>
      <c r="D72" s="51"/>
      <c r="E72" s="51"/>
      <c r="F72" s="51"/>
      <c r="G72" s="51"/>
      <c r="H72" s="51"/>
      <c r="I72" s="51"/>
      <c r="J72" s="51"/>
      <c r="K72" s="51"/>
      <c r="L72" s="54"/>
      <c r="N72" s="997"/>
      <c r="O72" s="423" t="s">
        <v>243</v>
      </c>
      <c r="P72" s="422"/>
      <c r="Q72" s="40"/>
      <c r="R72" s="423" t="s">
        <v>248</v>
      </c>
      <c r="S72" s="40"/>
      <c r="T72" s="40"/>
      <c r="U72" s="423" t="s">
        <v>249</v>
      </c>
      <c r="V72" s="40"/>
      <c r="W72" s="169"/>
      <c r="X72" s="193"/>
      <c r="Y72" s="41"/>
      <c r="Z72" s="496" t="s">
        <v>149</v>
      </c>
      <c r="AA72" s="40"/>
      <c r="AB72" s="40" t="e">
        <f>(AO58*D12*2)+(AO59*G12*2)</f>
        <v>#VALUE!</v>
      </c>
      <c r="AC72" s="40" t="s">
        <v>141</v>
      </c>
      <c r="AD72" s="415"/>
      <c r="AE72" s="40"/>
      <c r="AF72" s="40"/>
      <c r="AG72" s="40"/>
      <c r="AH72" s="40"/>
      <c r="AI72" s="40"/>
      <c r="AJ72" s="169"/>
      <c r="BF72" s="2"/>
      <c r="BG72" s="2"/>
    </row>
    <row r="73" spans="1:79" ht="21" x14ac:dyDescent="0.35">
      <c r="A73" s="2"/>
      <c r="B73" s="151" t="s">
        <v>57</v>
      </c>
      <c r="C73" s="51"/>
      <c r="D73" s="2"/>
      <c r="E73" s="51"/>
      <c r="F73" s="51"/>
      <c r="G73" s="51"/>
      <c r="H73" s="51"/>
      <c r="I73" s="51"/>
      <c r="J73" s="51"/>
      <c r="K73" s="51"/>
      <c r="L73" s="54"/>
      <c r="N73" s="504"/>
      <c r="O73" s="223" t="s">
        <v>142</v>
      </c>
      <c r="P73" s="40">
        <v>0.13619999999999999</v>
      </c>
      <c r="Q73" s="40" t="s">
        <v>139</v>
      </c>
      <c r="R73" s="40" t="s">
        <v>313</v>
      </c>
      <c r="S73" s="40">
        <f>0.5</f>
        <v>0.5</v>
      </c>
      <c r="T73" s="40" t="s">
        <v>141</v>
      </c>
      <c r="U73" s="581" t="str">
        <f>IF(C4&gt;107.815,"GA_8.25",IF(AND(C3&lt;=107.815,C4&lt;=35.815),"OP_8.25","SE_8.25"))</f>
        <v>GA_8.25</v>
      </c>
      <c r="V73" s="583" t="e">
        <f>INDEX(BC_ROOF!J2:K10, MATCH(U73,BC_ROOF!J2:J10,0),2)</f>
        <v>#VALUE!</v>
      </c>
      <c r="W73" s="169" t="s">
        <v>141</v>
      </c>
      <c r="X73" s="193"/>
      <c r="Y73" s="41"/>
      <c r="Z73" s="496" t="s">
        <v>247</v>
      </c>
      <c r="AA73" s="40"/>
      <c r="AB73" s="415" t="e">
        <f>P76</f>
        <v>#VALUE!</v>
      </c>
      <c r="AC73" s="40" t="s">
        <v>141</v>
      </c>
      <c r="AD73" s="40"/>
      <c r="AE73" s="40"/>
      <c r="AF73" s="40"/>
      <c r="AG73" s="40"/>
      <c r="AH73" s="40"/>
      <c r="AI73" s="40"/>
      <c r="AJ73" s="169"/>
      <c r="BF73" s="2"/>
    </row>
    <row r="74" spans="1:79" ht="15.75" x14ac:dyDescent="0.25">
      <c r="A74" s="2"/>
      <c r="B74" s="57"/>
      <c r="C74" s="51"/>
      <c r="D74" s="83"/>
      <c r="E74" s="83" t="e">
        <f>D69</f>
        <v>#VALUE!</v>
      </c>
      <c r="F74" s="104" t="e">
        <f>C63</f>
        <v>#VALUE!</v>
      </c>
      <c r="G74" s="83" t="e">
        <f>E69</f>
        <v>#VALUE!</v>
      </c>
      <c r="H74" s="51"/>
      <c r="I74" s="51"/>
      <c r="J74" s="51"/>
      <c r="K74" s="51"/>
      <c r="L74" s="54"/>
      <c r="N74" s="420"/>
      <c r="O74" s="40" t="s">
        <v>231</v>
      </c>
      <c r="P74" s="40" t="str">
        <f>C5</f>
        <v>ENTER HEIGHT</v>
      </c>
      <c r="Q74" s="40" t="s">
        <v>151</v>
      </c>
      <c r="R74" s="40" t="s">
        <v>244</v>
      </c>
      <c r="S74" s="40" t="e">
        <f>D13</f>
        <v>#VALUE!</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57"/>
      <c r="C75" s="51"/>
      <c r="D75" s="83" t="e">
        <f>H69</f>
        <v>#VALUE!</v>
      </c>
      <c r="E75" s="105" t="e">
        <f>INDEX(C17:W37,$H$70,$D$70)</f>
        <v>#VALUE!</v>
      </c>
      <c r="F75" s="105" t="e">
        <f>(((F74-E74)/(G74-E74))*(G75-E75))+E75</f>
        <v>#VALUE!</v>
      </c>
      <c r="G75" s="105" t="e">
        <f>INDEX(C17:W37,$H$70,$E$70)</f>
        <v>#VALUE!</v>
      </c>
      <c r="H75" s="51"/>
      <c r="I75" s="51"/>
      <c r="J75" s="51"/>
      <c r="K75" s="51"/>
      <c r="L75" s="54"/>
      <c r="N75" s="41"/>
      <c r="O75" s="40"/>
      <c r="P75" s="40"/>
      <c r="Q75" s="40"/>
      <c r="R75" s="40"/>
      <c r="S75" s="40"/>
      <c r="T75" s="40"/>
      <c r="U75" s="40"/>
      <c r="V75" s="40"/>
      <c r="W75" s="169"/>
      <c r="X75" s="193"/>
      <c r="Y75" s="41"/>
      <c r="Z75" s="496" t="s">
        <v>248</v>
      </c>
      <c r="AA75" s="40"/>
      <c r="AB75" s="40" t="e">
        <f>S76</f>
        <v>#VALUE!</v>
      </c>
      <c r="AC75" s="40" t="s">
        <v>141</v>
      </c>
      <c r="AD75" s="40"/>
      <c r="AE75" s="40"/>
      <c r="AF75" s="40"/>
      <c r="AG75" s="40"/>
      <c r="AH75" s="40"/>
      <c r="AI75" s="40"/>
      <c r="AJ75" s="169"/>
    </row>
    <row r="76" spans="1:79" ht="18.75" x14ac:dyDescent="0.3">
      <c r="A76" s="2"/>
      <c r="B76" s="57"/>
      <c r="C76" s="51"/>
      <c r="D76" s="83" t="e">
        <f>C64</f>
        <v>#VALUE!</v>
      </c>
      <c r="E76" s="105" t="e">
        <f>(((D76-D75)/(D77-D75))*(E77-E75))+E75</f>
        <v>#VALUE!</v>
      </c>
      <c r="F76" s="106" t="e">
        <f>IF(AND(F74&gt;72,D76&gt;72),5/0,IF(F74=120,E76,(((F75-E75)/(G75-E75))*(G76-E76))+E76))</f>
        <v>#VALUE!</v>
      </c>
      <c r="G76" s="105" t="e">
        <f>(((D76-D75)/(D77-D75))*(G77-G75))+G75</f>
        <v>#VALUE!</v>
      </c>
      <c r="H76" s="51"/>
      <c r="I76" s="108" t="s">
        <v>43</v>
      </c>
      <c r="J76" s="108" t="e">
        <f>F76*(C4*C5)/144</f>
        <v>#VALUE!</v>
      </c>
      <c r="K76" s="108" t="s">
        <v>42</v>
      </c>
      <c r="L76" s="54"/>
      <c r="N76" s="41"/>
      <c r="O76" s="499" t="s">
        <v>247</v>
      </c>
      <c r="P76" s="40" t="e">
        <f>4*(P73*P74)</f>
        <v>#VALUE!</v>
      </c>
      <c r="Q76" s="40" t="s">
        <v>141</v>
      </c>
      <c r="R76" s="495" t="s">
        <v>248</v>
      </c>
      <c r="S76" s="40" t="e">
        <f>S74*2*S73</f>
        <v>#VALUE!</v>
      </c>
      <c r="T76" s="40" t="s">
        <v>141</v>
      </c>
      <c r="U76" s="582" t="s">
        <v>249</v>
      </c>
      <c r="V76" s="583" t="e">
        <f>V73</f>
        <v>#VALUE!</v>
      </c>
      <c r="W76" s="169" t="s">
        <v>141</v>
      </c>
      <c r="X76" s="193"/>
      <c r="Y76" s="41"/>
      <c r="Z76" s="496" t="s">
        <v>245</v>
      </c>
      <c r="AA76" s="40"/>
      <c r="AB76" s="40" t="e">
        <f>S83</f>
        <v>#VALUE!</v>
      </c>
      <c r="AC76" s="40" t="s">
        <v>141</v>
      </c>
      <c r="AD76" s="40"/>
      <c r="AE76" s="40"/>
      <c r="AF76" s="40"/>
      <c r="AG76" s="40"/>
      <c r="AH76" s="40"/>
      <c r="AI76" s="40"/>
      <c r="AJ76" s="169"/>
      <c r="BS76" s="2"/>
      <c r="BT76" s="2"/>
      <c r="BU76" s="2"/>
      <c r="BV76" s="2"/>
      <c r="BW76" s="2"/>
      <c r="BX76" s="2"/>
      <c r="BY76" s="2"/>
      <c r="BZ76" s="2"/>
      <c r="CA76" s="2"/>
    </row>
    <row r="77" spans="1:79" ht="18.75" x14ac:dyDescent="0.3">
      <c r="B77" s="57"/>
      <c r="C77" s="51"/>
      <c r="D77" s="83" t="e">
        <f>I69</f>
        <v>#VALUE!</v>
      </c>
      <c r="E77" s="105" t="e">
        <f>INDEX(C17:W37,$I$70,$D$70)</f>
        <v>#VALUE!</v>
      </c>
      <c r="F77" s="105" t="e">
        <f>(((F74-E74)/(G74-E74))*(G77-E77))+E77</f>
        <v>#VALUE!</v>
      </c>
      <c r="G77" s="105" t="e">
        <f>INDEX(C17:W37,$I$70,$E$70)</f>
        <v>#VALUE!</v>
      </c>
      <c r="H77" s="51"/>
      <c r="I77" s="108"/>
      <c r="J77" s="108"/>
      <c r="K77" s="108"/>
      <c r="L77" s="54"/>
      <c r="N77" s="41"/>
      <c r="O77" s="423"/>
      <c r="P77" s="40"/>
      <c r="Q77" s="40"/>
      <c r="R77" s="40"/>
      <c r="S77" s="40"/>
      <c r="T77" s="40"/>
      <c r="U77" s="40"/>
      <c r="V77" s="40"/>
      <c r="W77" s="169"/>
      <c r="X77" s="193"/>
      <c r="Y77" s="41"/>
      <c r="Z77" s="496" t="s">
        <v>246</v>
      </c>
      <c r="AA77" s="40"/>
      <c r="AB77" s="40" t="e">
        <f>V83</f>
        <v>#VALUE!</v>
      </c>
      <c r="AC77" s="40" t="s">
        <v>141</v>
      </c>
      <c r="AD77" s="40"/>
      <c r="AE77" s="40"/>
      <c r="AF77" s="40"/>
      <c r="AG77" s="40"/>
      <c r="AH77" s="40"/>
      <c r="AI77" s="40"/>
      <c r="AJ77" s="169"/>
      <c r="BS77" s="2"/>
      <c r="BT77" s="2"/>
      <c r="BU77" s="2"/>
      <c r="BV77" s="2"/>
      <c r="BW77" s="2"/>
      <c r="BX77" s="2"/>
      <c r="BY77" s="2"/>
      <c r="BZ77" s="2"/>
      <c r="CA77" s="2"/>
    </row>
    <row r="78" spans="1:79" x14ac:dyDescent="0.25">
      <c r="B78" s="57"/>
      <c r="C78" s="51"/>
      <c r="D78" s="51"/>
      <c r="E78" s="51"/>
      <c r="F78" s="51"/>
      <c r="G78" s="51"/>
      <c r="H78" s="51"/>
      <c r="I78" s="51"/>
      <c r="J78" s="51"/>
      <c r="K78" s="51"/>
      <c r="L78" s="54"/>
      <c r="N78" s="41"/>
      <c r="O78" s="423"/>
      <c r="P78" s="40"/>
      <c r="Q78" s="40"/>
      <c r="R78" s="40"/>
      <c r="S78" s="40"/>
      <c r="T78" s="40"/>
      <c r="U78" s="40"/>
      <c r="V78" s="40"/>
      <c r="W78" s="169"/>
      <c r="X78" s="193"/>
      <c r="Y78" s="41"/>
      <c r="Z78" s="496" t="s">
        <v>249</v>
      </c>
      <c r="AA78" s="40"/>
      <c r="AB78" s="40" t="e">
        <f>V76</f>
        <v>#VALUE!</v>
      </c>
      <c r="AC78" s="40" t="s">
        <v>141</v>
      </c>
      <c r="AD78" s="40"/>
      <c r="AE78" s="40"/>
      <c r="AF78" s="40"/>
      <c r="AG78" s="40"/>
      <c r="AH78" s="40"/>
      <c r="AI78" s="40"/>
      <c r="AJ78" s="169"/>
      <c r="BS78" s="2"/>
      <c r="BT78" s="2"/>
      <c r="BU78" s="2"/>
      <c r="BV78" s="2"/>
      <c r="BW78" s="2"/>
      <c r="BX78" s="2"/>
      <c r="BY78" s="2"/>
      <c r="BZ78" s="2"/>
      <c r="CA78" s="2"/>
    </row>
    <row r="79" spans="1:79" x14ac:dyDescent="0.25">
      <c r="B79" s="57"/>
      <c r="C79" s="51"/>
      <c r="D79" s="51"/>
      <c r="E79" s="51"/>
      <c r="F79" s="51"/>
      <c r="G79" s="51"/>
      <c r="H79" s="51"/>
      <c r="I79" s="51"/>
      <c r="J79" s="51"/>
      <c r="K79" s="51"/>
      <c r="L79" s="54"/>
      <c r="N79" s="41"/>
      <c r="O79" s="423" t="s">
        <v>148</v>
      </c>
      <c r="P79" s="40"/>
      <c r="Q79" s="40"/>
      <c r="R79" s="423" t="s">
        <v>245</v>
      </c>
      <c r="S79" s="40"/>
      <c r="T79" s="40"/>
      <c r="U79" s="423" t="s">
        <v>246</v>
      </c>
      <c r="V79" s="40"/>
      <c r="W79" s="169"/>
      <c r="X79" s="193"/>
      <c r="Y79" s="41"/>
      <c r="Z79" s="40"/>
      <c r="AA79" s="40"/>
      <c r="AB79" s="40"/>
      <c r="AC79" s="40"/>
      <c r="AD79" s="40"/>
      <c r="AE79" s="40"/>
      <c r="AF79" s="40"/>
      <c r="AG79" s="40"/>
      <c r="AH79" s="40"/>
      <c r="AI79" s="40"/>
      <c r="AJ79" s="169"/>
      <c r="BS79" s="2"/>
      <c r="BT79" s="2"/>
      <c r="BU79" s="2"/>
      <c r="BV79" s="2"/>
      <c r="BW79" s="2"/>
      <c r="BX79" s="2"/>
      <c r="BY79" s="2"/>
      <c r="BZ79" s="2"/>
      <c r="CA79" s="2"/>
    </row>
    <row r="80" spans="1:79" x14ac:dyDescent="0.25">
      <c r="B80" s="57"/>
      <c r="C80" s="51"/>
      <c r="D80" s="51"/>
      <c r="E80" s="51"/>
      <c r="F80" s="51"/>
      <c r="G80" s="51"/>
      <c r="H80" s="51"/>
      <c r="I80" s="51"/>
      <c r="J80" s="51"/>
      <c r="K80" s="51"/>
      <c r="L80" s="54"/>
      <c r="N80" s="41"/>
      <c r="O80" s="223" t="s">
        <v>142</v>
      </c>
      <c r="P80" s="40">
        <v>8.9999999999999998E-4</v>
      </c>
      <c r="Q80" s="40" t="s">
        <v>147</v>
      </c>
      <c r="R80" s="40" t="s">
        <v>142</v>
      </c>
      <c r="S80" s="783">
        <f>0.0958333333333333*2</f>
        <v>0.1916666666666666</v>
      </c>
      <c r="T80" s="40" t="s">
        <v>141</v>
      </c>
      <c r="U80" s="40" t="s">
        <v>142</v>
      </c>
      <c r="V80" s="40">
        <v>4.8500000000000001E-2</v>
      </c>
      <c r="W80" s="169" t="s">
        <v>141</v>
      </c>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62" ht="21.75" thickBot="1" x14ac:dyDescent="0.4">
      <c r="B81" s="151" t="s">
        <v>66</v>
      </c>
      <c r="C81" s="51"/>
      <c r="D81" s="51"/>
      <c r="E81" s="51"/>
      <c r="F81" s="51"/>
      <c r="G81" s="51"/>
      <c r="H81" s="51"/>
      <c r="I81" s="51"/>
      <c r="J81" s="51"/>
      <c r="K81" s="51"/>
      <c r="L81" s="54"/>
      <c r="N81" s="41"/>
      <c r="O81" s="223" t="s">
        <v>152</v>
      </c>
      <c r="P81" s="40" t="e">
        <f>(C3*C5*2)+(C4*C5*2)</f>
        <v>#VALUE!</v>
      </c>
      <c r="Q81" s="40" t="s">
        <v>153</v>
      </c>
      <c r="R81" s="40" t="s">
        <v>231</v>
      </c>
      <c r="S81" s="40" t="str">
        <f>C5</f>
        <v>ENTER HEIGHT</v>
      </c>
      <c r="T81" s="40" t="s">
        <v>151</v>
      </c>
      <c r="U81" s="40" t="s">
        <v>230</v>
      </c>
      <c r="V81" s="40" t="str">
        <f>C4</f>
        <v>ENTER WIDTH</v>
      </c>
      <c r="W81" s="169" t="s">
        <v>151</v>
      </c>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62" ht="18.75" x14ac:dyDescent="0.3">
      <c r="A82" s="2"/>
      <c r="B82" s="152"/>
      <c r="C82" s="51"/>
      <c r="D82" s="107"/>
      <c r="E82" s="159"/>
      <c r="F82" s="51"/>
      <c r="G82" s="523"/>
      <c r="H82" s="524" t="s">
        <v>270</v>
      </c>
      <c r="I82" s="525"/>
      <c r="J82" s="526"/>
      <c r="K82" s="51"/>
      <c r="L82" s="54"/>
      <c r="N82" s="41"/>
      <c r="O82" s="223"/>
      <c r="P82" s="40"/>
      <c r="Q82" s="40"/>
      <c r="R82" s="40" t="s">
        <v>374</v>
      </c>
      <c r="S82" s="40">
        <f>0.93*2</f>
        <v>1.86</v>
      </c>
      <c r="T82" s="40" t="s">
        <v>141</v>
      </c>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62" ht="18.75" x14ac:dyDescent="0.3">
      <c r="A83" s="2"/>
      <c r="B83" s="152" t="s">
        <v>189</v>
      </c>
      <c r="C83" s="51"/>
      <c r="D83" s="107" t="str">
        <f>IF(OR(C3&gt;I3,C4&gt;I4,C5&gt;I5),"",(J56*2)+(J76*2))</f>
        <v/>
      </c>
      <c r="E83" s="159" t="s">
        <v>42</v>
      </c>
      <c r="F83" s="51"/>
      <c r="G83" s="518"/>
      <c r="H83" s="198" t="str">
        <f>C1&amp;"_ENG_FA"</f>
        <v>BCZE445_ENG_FA</v>
      </c>
      <c r="I83" s="107" t="e">
        <f>(J56*2)+(J76*2)</f>
        <v>#VALUE!</v>
      </c>
      <c r="J83" s="519" t="s">
        <v>42</v>
      </c>
      <c r="K83" s="51"/>
      <c r="L83" s="54"/>
      <c r="N83" s="41"/>
      <c r="O83" s="435" t="s">
        <v>148</v>
      </c>
      <c r="P83" s="415" t="e">
        <f>P80*P81</f>
        <v>#VALUE!</v>
      </c>
      <c r="Q83" s="40" t="s">
        <v>141</v>
      </c>
      <c r="R83" s="495" t="s">
        <v>245</v>
      </c>
      <c r="S83" s="40" t="e">
        <f>IF(D12&gt;=3,((S80*S81)+S82)*(D12-1),0)</f>
        <v>#VALUE!</v>
      </c>
      <c r="T83" s="40" t="s">
        <v>141</v>
      </c>
      <c r="U83" s="495" t="s">
        <v>246</v>
      </c>
      <c r="V83" s="40" t="e">
        <f>IF(D12&gt;=3,((V80*V81)*(D12-1)),0)</f>
        <v>#VALUE!</v>
      </c>
      <c r="W83" s="169" t="s">
        <v>141</v>
      </c>
      <c r="X83" s="193"/>
      <c r="Y83" s="41"/>
      <c r="Z83" s="40"/>
      <c r="AA83" s="40"/>
      <c r="AB83" s="40"/>
      <c r="AC83" s="40"/>
      <c r="AD83" s="40"/>
      <c r="AE83" s="40"/>
      <c r="AF83" s="40"/>
      <c r="AG83" s="40"/>
      <c r="AH83" s="40"/>
      <c r="AI83" s="40"/>
      <c r="AJ83" s="169"/>
      <c r="BS83" s="2"/>
      <c r="BT83" s="2"/>
      <c r="BU83" s="2"/>
      <c r="BV83" s="2"/>
      <c r="BW83" s="2"/>
      <c r="BX83" s="2"/>
      <c r="BY83" s="2"/>
      <c r="BZ83" s="2"/>
      <c r="CA83" s="2"/>
    </row>
    <row r="84" spans="1:162" ht="18.75" x14ac:dyDescent="0.3">
      <c r="A84" s="2"/>
      <c r="B84" s="152" t="s">
        <v>190</v>
      </c>
      <c r="C84" s="51"/>
      <c r="D84" s="107" t="e">
        <f>((C3*C5*2)+(C4*C5*2))/144</f>
        <v>#VALUE!</v>
      </c>
      <c r="E84" s="159" t="s">
        <v>42</v>
      </c>
      <c r="F84" s="51"/>
      <c r="G84" s="520"/>
      <c r="H84" s="198" t="str">
        <f>C1&amp;"_ENG_FACE_AREA"</f>
        <v>BCZE445_ENG_FACE_AREA</v>
      </c>
      <c r="I84" s="107" t="e">
        <f>((C3*C5*2)+(C4*C5*2))/144</f>
        <v>#VALUE!</v>
      </c>
      <c r="J84" s="519" t="s">
        <v>42</v>
      </c>
      <c r="K84" s="51"/>
      <c r="L84" s="54"/>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62" ht="18.75" x14ac:dyDescent="0.3">
      <c r="A85" s="2"/>
      <c r="B85" s="152" t="s">
        <v>191</v>
      </c>
      <c r="C85" s="51"/>
      <c r="D85" s="107" t="e">
        <f>(D83/D84)*100</f>
        <v>#VALUE!</v>
      </c>
      <c r="E85" s="159" t="s">
        <v>13</v>
      </c>
      <c r="F85" s="51"/>
      <c r="G85" s="520"/>
      <c r="H85" s="198" t="str">
        <f>C1&amp;"_ENG_FA%"</f>
        <v>BCZE445_ENG_FA%</v>
      </c>
      <c r="I85" s="107" t="e">
        <f>(I83/I84)*100</f>
        <v>#VALUE!</v>
      </c>
      <c r="J85" s="519" t="s">
        <v>13</v>
      </c>
      <c r="K85" s="51"/>
      <c r="L85" s="54"/>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62" ht="19.5" thickBot="1" x14ac:dyDescent="0.35">
      <c r="A86" s="2"/>
      <c r="B86" s="57"/>
      <c r="C86" s="82"/>
      <c r="D86" s="51"/>
      <c r="E86" s="51"/>
      <c r="F86" s="51"/>
      <c r="G86" s="520"/>
      <c r="H86" s="198" t="str">
        <f>C1&amp;"_ENG_VEL"</f>
        <v>BCZE445_ENG_VEL</v>
      </c>
      <c r="I86" s="510" t="e">
        <f>C6/I83</f>
        <v>#VALUE!</v>
      </c>
      <c r="J86" s="527" t="s">
        <v>45</v>
      </c>
      <c r="K86" s="51"/>
      <c r="L86" s="54"/>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62" ht="18.75" x14ac:dyDescent="0.3">
      <c r="B87" s="470" t="s">
        <v>68</v>
      </c>
      <c r="C87" s="40"/>
      <c r="D87" s="494" t="e">
        <f>C6/D83</f>
        <v>#VALUE!</v>
      </c>
      <c r="E87" s="159" t="s">
        <v>45</v>
      </c>
      <c r="F87" s="471"/>
      <c r="G87" s="528" t="s">
        <v>69</v>
      </c>
      <c r="H87" s="516" t="str">
        <f>C1&amp;"_ENG_P_IN"</f>
        <v>BCZE445_ENG_P_IN</v>
      </c>
      <c r="I87" s="107" t="e">
        <f>1.70654844438105E-07*I86^2 + 7.72494047896E-19* - 2.15105711021124E-16</f>
        <v>#VALUE!</v>
      </c>
      <c r="J87" s="527" t="s">
        <v>85</v>
      </c>
      <c r="K87" s="51"/>
      <c r="L87" s="54"/>
      <c r="BS87" s="2"/>
      <c r="BT87" s="2"/>
      <c r="BU87" s="2"/>
      <c r="BV87" s="2"/>
      <c r="BW87" s="2"/>
      <c r="BX87" s="2"/>
      <c r="BY87" s="2"/>
      <c r="BZ87" s="2"/>
      <c r="CA87" s="2"/>
    </row>
    <row r="88" spans="1:162" ht="19.5" thickBot="1" x14ac:dyDescent="0.35">
      <c r="B88" s="472" t="s">
        <v>69</v>
      </c>
      <c r="C88" s="473" t="s">
        <v>6</v>
      </c>
      <c r="D88" s="494" t="e">
        <f>2.05358014445293E-07*D87^2+5.637851296925E-18*D87-3.80251385934116E-15</f>
        <v>#VALUE!</v>
      </c>
      <c r="E88" s="159" t="s">
        <v>85</v>
      </c>
      <c r="F88" s="471"/>
      <c r="G88" s="521"/>
      <c r="H88" s="529" t="str">
        <f>C1&amp;"_ENG_P_EX"</f>
        <v>BCZE445_ENG_P_EX</v>
      </c>
      <c r="I88" s="530" t="e">
        <f>1.45002333746652E-07*I86^2 + 7.99599102208E-19*+ 5.27355936696949E-16</f>
        <v>#VALUE!</v>
      </c>
      <c r="J88" s="522" t="s">
        <v>85</v>
      </c>
      <c r="K88" s="51"/>
      <c r="L88" s="54"/>
      <c r="BS88" s="2"/>
      <c r="BT88" s="2"/>
      <c r="BU88" s="2"/>
      <c r="BV88" s="2"/>
      <c r="BW88" s="2"/>
      <c r="BX88" s="2"/>
      <c r="BY88" s="2"/>
      <c r="BZ88" s="2"/>
      <c r="CA88" s="2"/>
    </row>
    <row r="89" spans="1:162" ht="19.5" thickBot="1" x14ac:dyDescent="0.35">
      <c r="B89" s="474"/>
      <c r="C89" s="473" t="s">
        <v>7</v>
      </c>
      <c r="D89" s="494" t="e">
        <f>1.81255738541494E-07*D87^2 - 2.27682456222E-18*D87 - 1.97758476261356E-15</f>
        <v>#VALUE!</v>
      </c>
      <c r="E89" s="159" t="s">
        <v>85</v>
      </c>
      <c r="F89" s="471"/>
      <c r="G89" s="471"/>
      <c r="H89" s="51"/>
      <c r="I89" s="51"/>
      <c r="J89" s="51"/>
      <c r="K89" s="51"/>
      <c r="L89" s="54"/>
      <c r="N89" s="918"/>
      <c r="O89" s="919" t="s">
        <v>412</v>
      </c>
      <c r="P89" s="920"/>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19"/>
      <c r="BG89" s="919"/>
      <c r="BH89" s="919"/>
      <c r="BI89" s="919"/>
      <c r="BJ89" s="919"/>
      <c r="BK89" s="919"/>
      <c r="BL89" s="919"/>
      <c r="BM89" s="919"/>
      <c r="BN89" s="919"/>
      <c r="BO89" s="919"/>
      <c r="BP89" s="919"/>
      <c r="BQ89" s="919"/>
      <c r="BR89" s="919"/>
      <c r="BS89" s="919"/>
      <c r="BT89" s="919"/>
      <c r="BU89" s="919"/>
      <c r="BV89" s="919"/>
      <c r="BW89" s="919"/>
      <c r="BX89" s="919"/>
      <c r="BY89" s="919"/>
      <c r="BZ89" s="919"/>
      <c r="CA89" s="919"/>
      <c r="CB89" s="919"/>
      <c r="CC89" s="919"/>
      <c r="CD89" s="919"/>
      <c r="CE89" s="919"/>
      <c r="CF89" s="919"/>
      <c r="CG89" s="919"/>
      <c r="CH89" s="919"/>
      <c r="CI89" s="919"/>
      <c r="CJ89" s="919"/>
      <c r="CK89" s="919"/>
      <c r="CL89" s="919"/>
      <c r="CM89" s="919"/>
      <c r="CN89" s="919"/>
      <c r="CO89" s="919"/>
      <c r="CP89" s="919"/>
      <c r="CQ89" s="919"/>
      <c r="CR89" s="919"/>
      <c r="CS89" s="919"/>
      <c r="CT89" s="919"/>
      <c r="CU89" s="919"/>
      <c r="CV89" s="919"/>
      <c r="CW89" s="919"/>
      <c r="CX89" s="919"/>
      <c r="CY89" s="919"/>
      <c r="CZ89" s="919"/>
      <c r="DA89" s="919"/>
      <c r="DB89" s="919"/>
      <c r="DC89" s="919"/>
      <c r="DD89" s="919"/>
      <c r="DE89" s="919"/>
      <c r="DF89" s="919"/>
      <c r="DG89" s="919"/>
      <c r="DH89" s="919"/>
      <c r="DI89" s="919"/>
      <c r="DJ89" s="919"/>
      <c r="DK89" s="919"/>
      <c r="DL89" s="919"/>
      <c r="DM89" s="919"/>
      <c r="DN89" s="919"/>
      <c r="DO89" s="919"/>
      <c r="DP89" s="919"/>
      <c r="DQ89" s="919"/>
      <c r="DR89" s="919"/>
      <c r="DS89" s="919"/>
      <c r="DT89" s="919"/>
      <c r="DU89" s="919"/>
      <c r="DV89" s="919"/>
      <c r="DW89" s="919"/>
      <c r="DX89" s="919"/>
      <c r="DY89" s="919"/>
      <c r="DZ89" s="919"/>
      <c r="EA89" s="919"/>
      <c r="EB89" s="919"/>
      <c r="EC89" s="919"/>
      <c r="ED89" s="919"/>
      <c r="EE89" s="919"/>
      <c r="EF89" s="919"/>
      <c r="EG89" s="919"/>
      <c r="EH89" s="919"/>
      <c r="EI89" s="919"/>
      <c r="EJ89" s="919"/>
      <c r="EK89" s="919"/>
      <c r="EL89" s="919"/>
      <c r="EM89" s="919"/>
      <c r="EN89" s="919"/>
      <c r="EO89" s="919"/>
      <c r="EP89" s="919"/>
      <c r="EQ89" s="919"/>
      <c r="ER89" s="919"/>
      <c r="ES89" s="919"/>
      <c r="ET89" s="919"/>
      <c r="EU89" s="919"/>
      <c r="EV89" s="919"/>
      <c r="EW89" s="919"/>
      <c r="EX89" s="919"/>
      <c r="EY89" s="919"/>
      <c r="EZ89" s="919"/>
      <c r="FA89" s="919"/>
      <c r="FB89" s="919"/>
      <c r="FC89" s="919"/>
      <c r="FD89" s="919"/>
      <c r="FE89" s="919"/>
      <c r="FF89" s="921"/>
    </row>
    <row r="90" spans="1:162" ht="15.75" thickBot="1" x14ac:dyDescent="0.3">
      <c r="A90" s="1"/>
      <c r="B90" s="192"/>
      <c r="C90" s="192"/>
      <c r="D90" s="192"/>
      <c r="E90" s="192"/>
      <c r="F90" s="471"/>
      <c r="G90" s="471"/>
      <c r="H90" s="51"/>
      <c r="I90" s="51"/>
      <c r="J90" s="51"/>
      <c r="K90" s="51"/>
      <c r="L90" s="54"/>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13"/>
      <c r="EK90" s="913"/>
      <c r="EL90" s="913"/>
      <c r="EM90" s="913"/>
      <c r="EN90" s="913"/>
      <c r="EO90" s="913"/>
      <c r="EP90" s="913"/>
      <c r="EQ90" s="913"/>
      <c r="ER90" s="913"/>
      <c r="ES90" s="913"/>
      <c r="ET90" s="913"/>
      <c r="EU90" s="913"/>
      <c r="EV90" s="913"/>
      <c r="EW90" s="913"/>
      <c r="EX90" s="913"/>
      <c r="EY90" s="913"/>
      <c r="EZ90" s="913"/>
      <c r="FA90" s="913"/>
      <c r="FB90" s="913"/>
      <c r="FC90" s="913"/>
      <c r="FD90" s="913"/>
      <c r="FE90" s="913"/>
      <c r="FF90" s="923"/>
    </row>
    <row r="91" spans="1:162" ht="15.75" thickBot="1" x14ac:dyDescent="0.3">
      <c r="A91" s="1"/>
      <c r="B91" s="192"/>
      <c r="C91" s="192"/>
      <c r="D91" s="192"/>
      <c r="E91" s="192"/>
      <c r="F91" s="475"/>
      <c r="G91" s="475"/>
      <c r="H91" s="52"/>
      <c r="I91" s="52"/>
      <c r="J91" s="52"/>
      <c r="K91" s="52"/>
      <c r="L91" s="59"/>
      <c r="N91" s="922"/>
      <c r="O91" s="916">
        <v>9.5</v>
      </c>
      <c r="P91" s="913"/>
      <c r="Q91" s="924" t="s">
        <v>414</v>
      </c>
      <c r="R91" s="924" t="s">
        <v>414</v>
      </c>
      <c r="S91" s="925">
        <f t="shared" ref="S91:Z102" si="154">S46-R46</f>
        <v>1.5700000000000003</v>
      </c>
      <c r="T91" s="925">
        <f t="shared" si="154"/>
        <v>1.5699999999999994</v>
      </c>
      <c r="U91" s="925">
        <f t="shared" si="154"/>
        <v>1.5700000000000003</v>
      </c>
      <c r="V91" s="925">
        <f t="shared" si="154"/>
        <v>1.58</v>
      </c>
      <c r="W91" s="925">
        <f t="shared" si="154"/>
        <v>1.5700000000000003</v>
      </c>
      <c r="X91" s="925">
        <f t="shared" si="154"/>
        <v>1.5700000000000003</v>
      </c>
      <c r="Y91" s="925">
        <f t="shared" si="154"/>
        <v>1.5700000000000003</v>
      </c>
      <c r="Z91" s="925">
        <f t="shared" si="154"/>
        <v>1.5799999999999983</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13"/>
      <c r="EK91" s="913"/>
      <c r="EL91" s="913"/>
      <c r="EM91" s="913"/>
      <c r="EN91" s="913"/>
      <c r="EO91" s="913"/>
      <c r="EP91" s="913"/>
      <c r="EQ91" s="913"/>
      <c r="ER91" s="913"/>
      <c r="ES91" s="913"/>
      <c r="ET91" s="913"/>
      <c r="EU91" s="913"/>
      <c r="EV91" s="913"/>
      <c r="EW91" s="913"/>
      <c r="EX91" s="913"/>
      <c r="EY91" s="913"/>
      <c r="EZ91" s="913"/>
      <c r="FA91" s="913"/>
      <c r="FB91" s="913"/>
      <c r="FC91" s="913"/>
      <c r="FD91" s="913"/>
      <c r="FE91" s="913"/>
      <c r="FF91" s="923"/>
    </row>
    <row r="92" spans="1:162" ht="15.75" thickBot="1" x14ac:dyDescent="0.3">
      <c r="A92" s="1"/>
      <c r="B92" s="192"/>
      <c r="C92" s="192"/>
      <c r="D92" s="192"/>
      <c r="E92" s="192"/>
      <c r="F92" s="475"/>
      <c r="G92" s="475"/>
      <c r="H92" s="52"/>
      <c r="I92" s="52"/>
      <c r="J92" s="52"/>
      <c r="K92" s="52"/>
      <c r="L92" s="59"/>
      <c r="N92" s="922"/>
      <c r="O92" s="917">
        <v>12</v>
      </c>
      <c r="P92" s="913"/>
      <c r="Q92" s="925" t="s">
        <v>414</v>
      </c>
      <c r="R92" s="925" t="s">
        <v>414</v>
      </c>
      <c r="S92" s="925">
        <f t="shared" si="154"/>
        <v>1.5700000000000003</v>
      </c>
      <c r="T92" s="925">
        <f t="shared" si="154"/>
        <v>1.5699999999999994</v>
      </c>
      <c r="U92" s="925">
        <f t="shared" si="154"/>
        <v>1.5699999999999994</v>
      </c>
      <c r="V92" s="925">
        <f t="shared" si="154"/>
        <v>1.5700000000000003</v>
      </c>
      <c r="W92" s="925">
        <f t="shared" si="154"/>
        <v>1.5700000000000003</v>
      </c>
      <c r="X92" s="925">
        <f t="shared" si="154"/>
        <v>1.5700000000000003</v>
      </c>
      <c r="Y92" s="925">
        <f t="shared" si="154"/>
        <v>1.5700000000000003</v>
      </c>
      <c r="Z92" s="925">
        <f t="shared" si="154"/>
        <v>1.5699999999999985</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13"/>
      <c r="EK92" s="913"/>
      <c r="EL92" s="913"/>
      <c r="EM92" s="913"/>
      <c r="EN92" s="913"/>
      <c r="EO92" s="913"/>
      <c r="EP92" s="913"/>
      <c r="EQ92" s="913"/>
      <c r="ER92" s="913"/>
      <c r="ES92" s="913"/>
      <c r="ET92" s="913"/>
      <c r="EU92" s="913"/>
      <c r="EV92" s="913"/>
      <c r="EW92" s="913"/>
      <c r="EX92" s="913"/>
      <c r="EY92" s="913"/>
      <c r="EZ92" s="913"/>
      <c r="FA92" s="913"/>
      <c r="FB92" s="913"/>
      <c r="FC92" s="913"/>
      <c r="FD92" s="913"/>
      <c r="FE92" s="913"/>
      <c r="FF92" s="923"/>
    </row>
    <row r="93" spans="1:162" ht="15.75" thickBot="1" x14ac:dyDescent="0.3">
      <c r="A93" s="1"/>
      <c r="B93" s="192"/>
      <c r="C93" s="192"/>
      <c r="D93" s="192"/>
      <c r="E93" s="192"/>
      <c r="F93" s="475"/>
      <c r="G93" s="475"/>
      <c r="H93" s="52"/>
      <c r="I93" s="52"/>
      <c r="J93" s="52"/>
      <c r="K93" s="52"/>
      <c r="L93" s="59"/>
      <c r="N93" s="922"/>
      <c r="O93" s="917">
        <v>18</v>
      </c>
      <c r="P93" s="913"/>
      <c r="Q93" s="925" t="s">
        <v>414</v>
      </c>
      <c r="R93" s="925" t="s">
        <v>414</v>
      </c>
      <c r="S93" s="925">
        <f t="shared" si="154"/>
        <v>1.9500000000000002</v>
      </c>
      <c r="T93" s="925">
        <f t="shared" si="154"/>
        <v>1.9400000000000004</v>
      </c>
      <c r="U93" s="925">
        <f t="shared" si="154"/>
        <v>1.9499999999999993</v>
      </c>
      <c r="V93" s="925">
        <f t="shared" si="154"/>
        <v>1.9499999999999993</v>
      </c>
      <c r="W93" s="925">
        <f t="shared" si="154"/>
        <v>1.9499999999999993</v>
      </c>
      <c r="X93" s="925">
        <f t="shared" si="154"/>
        <v>1.9500000000000011</v>
      </c>
      <c r="Y93" s="925">
        <f t="shared" si="154"/>
        <v>1.9499999999999993</v>
      </c>
      <c r="Z93" s="925">
        <f t="shared" si="154"/>
        <v>1.9499999999999993</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13"/>
      <c r="EL93" s="913"/>
      <c r="EM93" s="913"/>
      <c r="EN93" s="913"/>
      <c r="EO93" s="913"/>
      <c r="EP93" s="913"/>
      <c r="EQ93" s="913"/>
      <c r="ER93" s="913"/>
      <c r="ES93" s="913"/>
      <c r="ET93" s="913"/>
      <c r="EU93" s="913"/>
      <c r="EV93" s="913"/>
      <c r="EW93" s="913"/>
      <c r="EX93" s="913"/>
      <c r="EY93" s="913"/>
      <c r="EZ93" s="913"/>
      <c r="FA93" s="913"/>
      <c r="FB93" s="913"/>
      <c r="FC93" s="913"/>
      <c r="FD93" s="913"/>
      <c r="FE93" s="913"/>
      <c r="FF93" s="923"/>
    </row>
    <row r="94" spans="1:162" ht="18.75" customHeight="1" thickBot="1" x14ac:dyDescent="0.3">
      <c r="A94" s="2"/>
      <c r="B94" s="476"/>
      <c r="C94" s="160"/>
      <c r="D94" s="160"/>
      <c r="E94" s="160"/>
      <c r="F94" s="160"/>
      <c r="G94" s="160"/>
      <c r="H94" s="55"/>
      <c r="I94" s="55"/>
      <c r="J94" s="55"/>
      <c r="K94" s="55"/>
      <c r="L94" s="56"/>
      <c r="N94" s="922"/>
      <c r="O94" s="917">
        <v>24</v>
      </c>
      <c r="P94" s="913"/>
      <c r="Q94" s="925" t="s">
        <v>414</v>
      </c>
      <c r="R94" s="925" t="s">
        <v>414</v>
      </c>
      <c r="S94" s="925">
        <f t="shared" si="154"/>
        <v>2.3199999999999994</v>
      </c>
      <c r="T94" s="925">
        <f t="shared" si="154"/>
        <v>2.3200000000000003</v>
      </c>
      <c r="U94" s="925">
        <f t="shared" si="154"/>
        <v>2.3200000000000003</v>
      </c>
      <c r="V94" s="925">
        <f t="shared" si="154"/>
        <v>2.3200000000000003</v>
      </c>
      <c r="W94" s="925">
        <f t="shared" si="154"/>
        <v>2.3199999999999985</v>
      </c>
      <c r="X94" s="925">
        <f t="shared" si="154"/>
        <v>2.3200000000000003</v>
      </c>
      <c r="Y94" s="925">
        <f t="shared" si="154"/>
        <v>2.3200000000000003</v>
      </c>
      <c r="Z94" s="925">
        <f t="shared" si="154"/>
        <v>2.3200000000000003</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13"/>
      <c r="EK94" s="913"/>
      <c r="EL94" s="913"/>
      <c r="EM94" s="913"/>
      <c r="EN94" s="913"/>
      <c r="EO94" s="913"/>
      <c r="EP94" s="913"/>
      <c r="EQ94" s="913"/>
      <c r="ER94" s="913"/>
      <c r="ES94" s="913"/>
      <c r="ET94" s="913"/>
      <c r="EU94" s="913"/>
      <c r="EV94" s="913"/>
      <c r="EW94" s="913"/>
      <c r="EX94" s="913"/>
      <c r="EY94" s="913"/>
      <c r="EZ94" s="913"/>
      <c r="FA94" s="913"/>
      <c r="FB94" s="913"/>
      <c r="FC94" s="913"/>
      <c r="FD94" s="913"/>
      <c r="FE94" s="913"/>
      <c r="FF94" s="923"/>
    </row>
    <row r="95" spans="1:162" ht="18.75" customHeight="1" thickBot="1" x14ac:dyDescent="0.3">
      <c r="A95" s="2"/>
      <c r="N95" s="922"/>
      <c r="O95" s="917">
        <v>30</v>
      </c>
      <c r="P95" s="913"/>
      <c r="Q95" s="925" t="s">
        <v>414</v>
      </c>
      <c r="R95" s="925" t="s">
        <v>414</v>
      </c>
      <c r="S95" s="925">
        <f t="shared" si="154"/>
        <v>3.0700000000000003</v>
      </c>
      <c r="T95" s="925">
        <f t="shared" si="154"/>
        <v>3.0700000000000003</v>
      </c>
      <c r="U95" s="925">
        <f t="shared" si="154"/>
        <v>3.0699999999999985</v>
      </c>
      <c r="V95" s="925">
        <f t="shared" si="154"/>
        <v>3.0700000000000003</v>
      </c>
      <c r="W95" s="925">
        <f t="shared" si="154"/>
        <v>3.0700000000000003</v>
      </c>
      <c r="X95" s="925">
        <f t="shared" si="154"/>
        <v>3.0700000000000003</v>
      </c>
      <c r="Y95" s="925">
        <f t="shared" si="154"/>
        <v>3.0700000000000003</v>
      </c>
      <c r="Z95" s="925">
        <f t="shared" si="154"/>
        <v>3.0699999999999967</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13"/>
      <c r="EK95" s="913"/>
      <c r="EL95" s="913"/>
      <c r="EM95" s="913"/>
      <c r="EN95" s="913"/>
      <c r="EO95" s="913"/>
      <c r="EP95" s="913"/>
      <c r="EQ95" s="913"/>
      <c r="ER95" s="913"/>
      <c r="ES95" s="913"/>
      <c r="ET95" s="913"/>
      <c r="EU95" s="913"/>
      <c r="EV95" s="913"/>
      <c r="EW95" s="913"/>
      <c r="EX95" s="913"/>
      <c r="EY95" s="913"/>
      <c r="EZ95" s="913"/>
      <c r="FA95" s="913"/>
      <c r="FB95" s="913"/>
      <c r="FC95" s="913"/>
      <c r="FD95" s="913"/>
      <c r="FE95" s="913"/>
      <c r="FF95" s="923"/>
    </row>
    <row r="96" spans="1:162" ht="15.75" thickBot="1" x14ac:dyDescent="0.3">
      <c r="A96" s="2"/>
      <c r="N96" s="922"/>
      <c r="O96" s="917">
        <v>36</v>
      </c>
      <c r="P96" s="913"/>
      <c r="Q96" s="925" t="s">
        <v>414</v>
      </c>
      <c r="R96" s="925" t="s">
        <v>414</v>
      </c>
      <c r="S96" s="925">
        <f t="shared" si="154"/>
        <v>3.4399999999999995</v>
      </c>
      <c r="T96" s="925">
        <f t="shared" si="154"/>
        <v>3.4399999999999995</v>
      </c>
      <c r="U96" s="925">
        <f t="shared" si="154"/>
        <v>3.4400000000000013</v>
      </c>
      <c r="V96" s="925">
        <f t="shared" si="154"/>
        <v>3.4400000000000013</v>
      </c>
      <c r="W96" s="925">
        <f t="shared" si="154"/>
        <v>3.4400000000000013</v>
      </c>
      <c r="X96" s="925">
        <f t="shared" si="154"/>
        <v>3.4400000000000013</v>
      </c>
      <c r="Y96" s="925">
        <f t="shared" si="154"/>
        <v>3.4400000000000013</v>
      </c>
      <c r="Z96" s="925">
        <f t="shared" si="154"/>
        <v>3.4399999999999977</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13"/>
      <c r="EK96" s="913"/>
      <c r="EL96" s="913"/>
      <c r="EM96" s="913"/>
      <c r="EN96" s="913"/>
      <c r="EO96" s="913"/>
      <c r="EP96" s="913"/>
      <c r="EQ96" s="913"/>
      <c r="ER96" s="913"/>
      <c r="ES96" s="913"/>
      <c r="ET96" s="913"/>
      <c r="EU96" s="913"/>
      <c r="EV96" s="913"/>
      <c r="EW96" s="913"/>
      <c r="EX96" s="913"/>
      <c r="EY96" s="913"/>
      <c r="EZ96" s="913"/>
      <c r="FA96" s="913"/>
      <c r="FB96" s="913"/>
      <c r="FC96" s="913"/>
      <c r="FD96" s="913"/>
      <c r="FE96" s="913"/>
      <c r="FF96" s="923"/>
    </row>
    <row r="97" spans="1:162" ht="15.75" thickBot="1" x14ac:dyDescent="0.3">
      <c r="A97" s="2"/>
      <c r="N97" s="922"/>
      <c r="O97" s="917">
        <v>42</v>
      </c>
      <c r="P97" s="913"/>
      <c r="Q97" s="925" t="s">
        <v>414</v>
      </c>
      <c r="R97" s="925" t="s">
        <v>414</v>
      </c>
      <c r="S97" s="925">
        <f t="shared" si="154"/>
        <v>4.08</v>
      </c>
      <c r="T97" s="925">
        <f t="shared" si="154"/>
        <v>3.8100000000000005</v>
      </c>
      <c r="U97" s="925">
        <f t="shared" si="154"/>
        <v>3.8099999999999987</v>
      </c>
      <c r="V97" s="925">
        <f t="shared" si="154"/>
        <v>3.8200000000000003</v>
      </c>
      <c r="W97" s="925">
        <f t="shared" si="154"/>
        <v>3.8099999999999987</v>
      </c>
      <c r="X97" s="925">
        <f t="shared" si="154"/>
        <v>3.8099999999999987</v>
      </c>
      <c r="Y97" s="925">
        <f t="shared" si="154"/>
        <v>3.8100000000000023</v>
      </c>
      <c r="Z97" s="925">
        <f t="shared" si="154"/>
        <v>3.8100000000000023</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13"/>
      <c r="EK97" s="913"/>
      <c r="EL97" s="913"/>
      <c r="EM97" s="913"/>
      <c r="EN97" s="913"/>
      <c r="EO97" s="913"/>
      <c r="EP97" s="913"/>
      <c r="EQ97" s="913"/>
      <c r="ER97" s="913"/>
      <c r="ES97" s="913"/>
      <c r="ET97" s="913"/>
      <c r="EU97" s="913"/>
      <c r="EV97" s="913"/>
      <c r="EW97" s="913"/>
      <c r="EX97" s="913"/>
      <c r="EY97" s="913"/>
      <c r="EZ97" s="913"/>
      <c r="FA97" s="913"/>
      <c r="FB97" s="913"/>
      <c r="FC97" s="913"/>
      <c r="FD97" s="913"/>
      <c r="FE97" s="913"/>
      <c r="FF97" s="923"/>
    </row>
    <row r="98" spans="1:162" ht="15.75" thickBot="1" x14ac:dyDescent="0.3">
      <c r="A98" s="2"/>
      <c r="N98" s="922"/>
      <c r="O98" s="917">
        <v>48</v>
      </c>
      <c r="P98" s="913"/>
      <c r="Q98" s="925" t="s">
        <v>414</v>
      </c>
      <c r="R98" s="925" t="s">
        <v>414</v>
      </c>
      <c r="S98" s="925">
        <f t="shared" si="154"/>
        <v>4.1899999999999995</v>
      </c>
      <c r="T98" s="925">
        <f t="shared" si="154"/>
        <v>4.18</v>
      </c>
      <c r="U98" s="925">
        <f t="shared" si="154"/>
        <v>4.1900000000000013</v>
      </c>
      <c r="V98" s="925">
        <f t="shared" si="154"/>
        <v>4.1900000000000013</v>
      </c>
      <c r="W98" s="925">
        <f t="shared" si="154"/>
        <v>4.1899999999999977</v>
      </c>
      <c r="X98" s="925">
        <f t="shared" si="154"/>
        <v>4.1899999999999977</v>
      </c>
      <c r="Y98" s="925">
        <f t="shared" si="154"/>
        <v>4.1899999999999977</v>
      </c>
      <c r="Z98" s="925">
        <f t="shared" si="154"/>
        <v>4.1899999999999977</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13"/>
      <c r="EK98" s="913"/>
      <c r="EL98" s="913"/>
      <c r="EM98" s="913"/>
      <c r="EN98" s="913"/>
      <c r="EO98" s="913"/>
      <c r="EP98" s="913"/>
      <c r="EQ98" s="913"/>
      <c r="ER98" s="913"/>
      <c r="ES98" s="913"/>
      <c r="ET98" s="913"/>
      <c r="EU98" s="913"/>
      <c r="EV98" s="913"/>
      <c r="EW98" s="913"/>
      <c r="EX98" s="913"/>
      <c r="EY98" s="913"/>
      <c r="EZ98" s="913"/>
      <c r="FA98" s="913"/>
      <c r="FB98" s="913"/>
      <c r="FC98" s="913"/>
      <c r="FD98" s="913"/>
      <c r="FE98" s="913"/>
      <c r="FF98" s="923"/>
    </row>
    <row r="99" spans="1:162" ht="15.75" thickBot="1" x14ac:dyDescent="0.3">
      <c r="A99" s="2"/>
      <c r="N99" s="922"/>
      <c r="O99" s="917">
        <v>54</v>
      </c>
      <c r="P99" s="913"/>
      <c r="Q99" s="925" t="s">
        <v>414</v>
      </c>
      <c r="R99" s="925" t="s">
        <v>414</v>
      </c>
      <c r="S99" s="925">
        <f t="shared" si="154"/>
        <v>4.5599999999999987</v>
      </c>
      <c r="T99" s="925">
        <f t="shared" si="154"/>
        <v>4.5599999999999987</v>
      </c>
      <c r="U99" s="925">
        <f t="shared" si="154"/>
        <v>4.5599999999999987</v>
      </c>
      <c r="V99" s="925">
        <f t="shared" si="154"/>
        <v>4.5599999999999987</v>
      </c>
      <c r="W99" s="925">
        <f t="shared" si="154"/>
        <v>4.5600000000000023</v>
      </c>
      <c r="X99" s="925">
        <f t="shared" si="154"/>
        <v>4.5600000000000023</v>
      </c>
      <c r="Y99" s="925">
        <f t="shared" si="154"/>
        <v>4.5600000000000023</v>
      </c>
      <c r="Z99" s="925">
        <f t="shared" si="154"/>
        <v>4.5600000000000023</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13"/>
      <c r="EK99" s="913"/>
      <c r="EL99" s="913"/>
      <c r="EM99" s="913"/>
      <c r="EN99" s="913"/>
      <c r="EO99" s="913"/>
      <c r="EP99" s="913"/>
      <c r="EQ99" s="913"/>
      <c r="ER99" s="913"/>
      <c r="ES99" s="913"/>
      <c r="ET99" s="913"/>
      <c r="EU99" s="913"/>
      <c r="EV99" s="913"/>
      <c r="EW99" s="913"/>
      <c r="EX99" s="913"/>
      <c r="EY99" s="913"/>
      <c r="EZ99" s="913"/>
      <c r="FA99" s="913"/>
      <c r="FB99" s="913"/>
      <c r="FC99" s="913"/>
      <c r="FD99" s="913"/>
      <c r="FE99" s="913"/>
      <c r="FF99" s="923"/>
    </row>
    <row r="100" spans="1:162" ht="15.75" thickBot="1" x14ac:dyDescent="0.3">
      <c r="A100" s="2"/>
      <c r="N100" s="922"/>
      <c r="O100" s="917">
        <v>60</v>
      </c>
      <c r="P100" s="913"/>
      <c r="Q100" s="925" t="s">
        <v>414</v>
      </c>
      <c r="R100" s="925" t="s">
        <v>414</v>
      </c>
      <c r="S100" s="925">
        <f t="shared" si="154"/>
        <v>5.3100000000000005</v>
      </c>
      <c r="T100" s="925">
        <f t="shared" si="154"/>
        <v>5.3099999999999987</v>
      </c>
      <c r="U100" s="925">
        <f t="shared" si="154"/>
        <v>5.3099999999999987</v>
      </c>
      <c r="V100" s="925">
        <f t="shared" si="154"/>
        <v>5.3100000000000023</v>
      </c>
      <c r="W100" s="925">
        <f t="shared" si="154"/>
        <v>5.3100000000000023</v>
      </c>
      <c r="X100" s="925">
        <f t="shared" si="154"/>
        <v>5.3100000000000023</v>
      </c>
      <c r="Y100" s="925">
        <f t="shared" si="154"/>
        <v>5.3100000000000023</v>
      </c>
      <c r="Z100" s="925">
        <f t="shared" si="154"/>
        <v>5.3100000000000023</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13"/>
      <c r="EK100" s="913"/>
      <c r="EL100" s="913"/>
      <c r="EM100" s="913"/>
      <c r="EN100" s="913"/>
      <c r="EO100" s="913"/>
      <c r="EP100" s="913"/>
      <c r="EQ100" s="913"/>
      <c r="ER100" s="913"/>
      <c r="ES100" s="913"/>
      <c r="ET100" s="913"/>
      <c r="EU100" s="913"/>
      <c r="EV100" s="913"/>
      <c r="EW100" s="913"/>
      <c r="EX100" s="913"/>
      <c r="EY100" s="913"/>
      <c r="EZ100" s="913"/>
      <c r="FA100" s="913"/>
      <c r="FB100" s="913"/>
      <c r="FC100" s="913"/>
      <c r="FD100" s="913"/>
      <c r="FE100" s="913"/>
      <c r="FF100" s="923"/>
    </row>
    <row r="101" spans="1:162" ht="15.75" thickBot="1" x14ac:dyDescent="0.3">
      <c r="A101" s="2"/>
      <c r="N101" s="922"/>
      <c r="O101" s="917">
        <v>66</v>
      </c>
      <c r="P101" s="913"/>
      <c r="Q101" s="925" t="s">
        <v>414</v>
      </c>
      <c r="R101" s="925" t="s">
        <v>414</v>
      </c>
      <c r="S101" s="925">
        <f t="shared" si="154"/>
        <v>5.68</v>
      </c>
      <c r="T101" s="925">
        <f t="shared" si="154"/>
        <v>5.68</v>
      </c>
      <c r="U101" s="925">
        <f t="shared" si="154"/>
        <v>5.6799999999999962</v>
      </c>
      <c r="V101" s="925">
        <f t="shared" si="154"/>
        <v>5.68</v>
      </c>
      <c r="W101" s="925">
        <f t="shared" si="154"/>
        <v>5.68</v>
      </c>
      <c r="X101" s="925">
        <f t="shared" si="154"/>
        <v>5.68</v>
      </c>
      <c r="Y101" s="925">
        <f t="shared" si="154"/>
        <v>5.68</v>
      </c>
      <c r="Z101" s="925">
        <f t="shared" si="154"/>
        <v>5.68</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13"/>
      <c r="EK101" s="913"/>
      <c r="EL101" s="913"/>
      <c r="EM101" s="913"/>
      <c r="EN101" s="913"/>
      <c r="EO101" s="913"/>
      <c r="EP101" s="913"/>
      <c r="EQ101" s="913"/>
      <c r="ER101" s="913"/>
      <c r="ES101" s="913"/>
      <c r="ET101" s="913"/>
      <c r="EU101" s="913"/>
      <c r="EV101" s="913"/>
      <c r="EW101" s="913"/>
      <c r="EX101" s="913"/>
      <c r="EY101" s="913"/>
      <c r="EZ101" s="913"/>
      <c r="FA101" s="913"/>
      <c r="FB101" s="913"/>
      <c r="FC101" s="913"/>
      <c r="FD101" s="913"/>
      <c r="FE101" s="913"/>
      <c r="FF101" s="923"/>
    </row>
    <row r="102" spans="1:162" ht="15.75" thickBot="1" x14ac:dyDescent="0.3">
      <c r="A102" s="2"/>
      <c r="N102" s="922"/>
      <c r="O102" s="917">
        <v>72</v>
      </c>
      <c r="P102" s="913"/>
      <c r="Q102" s="925" t="s">
        <v>414</v>
      </c>
      <c r="R102" s="925" t="s">
        <v>414</v>
      </c>
      <c r="S102" s="925">
        <f t="shared" si="154"/>
        <v>6.0600000000000023</v>
      </c>
      <c r="T102" s="925">
        <f t="shared" si="154"/>
        <v>6.0500000000000007</v>
      </c>
      <c r="U102" s="925">
        <f t="shared" si="154"/>
        <v>6.0599999999999987</v>
      </c>
      <c r="V102" s="925">
        <f t="shared" si="154"/>
        <v>6.0600000000000023</v>
      </c>
      <c r="W102" s="925">
        <f t="shared" si="154"/>
        <v>6.0600000000000023</v>
      </c>
      <c r="X102" s="925">
        <f t="shared" si="154"/>
        <v>6.0600000000000023</v>
      </c>
      <c r="Y102" s="925">
        <f t="shared" si="154"/>
        <v>6.0600000000000023</v>
      </c>
      <c r="Z102" s="925">
        <f t="shared" si="154"/>
        <v>6.0600000000000023</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13"/>
      <c r="EK102" s="913"/>
      <c r="EL102" s="913"/>
      <c r="EM102" s="913"/>
      <c r="EN102" s="913"/>
      <c r="EO102" s="913"/>
      <c r="EP102" s="913"/>
      <c r="EQ102" s="913"/>
      <c r="ER102" s="913"/>
      <c r="ES102" s="913"/>
      <c r="ET102" s="913"/>
      <c r="EU102" s="913"/>
      <c r="EV102" s="913"/>
      <c r="EW102" s="913"/>
      <c r="EX102" s="913"/>
      <c r="EY102" s="913"/>
      <c r="EZ102" s="913"/>
      <c r="FA102" s="913"/>
      <c r="FB102" s="913"/>
      <c r="FC102" s="913"/>
      <c r="FD102" s="913"/>
      <c r="FE102" s="913"/>
      <c r="FF102" s="923"/>
    </row>
    <row r="103" spans="1:162" ht="15.75" thickBot="1" x14ac:dyDescent="0.3">
      <c r="A103" s="2"/>
      <c r="N103" s="922"/>
      <c r="O103" s="917"/>
      <c r="P103" s="913"/>
      <c r="Q103" s="925"/>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13"/>
      <c r="EK103" s="913"/>
      <c r="EL103" s="913"/>
      <c r="EM103" s="913"/>
      <c r="EN103" s="913"/>
      <c r="EO103" s="913"/>
      <c r="EP103" s="913"/>
      <c r="EQ103" s="913"/>
      <c r="ER103" s="913"/>
      <c r="ES103" s="913"/>
      <c r="ET103" s="913"/>
      <c r="EU103" s="913"/>
      <c r="EV103" s="913"/>
      <c r="EW103" s="913"/>
      <c r="EX103" s="913"/>
      <c r="EY103" s="913"/>
      <c r="EZ103" s="913"/>
      <c r="FA103" s="913"/>
      <c r="FB103" s="913"/>
      <c r="FC103" s="913"/>
      <c r="FD103" s="913"/>
      <c r="FE103" s="913"/>
      <c r="FF103" s="923"/>
    </row>
    <row r="104" spans="1:162" ht="15.75" thickBot="1" x14ac:dyDescent="0.3">
      <c r="N104" s="922"/>
      <c r="O104" s="917"/>
      <c r="P104" s="913"/>
      <c r="Q104" s="925"/>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13"/>
      <c r="EK104" s="913"/>
      <c r="EL104" s="913"/>
      <c r="EM104" s="913"/>
      <c r="EN104" s="913"/>
      <c r="EO104" s="913"/>
      <c r="EP104" s="913"/>
      <c r="EQ104" s="913"/>
      <c r="ER104" s="913"/>
      <c r="ES104" s="913"/>
      <c r="ET104" s="913"/>
      <c r="EU104" s="913"/>
      <c r="EV104" s="913"/>
      <c r="EW104" s="913"/>
      <c r="EX104" s="913"/>
      <c r="EY104" s="913"/>
      <c r="EZ104" s="913"/>
      <c r="FA104" s="913"/>
      <c r="FB104" s="913"/>
      <c r="FC104" s="913"/>
      <c r="FD104" s="913"/>
      <c r="FE104" s="913"/>
      <c r="FF104" s="923"/>
    </row>
    <row r="105" spans="1:162" ht="15.75" thickBot="1" x14ac:dyDescent="0.3">
      <c r="N105" s="922"/>
      <c r="O105" s="917"/>
      <c r="P105" s="913"/>
      <c r="Q105" s="925"/>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13"/>
      <c r="EK105" s="913"/>
      <c r="EL105" s="913"/>
      <c r="EM105" s="913"/>
      <c r="EN105" s="913"/>
      <c r="EO105" s="913"/>
      <c r="EP105" s="913"/>
      <c r="EQ105" s="913"/>
      <c r="ER105" s="913"/>
      <c r="ES105" s="913"/>
      <c r="ET105" s="913"/>
      <c r="EU105" s="913"/>
      <c r="EV105" s="913"/>
      <c r="EW105" s="913"/>
      <c r="EX105" s="913"/>
      <c r="EY105" s="913"/>
      <c r="EZ105" s="913"/>
      <c r="FA105" s="913"/>
      <c r="FB105" s="913"/>
      <c r="FC105" s="913"/>
      <c r="FD105" s="913"/>
      <c r="FE105" s="913"/>
      <c r="FF105" s="923"/>
    </row>
    <row r="106" spans="1:162" x14ac:dyDescent="0.25">
      <c r="N106" s="922"/>
      <c r="O106" s="913"/>
      <c r="P106" s="913"/>
      <c r="Q106" s="913"/>
      <c r="R106" s="913"/>
      <c r="S106" s="913"/>
      <c r="T106" s="913"/>
      <c r="U106" s="913"/>
      <c r="V106" s="913"/>
      <c r="W106" s="913"/>
      <c r="X106" s="913"/>
      <c r="Y106" s="913"/>
      <c r="Z106" s="913"/>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13"/>
      <c r="EK106" s="913"/>
      <c r="EL106" s="913"/>
      <c r="EM106" s="913"/>
      <c r="EN106" s="913"/>
      <c r="EO106" s="913"/>
      <c r="EP106" s="913"/>
      <c r="EQ106" s="913"/>
      <c r="ER106" s="913"/>
      <c r="ES106" s="913"/>
      <c r="ET106" s="913"/>
      <c r="EU106" s="913"/>
      <c r="EV106" s="913"/>
      <c r="EW106" s="913"/>
      <c r="EX106" s="913"/>
      <c r="EY106" s="913"/>
      <c r="EZ106" s="913"/>
      <c r="FA106" s="913"/>
      <c r="FB106" s="913"/>
      <c r="FC106" s="913"/>
      <c r="FD106" s="913"/>
      <c r="FE106" s="913"/>
      <c r="FF106" s="923"/>
    </row>
    <row r="107" spans="1:162" x14ac:dyDescent="0.25">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13"/>
      <c r="EK107" s="913"/>
      <c r="EL107" s="913"/>
      <c r="EM107" s="913"/>
      <c r="EN107" s="913"/>
      <c r="EO107" s="913"/>
      <c r="EP107" s="913"/>
      <c r="EQ107" s="913"/>
      <c r="ER107" s="913"/>
      <c r="ES107" s="913"/>
      <c r="ET107" s="913"/>
      <c r="EU107" s="913"/>
      <c r="EV107" s="913"/>
      <c r="EW107" s="913"/>
      <c r="EX107" s="913"/>
      <c r="EY107" s="913"/>
      <c r="EZ107" s="913"/>
      <c r="FA107" s="913"/>
      <c r="FB107" s="913"/>
      <c r="FC107" s="913"/>
      <c r="FD107" s="913"/>
      <c r="FE107" s="913"/>
      <c r="FF107" s="923"/>
    </row>
    <row r="108" spans="1:162" ht="15.75" thickBot="1" x14ac:dyDescent="0.3">
      <c r="N108" s="922"/>
      <c r="O108" s="913" t="s">
        <v>416</v>
      </c>
      <c r="P108" s="924"/>
      <c r="Q108" s="924"/>
      <c r="R108" s="924"/>
      <c r="S108" s="924"/>
      <c r="T108" s="924"/>
      <c r="U108" s="924"/>
      <c r="V108" s="924"/>
      <c r="W108" s="924"/>
      <c r="X108" s="924"/>
      <c r="Y108" s="924"/>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13"/>
      <c r="EK108" s="913"/>
      <c r="EL108" s="913"/>
      <c r="EM108" s="913"/>
      <c r="EN108" s="913"/>
      <c r="EO108" s="913"/>
      <c r="EP108" s="913"/>
      <c r="EQ108" s="913"/>
      <c r="ER108" s="913"/>
      <c r="ES108" s="913"/>
      <c r="ET108" s="913"/>
      <c r="EU108" s="913"/>
      <c r="EV108" s="913"/>
      <c r="EW108" s="913"/>
      <c r="EX108" s="913"/>
      <c r="EY108" s="913"/>
      <c r="EZ108" s="913"/>
      <c r="FA108" s="913"/>
      <c r="FB108" s="913"/>
      <c r="FC108" s="913"/>
      <c r="FD108" s="913"/>
      <c r="FE108" s="913"/>
      <c r="FF108" s="923"/>
    </row>
    <row r="109" spans="1:162" ht="15.75" thickBot="1" x14ac:dyDescent="0.3">
      <c r="N109" s="922"/>
      <c r="O109" s="913"/>
      <c r="P109" s="913"/>
      <c r="Q109" s="914">
        <v>9</v>
      </c>
      <c r="R109" s="915">
        <v>12</v>
      </c>
      <c r="S109" s="915">
        <f t="shared" ref="S109:Z109" si="155">R109+6</f>
        <v>18</v>
      </c>
      <c r="T109" s="915">
        <f t="shared" si="155"/>
        <v>24</v>
      </c>
      <c r="U109" s="915">
        <f t="shared" si="155"/>
        <v>30</v>
      </c>
      <c r="V109" s="915">
        <f t="shared" si="155"/>
        <v>36</v>
      </c>
      <c r="W109" s="915">
        <f t="shared" si="155"/>
        <v>42</v>
      </c>
      <c r="X109" s="915">
        <f t="shared" si="155"/>
        <v>48</v>
      </c>
      <c r="Y109" s="915">
        <f t="shared" si="155"/>
        <v>54</v>
      </c>
      <c r="Z109" s="915">
        <f t="shared" si="155"/>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13"/>
      <c r="EK109" s="913"/>
      <c r="EL109" s="913"/>
      <c r="EM109" s="913"/>
      <c r="EN109" s="913"/>
      <c r="EO109" s="913"/>
      <c r="EP109" s="913"/>
      <c r="EQ109" s="913"/>
      <c r="ER109" s="913"/>
      <c r="ES109" s="913"/>
      <c r="ET109" s="913"/>
      <c r="EU109" s="913"/>
      <c r="EV109" s="913"/>
      <c r="EW109" s="913"/>
      <c r="EX109" s="913"/>
      <c r="EY109" s="913"/>
      <c r="EZ109" s="913"/>
      <c r="FA109" s="913"/>
      <c r="FB109" s="913"/>
      <c r="FC109" s="913"/>
      <c r="FD109" s="913"/>
      <c r="FE109" s="913"/>
      <c r="FF109" s="923"/>
    </row>
    <row r="110" spans="1:162" ht="15.75" thickBot="1" x14ac:dyDescent="0.3">
      <c r="N110" s="922"/>
      <c r="O110" s="916">
        <v>9.5</v>
      </c>
      <c r="P110" s="913"/>
      <c r="Q110" s="924" t="s">
        <v>414</v>
      </c>
      <c r="R110" s="924" t="s">
        <v>414</v>
      </c>
      <c r="S110" s="924" t="s">
        <v>414</v>
      </c>
      <c r="T110" s="924" t="s">
        <v>414</v>
      </c>
      <c r="U110" s="924" t="s">
        <v>414</v>
      </c>
      <c r="V110" s="924" t="s">
        <v>414</v>
      </c>
      <c r="W110" s="924" t="s">
        <v>414</v>
      </c>
      <c r="X110" s="924" t="s">
        <v>414</v>
      </c>
      <c r="Y110" s="924" t="s">
        <v>414</v>
      </c>
      <c r="Z110" s="924" t="s">
        <v>414</v>
      </c>
      <c r="AA110" s="913" t="s">
        <v>417</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13"/>
      <c r="EK110" s="913"/>
      <c r="EL110" s="913"/>
      <c r="EM110" s="913"/>
      <c r="EN110" s="913"/>
      <c r="EO110" s="913"/>
      <c r="EP110" s="913"/>
      <c r="EQ110" s="913"/>
      <c r="ER110" s="913"/>
      <c r="ES110" s="913"/>
      <c r="ET110" s="913"/>
      <c r="EU110" s="913"/>
      <c r="EV110" s="913"/>
      <c r="EW110" s="913"/>
      <c r="EX110" s="913"/>
      <c r="EY110" s="913"/>
      <c r="EZ110" s="913"/>
      <c r="FA110" s="913"/>
      <c r="FB110" s="913"/>
      <c r="FC110" s="913"/>
      <c r="FD110" s="913"/>
      <c r="FE110" s="913"/>
      <c r="FF110" s="923"/>
    </row>
    <row r="111" spans="1:162" ht="15.75" thickBot="1" x14ac:dyDescent="0.3">
      <c r="N111" s="922"/>
      <c r="O111" s="917">
        <v>12</v>
      </c>
      <c r="P111" s="913"/>
      <c r="Q111" s="925"/>
      <c r="R111" s="925">
        <f t="shared" ref="R111:Z121" si="156">R47-R46</f>
        <v>0.20000000000000018</v>
      </c>
      <c r="S111" s="925">
        <f t="shared" si="156"/>
        <v>0.20000000000000018</v>
      </c>
      <c r="T111" s="925">
        <f t="shared" si="156"/>
        <v>0.20000000000000018</v>
      </c>
      <c r="U111" s="925">
        <f t="shared" si="156"/>
        <v>0.19999999999999929</v>
      </c>
      <c r="V111" s="925">
        <f t="shared" si="156"/>
        <v>0.1899999999999995</v>
      </c>
      <c r="W111" s="925">
        <f t="shared" si="156"/>
        <v>0.1899999999999995</v>
      </c>
      <c r="X111" s="925">
        <f t="shared" si="156"/>
        <v>0.1899999999999995</v>
      </c>
      <c r="Y111" s="925">
        <f t="shared" si="156"/>
        <v>0.1899999999999995</v>
      </c>
      <c r="Z111" s="925">
        <f t="shared" si="156"/>
        <v>0.17999999999999972</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13"/>
      <c r="EL111" s="913"/>
      <c r="EM111" s="913"/>
      <c r="EN111" s="913"/>
      <c r="EO111" s="913"/>
      <c r="EP111" s="913"/>
      <c r="EQ111" s="913"/>
      <c r="ER111" s="913"/>
      <c r="ES111" s="913"/>
      <c r="ET111" s="913"/>
      <c r="EU111" s="913"/>
      <c r="EV111" s="913"/>
      <c r="EW111" s="913"/>
      <c r="EX111" s="913"/>
      <c r="EY111" s="913"/>
      <c r="EZ111" s="913"/>
      <c r="FA111" s="913"/>
      <c r="FB111" s="913"/>
      <c r="FC111" s="913"/>
      <c r="FD111" s="913"/>
      <c r="FE111" s="913"/>
      <c r="FF111" s="923"/>
    </row>
    <row r="112" spans="1:162" ht="15.75" thickBot="1" x14ac:dyDescent="0.3">
      <c r="N112" s="922"/>
      <c r="O112" s="917">
        <f t="shared" ref="O112:O121" si="157">O111+6</f>
        <v>18</v>
      </c>
      <c r="P112" s="913"/>
      <c r="Q112" s="925"/>
      <c r="R112" s="925">
        <f t="shared" si="156"/>
        <v>1.3499999999999996</v>
      </c>
      <c r="S112" s="925">
        <f t="shared" si="156"/>
        <v>1.7299999999999995</v>
      </c>
      <c r="T112" s="925">
        <f t="shared" si="156"/>
        <v>2.1000000000000005</v>
      </c>
      <c r="U112" s="925">
        <f t="shared" si="156"/>
        <v>2.4800000000000004</v>
      </c>
      <c r="V112" s="925">
        <f t="shared" si="156"/>
        <v>2.8599999999999994</v>
      </c>
      <c r="W112" s="925">
        <f t="shared" si="156"/>
        <v>3.2399999999999984</v>
      </c>
      <c r="X112" s="925">
        <f t="shared" si="156"/>
        <v>3.6199999999999992</v>
      </c>
      <c r="Y112" s="925">
        <f t="shared" si="156"/>
        <v>3.9999999999999982</v>
      </c>
      <c r="Z112" s="925">
        <f t="shared" si="156"/>
        <v>4.379999999999999</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13"/>
      <c r="EL112" s="913"/>
      <c r="EM112" s="913"/>
      <c r="EN112" s="913"/>
      <c r="EO112" s="913"/>
      <c r="EP112" s="913"/>
      <c r="EQ112" s="913"/>
      <c r="ER112" s="913"/>
      <c r="ES112" s="913"/>
      <c r="ET112" s="913"/>
      <c r="EU112" s="913"/>
      <c r="EV112" s="913"/>
      <c r="EW112" s="913"/>
      <c r="EX112" s="913"/>
      <c r="EY112" s="913"/>
      <c r="EZ112" s="913"/>
      <c r="FA112" s="913"/>
      <c r="FB112" s="913"/>
      <c r="FC112" s="913"/>
      <c r="FD112" s="913"/>
      <c r="FE112" s="913"/>
      <c r="FF112" s="923"/>
    </row>
    <row r="113" spans="14:162" ht="15.75" thickBot="1" x14ac:dyDescent="0.3">
      <c r="N113" s="922"/>
      <c r="O113" s="917">
        <f t="shared" si="157"/>
        <v>24</v>
      </c>
      <c r="P113" s="913"/>
      <c r="Q113" s="925"/>
      <c r="R113" s="925">
        <f t="shared" si="156"/>
        <v>1.3600000000000003</v>
      </c>
      <c r="S113" s="925">
        <f t="shared" si="156"/>
        <v>1.7299999999999995</v>
      </c>
      <c r="T113" s="925">
        <f t="shared" si="156"/>
        <v>2.1099999999999994</v>
      </c>
      <c r="U113" s="925">
        <f t="shared" si="156"/>
        <v>2.4800000000000004</v>
      </c>
      <c r="V113" s="925">
        <f t="shared" si="156"/>
        <v>2.8500000000000014</v>
      </c>
      <c r="W113" s="925">
        <f t="shared" si="156"/>
        <v>3.2200000000000006</v>
      </c>
      <c r="X113" s="925">
        <f t="shared" si="156"/>
        <v>3.59</v>
      </c>
      <c r="Y113" s="925">
        <f t="shared" si="156"/>
        <v>3.9600000000000009</v>
      </c>
      <c r="Z113" s="925">
        <f t="shared" si="156"/>
        <v>4.3300000000000018</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13"/>
      <c r="EL113" s="913"/>
      <c r="EM113" s="913"/>
      <c r="EN113" s="913"/>
      <c r="EO113" s="913"/>
      <c r="EP113" s="913"/>
      <c r="EQ113" s="913"/>
      <c r="ER113" s="913"/>
      <c r="ES113" s="913"/>
      <c r="ET113" s="913"/>
      <c r="EU113" s="913"/>
      <c r="EV113" s="913"/>
      <c r="EW113" s="913"/>
      <c r="EX113" s="913"/>
      <c r="EY113" s="913"/>
      <c r="EZ113" s="913"/>
      <c r="FA113" s="913"/>
      <c r="FB113" s="913"/>
      <c r="FC113" s="913"/>
      <c r="FD113" s="913"/>
      <c r="FE113" s="913"/>
      <c r="FF113" s="923"/>
    </row>
    <row r="114" spans="14:162" ht="15.75" thickBot="1" x14ac:dyDescent="0.3">
      <c r="N114" s="922"/>
      <c r="O114" s="917">
        <f t="shared" si="157"/>
        <v>30</v>
      </c>
      <c r="P114" s="913"/>
      <c r="Q114" s="925"/>
      <c r="R114" s="925">
        <f t="shared" si="156"/>
        <v>1.9099999999999993</v>
      </c>
      <c r="S114" s="925">
        <f t="shared" si="156"/>
        <v>2.66</v>
      </c>
      <c r="T114" s="925">
        <f t="shared" si="156"/>
        <v>3.41</v>
      </c>
      <c r="U114" s="925">
        <f t="shared" si="156"/>
        <v>4.1599999999999984</v>
      </c>
      <c r="V114" s="925">
        <f t="shared" si="156"/>
        <v>4.9099999999999984</v>
      </c>
      <c r="W114" s="925">
        <f t="shared" si="156"/>
        <v>5.66</v>
      </c>
      <c r="X114" s="925">
        <f t="shared" si="156"/>
        <v>6.41</v>
      </c>
      <c r="Y114" s="925">
        <f t="shared" si="156"/>
        <v>7.16</v>
      </c>
      <c r="Z114" s="925">
        <f t="shared" si="156"/>
        <v>7.9099999999999966</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13"/>
      <c r="EL114" s="913"/>
      <c r="EM114" s="913"/>
      <c r="EN114" s="913"/>
      <c r="EO114" s="913"/>
      <c r="EP114" s="913"/>
      <c r="EQ114" s="913"/>
      <c r="ER114" s="913"/>
      <c r="ES114" s="913"/>
      <c r="ET114" s="913"/>
      <c r="EU114" s="913"/>
      <c r="EV114" s="913"/>
      <c r="EW114" s="913"/>
      <c r="EX114" s="913"/>
      <c r="EY114" s="913"/>
      <c r="EZ114" s="913"/>
      <c r="FA114" s="913"/>
      <c r="FB114" s="913"/>
      <c r="FC114" s="913"/>
      <c r="FD114" s="913"/>
      <c r="FE114" s="913"/>
      <c r="FF114" s="923"/>
    </row>
    <row r="115" spans="14:162" ht="15.75" thickBot="1" x14ac:dyDescent="0.3">
      <c r="N115" s="922"/>
      <c r="O115" s="917">
        <f t="shared" si="157"/>
        <v>36</v>
      </c>
      <c r="P115" s="913"/>
      <c r="Q115" s="925"/>
      <c r="R115" s="925">
        <f t="shared" si="156"/>
        <v>1.3600000000000012</v>
      </c>
      <c r="S115" s="925">
        <f t="shared" si="156"/>
        <v>1.7300000000000004</v>
      </c>
      <c r="T115" s="925">
        <f t="shared" si="156"/>
        <v>2.0999999999999996</v>
      </c>
      <c r="U115" s="925">
        <f t="shared" si="156"/>
        <v>2.4700000000000024</v>
      </c>
      <c r="V115" s="925">
        <f t="shared" si="156"/>
        <v>2.8400000000000034</v>
      </c>
      <c r="W115" s="925">
        <f t="shared" si="156"/>
        <v>3.2100000000000044</v>
      </c>
      <c r="X115" s="925">
        <f t="shared" si="156"/>
        <v>3.5800000000000054</v>
      </c>
      <c r="Y115" s="925">
        <f t="shared" si="156"/>
        <v>3.9500000000000064</v>
      </c>
      <c r="Z115" s="925">
        <f t="shared" si="156"/>
        <v>4.3200000000000074</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13"/>
      <c r="EK115" s="913"/>
      <c r="EL115" s="913"/>
      <c r="EM115" s="913"/>
      <c r="EN115" s="913"/>
      <c r="EO115" s="913"/>
      <c r="EP115" s="913"/>
      <c r="EQ115" s="913"/>
      <c r="ER115" s="913"/>
      <c r="ES115" s="913"/>
      <c r="ET115" s="913"/>
      <c r="EU115" s="913"/>
      <c r="EV115" s="913"/>
      <c r="EW115" s="913"/>
      <c r="EX115" s="913"/>
      <c r="EY115" s="913"/>
      <c r="EZ115" s="913"/>
      <c r="FA115" s="913"/>
      <c r="FB115" s="913"/>
      <c r="FC115" s="913"/>
      <c r="FD115" s="913"/>
      <c r="FE115" s="913"/>
      <c r="FF115" s="923"/>
    </row>
    <row r="116" spans="14:162" ht="15.75" thickBot="1" x14ac:dyDescent="0.3">
      <c r="N116" s="922"/>
      <c r="O116" s="917">
        <f t="shared" si="157"/>
        <v>42</v>
      </c>
      <c r="P116" s="913"/>
      <c r="Q116" s="925"/>
      <c r="R116" s="925">
        <f t="shared" si="156"/>
        <v>1.0899999999999999</v>
      </c>
      <c r="S116" s="925">
        <f t="shared" si="156"/>
        <v>1.7300000000000004</v>
      </c>
      <c r="T116" s="925">
        <f t="shared" si="156"/>
        <v>2.1000000000000014</v>
      </c>
      <c r="U116" s="925">
        <f t="shared" si="156"/>
        <v>2.4699999999999989</v>
      </c>
      <c r="V116" s="925">
        <f t="shared" si="156"/>
        <v>2.8499999999999979</v>
      </c>
      <c r="W116" s="925">
        <f t="shared" si="156"/>
        <v>3.2199999999999953</v>
      </c>
      <c r="X116" s="925">
        <f t="shared" si="156"/>
        <v>3.5899999999999928</v>
      </c>
      <c r="Y116" s="925">
        <f t="shared" si="156"/>
        <v>3.9599999999999937</v>
      </c>
      <c r="Z116" s="925">
        <f t="shared" si="156"/>
        <v>4.3299999999999983</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13"/>
      <c r="EK116" s="913"/>
      <c r="EL116" s="913"/>
      <c r="EM116" s="913"/>
      <c r="EN116" s="913"/>
      <c r="EO116" s="913"/>
      <c r="EP116" s="913"/>
      <c r="EQ116" s="913"/>
      <c r="ER116" s="913"/>
      <c r="ES116" s="913"/>
      <c r="ET116" s="913"/>
      <c r="EU116" s="913"/>
      <c r="EV116" s="913"/>
      <c r="EW116" s="913"/>
      <c r="EX116" s="913"/>
      <c r="EY116" s="913"/>
      <c r="EZ116" s="913"/>
      <c r="FA116" s="913"/>
      <c r="FB116" s="913"/>
      <c r="FC116" s="913"/>
      <c r="FD116" s="913"/>
      <c r="FE116" s="913"/>
      <c r="FF116" s="923"/>
    </row>
    <row r="117" spans="14:162" ht="15.75" thickBot="1" x14ac:dyDescent="0.3">
      <c r="N117" s="922"/>
      <c r="O117" s="917">
        <f t="shared" si="157"/>
        <v>48</v>
      </c>
      <c r="P117" s="913"/>
      <c r="Q117" s="925"/>
      <c r="R117" s="925">
        <f t="shared" si="156"/>
        <v>1.6199999999999992</v>
      </c>
      <c r="S117" s="925">
        <f t="shared" si="156"/>
        <v>1.7299999999999986</v>
      </c>
      <c r="T117" s="925">
        <f t="shared" si="156"/>
        <v>2.0999999999999979</v>
      </c>
      <c r="U117" s="925">
        <f t="shared" si="156"/>
        <v>2.4800000000000004</v>
      </c>
      <c r="V117" s="925">
        <f t="shared" si="156"/>
        <v>2.8500000000000014</v>
      </c>
      <c r="W117" s="925">
        <f t="shared" si="156"/>
        <v>3.2300000000000004</v>
      </c>
      <c r="X117" s="925">
        <f t="shared" si="156"/>
        <v>3.6099999999999994</v>
      </c>
      <c r="Y117" s="925">
        <f t="shared" si="156"/>
        <v>3.9899999999999949</v>
      </c>
      <c r="Z117" s="925">
        <f t="shared" si="156"/>
        <v>4.3699999999999903</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13"/>
      <c r="EK117" s="913"/>
      <c r="EL117" s="913"/>
      <c r="EM117" s="913"/>
      <c r="EN117" s="913"/>
      <c r="EO117" s="913"/>
      <c r="EP117" s="913"/>
      <c r="EQ117" s="913"/>
      <c r="ER117" s="913"/>
      <c r="ES117" s="913"/>
      <c r="ET117" s="913"/>
      <c r="EU117" s="913"/>
      <c r="EV117" s="913"/>
      <c r="EW117" s="913"/>
      <c r="EX117" s="913"/>
      <c r="EY117" s="913"/>
      <c r="EZ117" s="913"/>
      <c r="FA117" s="913"/>
      <c r="FB117" s="913"/>
      <c r="FC117" s="913"/>
      <c r="FD117" s="913"/>
      <c r="FE117" s="913"/>
      <c r="FF117" s="923"/>
    </row>
    <row r="118" spans="14:162" ht="15.75" thickBot="1" x14ac:dyDescent="0.3">
      <c r="N118" s="922"/>
      <c r="O118" s="917">
        <f t="shared" si="157"/>
        <v>54</v>
      </c>
      <c r="P118" s="913"/>
      <c r="Q118" s="925"/>
      <c r="R118" s="925">
        <f t="shared" si="156"/>
        <v>1.3600000000000012</v>
      </c>
      <c r="S118" s="925">
        <f t="shared" si="156"/>
        <v>1.7300000000000004</v>
      </c>
      <c r="T118" s="925">
        <f t="shared" si="156"/>
        <v>2.1099999999999994</v>
      </c>
      <c r="U118" s="925">
        <f t="shared" si="156"/>
        <v>2.4799999999999969</v>
      </c>
      <c r="V118" s="925">
        <f t="shared" si="156"/>
        <v>2.8499999999999943</v>
      </c>
      <c r="W118" s="925">
        <f t="shared" si="156"/>
        <v>3.2199999999999989</v>
      </c>
      <c r="X118" s="925">
        <f t="shared" si="156"/>
        <v>3.5900000000000034</v>
      </c>
      <c r="Y118" s="925">
        <f t="shared" si="156"/>
        <v>3.960000000000008</v>
      </c>
      <c r="Z118" s="925">
        <f t="shared" si="156"/>
        <v>4.3300000000000125</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13"/>
      <c r="EK118" s="913"/>
      <c r="EL118" s="913"/>
      <c r="EM118" s="913"/>
      <c r="EN118" s="913"/>
      <c r="EO118" s="913"/>
      <c r="EP118" s="913"/>
      <c r="EQ118" s="913"/>
      <c r="ER118" s="913"/>
      <c r="ES118" s="913"/>
      <c r="ET118" s="913"/>
      <c r="EU118" s="913"/>
      <c r="EV118" s="913"/>
      <c r="EW118" s="913"/>
      <c r="EX118" s="913"/>
      <c r="EY118" s="913"/>
      <c r="EZ118" s="913"/>
      <c r="FA118" s="913"/>
      <c r="FB118" s="913"/>
      <c r="FC118" s="913"/>
      <c r="FD118" s="913"/>
      <c r="FE118" s="913"/>
      <c r="FF118" s="923"/>
    </row>
    <row r="119" spans="14:162" ht="15.75" thickBot="1" x14ac:dyDescent="0.3">
      <c r="N119" s="922"/>
      <c r="O119" s="917">
        <f t="shared" si="157"/>
        <v>60</v>
      </c>
      <c r="P119" s="913"/>
      <c r="Q119" s="925"/>
      <c r="R119" s="925">
        <f t="shared" si="156"/>
        <v>1.9099999999999984</v>
      </c>
      <c r="S119" s="925">
        <f t="shared" si="156"/>
        <v>2.66</v>
      </c>
      <c r="T119" s="925">
        <f t="shared" si="156"/>
        <v>3.41</v>
      </c>
      <c r="U119" s="925">
        <f t="shared" si="156"/>
        <v>4.16</v>
      </c>
      <c r="V119" s="925">
        <f t="shared" si="156"/>
        <v>4.9100000000000037</v>
      </c>
      <c r="W119" s="925">
        <f t="shared" si="156"/>
        <v>5.6600000000000037</v>
      </c>
      <c r="X119" s="925">
        <f t="shared" si="156"/>
        <v>6.4100000000000037</v>
      </c>
      <c r="Y119" s="925">
        <f t="shared" si="156"/>
        <v>7.1600000000000037</v>
      </c>
      <c r="Z119" s="925">
        <f t="shared" si="156"/>
        <v>7.9100000000000037</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13"/>
      <c r="EK119" s="913"/>
      <c r="EL119" s="913"/>
      <c r="EM119" s="913"/>
      <c r="EN119" s="913"/>
      <c r="EO119" s="913"/>
      <c r="EP119" s="913"/>
      <c r="EQ119" s="913"/>
      <c r="ER119" s="913"/>
      <c r="ES119" s="913"/>
      <c r="ET119" s="913"/>
      <c r="EU119" s="913"/>
      <c r="EV119" s="913"/>
      <c r="EW119" s="913"/>
      <c r="EX119" s="913"/>
      <c r="EY119" s="913"/>
      <c r="EZ119" s="913"/>
      <c r="FA119" s="913"/>
      <c r="FB119" s="913"/>
      <c r="FC119" s="913"/>
      <c r="FD119" s="913"/>
      <c r="FE119" s="913"/>
      <c r="FF119" s="923"/>
    </row>
    <row r="120" spans="14:162" ht="15.75" thickBot="1" x14ac:dyDescent="0.3">
      <c r="N120" s="922"/>
      <c r="O120" s="917">
        <f t="shared" si="157"/>
        <v>66</v>
      </c>
      <c r="P120" s="913"/>
      <c r="Q120" s="925"/>
      <c r="R120" s="925">
        <f t="shared" si="156"/>
        <v>1.3600000000000012</v>
      </c>
      <c r="S120" s="925">
        <f t="shared" si="156"/>
        <v>1.7300000000000004</v>
      </c>
      <c r="T120" s="925">
        <f t="shared" si="156"/>
        <v>2.1000000000000014</v>
      </c>
      <c r="U120" s="925">
        <f t="shared" si="156"/>
        <v>2.4699999999999989</v>
      </c>
      <c r="V120" s="925">
        <f t="shared" si="156"/>
        <v>2.8399999999999963</v>
      </c>
      <c r="W120" s="925">
        <f t="shared" si="156"/>
        <v>3.2099999999999937</v>
      </c>
      <c r="X120" s="925">
        <f t="shared" si="156"/>
        <v>3.5799999999999912</v>
      </c>
      <c r="Y120" s="925">
        <f t="shared" si="156"/>
        <v>3.9499999999999886</v>
      </c>
      <c r="Z120" s="925">
        <f t="shared" si="156"/>
        <v>4.3199999999999861</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13"/>
      <c r="EK120" s="913"/>
      <c r="EL120" s="913"/>
      <c r="EM120" s="913"/>
      <c r="EN120" s="913"/>
      <c r="EO120" s="913"/>
      <c r="EP120" s="913"/>
      <c r="EQ120" s="913"/>
      <c r="ER120" s="913"/>
      <c r="ES120" s="913"/>
      <c r="ET120" s="913"/>
      <c r="EU120" s="913"/>
      <c r="EV120" s="913"/>
      <c r="EW120" s="913"/>
      <c r="EX120" s="913"/>
      <c r="EY120" s="913"/>
      <c r="EZ120" s="913"/>
      <c r="FA120" s="913"/>
      <c r="FB120" s="913"/>
      <c r="FC120" s="913"/>
      <c r="FD120" s="913"/>
      <c r="FE120" s="913"/>
      <c r="FF120" s="923"/>
    </row>
    <row r="121" spans="14:162" ht="15.75" thickBot="1" x14ac:dyDescent="0.3">
      <c r="N121" s="922"/>
      <c r="O121" s="917">
        <f t="shared" si="157"/>
        <v>72</v>
      </c>
      <c r="P121" s="913"/>
      <c r="Q121" s="925"/>
      <c r="R121" s="925">
        <f t="shared" si="156"/>
        <v>1.3499999999999979</v>
      </c>
      <c r="S121" s="925">
        <f t="shared" si="156"/>
        <v>1.7300000000000004</v>
      </c>
      <c r="T121" s="925">
        <f t="shared" si="156"/>
        <v>2.1000000000000014</v>
      </c>
      <c r="U121" s="925">
        <f t="shared" si="156"/>
        <v>2.480000000000004</v>
      </c>
      <c r="V121" s="925">
        <f t="shared" si="156"/>
        <v>2.8600000000000065</v>
      </c>
      <c r="W121" s="925">
        <f t="shared" si="156"/>
        <v>3.2400000000000091</v>
      </c>
      <c r="X121" s="925">
        <f t="shared" si="156"/>
        <v>3.6200000000000117</v>
      </c>
      <c r="Y121" s="925">
        <f t="shared" si="156"/>
        <v>4.0000000000000142</v>
      </c>
      <c r="Z121" s="925">
        <f t="shared" si="156"/>
        <v>4.3800000000000168</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13"/>
      <c r="EK121" s="913"/>
      <c r="EL121" s="913"/>
      <c r="EM121" s="913"/>
      <c r="EN121" s="913"/>
      <c r="EO121" s="913"/>
      <c r="EP121" s="913"/>
      <c r="EQ121" s="913"/>
      <c r="ER121" s="913"/>
      <c r="ES121" s="913"/>
      <c r="ET121" s="913"/>
      <c r="EU121" s="913"/>
      <c r="EV121" s="913"/>
      <c r="EW121" s="913"/>
      <c r="EX121" s="913"/>
      <c r="EY121" s="913"/>
      <c r="EZ121" s="913"/>
      <c r="FA121" s="913"/>
      <c r="FB121" s="913"/>
      <c r="FC121" s="913"/>
      <c r="FD121" s="913"/>
      <c r="FE121" s="913"/>
      <c r="FF121" s="923"/>
    </row>
    <row r="122" spans="14:162" x14ac:dyDescent="0.25">
      <c r="N122" s="922"/>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13"/>
      <c r="EK122" s="913"/>
      <c r="EL122" s="913"/>
      <c r="EM122" s="913"/>
      <c r="EN122" s="913"/>
      <c r="EO122" s="913"/>
      <c r="EP122" s="913"/>
      <c r="EQ122" s="913"/>
      <c r="ER122" s="913"/>
      <c r="ES122" s="913"/>
      <c r="ET122" s="913"/>
      <c r="EU122" s="913"/>
      <c r="EV122" s="913"/>
      <c r="EW122" s="913"/>
      <c r="EX122" s="913"/>
      <c r="EY122" s="913"/>
      <c r="EZ122" s="913"/>
      <c r="FA122" s="913"/>
      <c r="FB122" s="913"/>
      <c r="FC122" s="913"/>
      <c r="FD122" s="913"/>
      <c r="FE122" s="913"/>
      <c r="FF122" s="923"/>
    </row>
    <row r="123" spans="14:162" x14ac:dyDescent="0.25">
      <c r="N123" s="922"/>
      <c r="O123" s="913"/>
      <c r="P123" s="913"/>
      <c r="Q123" s="913"/>
      <c r="R123" s="913"/>
      <c r="S123" s="913"/>
      <c r="T123" s="913"/>
      <c r="U123" s="913"/>
      <c r="V123" s="913"/>
      <c r="W123" s="913"/>
      <c r="X123" s="913"/>
      <c r="Y123" s="913"/>
      <c r="Z123" s="913"/>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13"/>
      <c r="EK123" s="913"/>
      <c r="EL123" s="913"/>
      <c r="EM123" s="913"/>
      <c r="EN123" s="913"/>
      <c r="EO123" s="913"/>
      <c r="EP123" s="913"/>
      <c r="EQ123" s="913"/>
      <c r="ER123" s="913"/>
      <c r="ES123" s="913"/>
      <c r="ET123" s="913"/>
      <c r="EU123" s="913"/>
      <c r="EV123" s="913"/>
      <c r="EW123" s="913"/>
      <c r="EX123" s="913"/>
      <c r="EY123" s="913"/>
      <c r="EZ123" s="913"/>
      <c r="FA123" s="913"/>
      <c r="FB123" s="913"/>
      <c r="FC123" s="913"/>
      <c r="FD123" s="913"/>
      <c r="FE123" s="913"/>
      <c r="FF123" s="923"/>
    </row>
    <row r="124" spans="14:162" x14ac:dyDescent="0.25">
      <c r="N124" s="922"/>
      <c r="O124" s="913"/>
      <c r="P124" s="913"/>
      <c r="Q124" s="913"/>
      <c r="R124" s="913"/>
      <c r="S124" s="913"/>
      <c r="T124" s="913"/>
      <c r="U124" s="913"/>
      <c r="V124" s="913"/>
      <c r="W124" s="913"/>
      <c r="X124" s="913"/>
      <c r="Y124" s="913"/>
      <c r="Z124" s="913"/>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13"/>
      <c r="EK124" s="913"/>
      <c r="EL124" s="913"/>
      <c r="EM124" s="913"/>
      <c r="EN124" s="913"/>
      <c r="EO124" s="913"/>
      <c r="EP124" s="913"/>
      <c r="EQ124" s="913"/>
      <c r="ER124" s="913"/>
      <c r="ES124" s="913"/>
      <c r="ET124" s="913"/>
      <c r="EU124" s="913"/>
      <c r="EV124" s="913"/>
      <c r="EW124" s="913"/>
      <c r="EX124" s="913"/>
      <c r="EY124" s="913"/>
      <c r="EZ124" s="913"/>
      <c r="FA124" s="913"/>
      <c r="FB124" s="913"/>
      <c r="FC124" s="913"/>
      <c r="FD124" s="913"/>
      <c r="FE124" s="913"/>
      <c r="FF124" s="923"/>
    </row>
    <row r="125" spans="14:162" x14ac:dyDescent="0.25">
      <c r="N125" s="922"/>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13"/>
      <c r="EK125" s="913"/>
      <c r="EL125" s="913"/>
      <c r="EM125" s="913"/>
      <c r="EN125" s="913"/>
      <c r="EO125" s="913"/>
      <c r="EP125" s="913"/>
      <c r="EQ125" s="913"/>
      <c r="ER125" s="913"/>
      <c r="ES125" s="913"/>
      <c r="ET125" s="913"/>
      <c r="EU125" s="913"/>
      <c r="EV125" s="913"/>
      <c r="EW125" s="913"/>
      <c r="EX125" s="913"/>
      <c r="EY125" s="913"/>
      <c r="EZ125" s="913"/>
      <c r="FA125" s="913"/>
      <c r="FB125" s="913"/>
      <c r="FC125" s="913"/>
      <c r="FD125" s="913"/>
      <c r="FE125" s="913"/>
      <c r="FF125" s="923"/>
    </row>
    <row r="126" spans="14:162" x14ac:dyDescent="0.25">
      <c r="N126" s="922" t="s">
        <v>418</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13"/>
      <c r="EK126" s="913"/>
      <c r="EL126" s="913"/>
      <c r="EM126" s="913"/>
      <c r="EN126" s="913"/>
      <c r="EO126" s="913"/>
      <c r="EP126" s="913"/>
      <c r="EQ126" s="913"/>
      <c r="ER126" s="913"/>
      <c r="ES126" s="913"/>
      <c r="ET126" s="913"/>
      <c r="EU126" s="913"/>
      <c r="EV126" s="913"/>
      <c r="EW126" s="913"/>
      <c r="EX126" s="913"/>
      <c r="EY126" s="913"/>
      <c r="EZ126" s="913"/>
      <c r="FA126" s="913"/>
      <c r="FB126" s="913"/>
      <c r="FC126" s="913"/>
      <c r="FD126" s="913"/>
      <c r="FE126" s="913"/>
      <c r="FF126" s="923"/>
    </row>
    <row r="127" spans="14:162"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13"/>
      <c r="EK127" s="913"/>
      <c r="EL127" s="913"/>
      <c r="EM127" s="913"/>
      <c r="EN127" s="913"/>
      <c r="EO127" s="913"/>
      <c r="EP127" s="913"/>
      <c r="EQ127" s="913"/>
      <c r="ER127" s="913"/>
      <c r="ES127" s="913"/>
      <c r="ET127" s="913"/>
      <c r="EU127" s="913"/>
      <c r="EV127" s="913"/>
      <c r="EW127" s="913"/>
      <c r="EX127" s="913"/>
      <c r="EY127" s="913"/>
      <c r="EZ127" s="913"/>
      <c r="FA127" s="913"/>
      <c r="FB127" s="913"/>
      <c r="FC127" s="913"/>
      <c r="FD127" s="913"/>
      <c r="FE127" s="913"/>
      <c r="FF127" s="923"/>
    </row>
    <row r="128" spans="14:162" x14ac:dyDescent="0.25">
      <c r="N128" s="922" t="s">
        <v>419</v>
      </c>
      <c r="O128" s="913">
        <v>12</v>
      </c>
      <c r="P128" s="913">
        <v>24</v>
      </c>
      <c r="Q128" s="913">
        <v>36</v>
      </c>
      <c r="R128" s="913">
        <v>48</v>
      </c>
      <c r="S128" s="913">
        <v>60</v>
      </c>
      <c r="T128" s="913">
        <v>72</v>
      </c>
      <c r="U128" s="913">
        <v>84</v>
      </c>
      <c r="V128" s="913">
        <v>96</v>
      </c>
      <c r="W128" s="913">
        <v>108</v>
      </c>
      <c r="X128" s="913">
        <v>120</v>
      </c>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13"/>
      <c r="EK128" s="913"/>
      <c r="EL128" s="913"/>
      <c r="EM128" s="913"/>
      <c r="EN128" s="913"/>
      <c r="EO128" s="913"/>
      <c r="EP128" s="913"/>
      <c r="EQ128" s="913"/>
      <c r="ER128" s="913"/>
      <c r="ES128" s="913"/>
      <c r="ET128" s="913"/>
      <c r="EU128" s="913"/>
      <c r="EV128" s="913"/>
      <c r="EW128" s="913"/>
      <c r="EX128" s="913"/>
      <c r="EY128" s="913"/>
      <c r="EZ128" s="913"/>
      <c r="FA128" s="913"/>
      <c r="FB128" s="913"/>
      <c r="FC128" s="913"/>
      <c r="FD128" s="913"/>
      <c r="FE128" s="913"/>
      <c r="FF128" s="923"/>
    </row>
    <row r="129" spans="14:162" x14ac:dyDescent="0.25">
      <c r="N129" s="926" t="s">
        <v>149</v>
      </c>
      <c r="O129" s="913">
        <v>573.56000000000006</v>
      </c>
      <c r="P129" s="913">
        <v>597.78000000000009</v>
      </c>
      <c r="Q129" s="913">
        <v>622.0200000000001</v>
      </c>
      <c r="R129" s="913">
        <v>646.2600000000001</v>
      </c>
      <c r="S129" s="913">
        <v>670.50000000000011</v>
      </c>
      <c r="T129" s="913">
        <v>707.6400000000001</v>
      </c>
      <c r="U129" s="913">
        <v>731.88000000000011</v>
      </c>
      <c r="V129" s="913">
        <v>756.12000000000012</v>
      </c>
      <c r="W129" s="913">
        <v>780.36000000000013</v>
      </c>
      <c r="X129" s="913">
        <v>804.60000000000014</v>
      </c>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13"/>
      <c r="EL129" s="913"/>
      <c r="EM129" s="913"/>
      <c r="EN129" s="913"/>
      <c r="EO129" s="913"/>
      <c r="EP129" s="913"/>
      <c r="EQ129" s="913"/>
      <c r="ER129" s="913"/>
      <c r="ES129" s="913"/>
      <c r="ET129" s="913"/>
      <c r="EU129" s="913"/>
      <c r="EV129" s="913"/>
      <c r="EW129" s="913"/>
      <c r="EX129" s="913"/>
      <c r="EY129" s="913"/>
      <c r="EZ129" s="913"/>
      <c r="FA129" s="913"/>
      <c r="FB129" s="913"/>
      <c r="FC129" s="913"/>
      <c r="FD129" s="913"/>
      <c r="FE129" s="913"/>
      <c r="FF129" s="923"/>
    </row>
    <row r="130" spans="14:162" x14ac:dyDescent="0.25">
      <c r="N130" s="922" t="s">
        <v>247</v>
      </c>
      <c r="O130" s="913">
        <v>39.2256</v>
      </c>
      <c r="P130" s="913">
        <v>39.2256</v>
      </c>
      <c r="Q130" s="913">
        <v>39.2256</v>
      </c>
      <c r="R130" s="913">
        <v>39.2256</v>
      </c>
      <c r="S130" s="913">
        <v>39.2256</v>
      </c>
      <c r="T130" s="913">
        <v>39.2256</v>
      </c>
      <c r="U130" s="913">
        <v>39.2256</v>
      </c>
      <c r="V130" s="913">
        <v>39.2256</v>
      </c>
      <c r="W130" s="913">
        <v>39.2256</v>
      </c>
      <c r="X130" s="913">
        <v>39.2256</v>
      </c>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13"/>
      <c r="EK130" s="913"/>
      <c r="EL130" s="913"/>
      <c r="EM130" s="913"/>
      <c r="EN130" s="913"/>
      <c r="EO130" s="913"/>
      <c r="EP130" s="913"/>
      <c r="EQ130" s="913"/>
      <c r="ER130" s="913"/>
      <c r="ES130" s="913"/>
      <c r="ET130" s="913"/>
      <c r="EU130" s="913"/>
      <c r="EV130" s="913"/>
      <c r="EW130" s="913"/>
      <c r="EX130" s="913"/>
      <c r="EY130" s="913"/>
      <c r="EZ130" s="913"/>
      <c r="FA130" s="913"/>
      <c r="FB130" s="913"/>
      <c r="FC130" s="913"/>
      <c r="FD130" s="913"/>
      <c r="FE130" s="913"/>
      <c r="FF130" s="923"/>
    </row>
    <row r="131" spans="14:162" x14ac:dyDescent="0.25">
      <c r="N131" s="926" t="s">
        <v>148</v>
      </c>
      <c r="O131" s="927">
        <v>32.659199999999998</v>
      </c>
      <c r="P131" s="913">
        <v>34.214399999999998</v>
      </c>
      <c r="Q131" s="927">
        <v>35.769599999999997</v>
      </c>
      <c r="R131" s="927">
        <v>37.324799999999996</v>
      </c>
      <c r="S131" s="927">
        <v>38.879999999999995</v>
      </c>
      <c r="T131" s="927">
        <v>40.435200000000002</v>
      </c>
      <c r="U131" s="927">
        <v>41.990400000000001</v>
      </c>
      <c r="V131" s="927">
        <v>43.5456</v>
      </c>
      <c r="W131" s="927">
        <v>45.1008</v>
      </c>
      <c r="X131" s="927">
        <v>46.655999999999999</v>
      </c>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13"/>
      <c r="EK131" s="913"/>
      <c r="EL131" s="913"/>
      <c r="EM131" s="913"/>
      <c r="EN131" s="913"/>
      <c r="EO131" s="913"/>
      <c r="EP131" s="913"/>
      <c r="EQ131" s="913"/>
      <c r="ER131" s="913"/>
      <c r="ES131" s="913"/>
      <c r="ET131" s="913"/>
      <c r="EU131" s="913"/>
      <c r="EV131" s="913"/>
      <c r="EW131" s="913"/>
      <c r="EX131" s="913"/>
      <c r="EY131" s="913"/>
      <c r="EZ131" s="913"/>
      <c r="FA131" s="913"/>
      <c r="FB131" s="913"/>
      <c r="FC131" s="913"/>
      <c r="FD131" s="913"/>
      <c r="FE131" s="913"/>
      <c r="FF131" s="923"/>
    </row>
    <row r="132" spans="14:162" x14ac:dyDescent="0.25">
      <c r="N132" s="922" t="s">
        <v>248</v>
      </c>
      <c r="O132" s="913">
        <v>10</v>
      </c>
      <c r="P132" s="913">
        <v>10</v>
      </c>
      <c r="Q132" s="913">
        <v>10</v>
      </c>
      <c r="R132" s="913">
        <v>10</v>
      </c>
      <c r="S132" s="913">
        <v>10</v>
      </c>
      <c r="T132" s="913">
        <v>12</v>
      </c>
      <c r="U132" s="913">
        <v>12</v>
      </c>
      <c r="V132" s="913">
        <v>12</v>
      </c>
      <c r="W132" s="913">
        <v>12</v>
      </c>
      <c r="X132" s="913">
        <v>12</v>
      </c>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13"/>
      <c r="EK132" s="913"/>
      <c r="EL132" s="913"/>
      <c r="EM132" s="913"/>
      <c r="EN132" s="913"/>
      <c r="EO132" s="913"/>
      <c r="EP132" s="913"/>
      <c r="EQ132" s="913"/>
      <c r="ER132" s="913"/>
      <c r="ES132" s="913"/>
      <c r="ET132" s="913"/>
      <c r="EU132" s="913"/>
      <c r="EV132" s="913"/>
      <c r="EW132" s="913"/>
      <c r="EX132" s="913"/>
      <c r="EY132" s="913"/>
      <c r="EZ132" s="913"/>
      <c r="FA132" s="913"/>
      <c r="FB132" s="913"/>
      <c r="FC132" s="913"/>
      <c r="FD132" s="913"/>
      <c r="FE132" s="913"/>
      <c r="FF132" s="923"/>
    </row>
    <row r="133" spans="14:162" x14ac:dyDescent="0.25">
      <c r="N133" s="922" t="s">
        <v>245</v>
      </c>
      <c r="O133" s="913">
        <v>46.979999999999983</v>
      </c>
      <c r="P133" s="913">
        <v>46.979999999999983</v>
      </c>
      <c r="Q133" s="913">
        <v>46.979999999999983</v>
      </c>
      <c r="R133" s="913">
        <v>46.979999999999983</v>
      </c>
      <c r="S133" s="913">
        <v>46.979999999999983</v>
      </c>
      <c r="T133" s="913">
        <v>46.979999999999983</v>
      </c>
      <c r="U133" s="913">
        <v>46.979999999999983</v>
      </c>
      <c r="V133" s="913">
        <v>46.979999999999983</v>
      </c>
      <c r="W133" s="913">
        <v>46.979999999999983</v>
      </c>
      <c r="X133" s="913">
        <v>46.979999999999983</v>
      </c>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13"/>
      <c r="EK133" s="913"/>
      <c r="EL133" s="913"/>
      <c r="EM133" s="913"/>
      <c r="EN133" s="913"/>
      <c r="EO133" s="913"/>
      <c r="EP133" s="913"/>
      <c r="EQ133" s="913"/>
      <c r="ER133" s="913"/>
      <c r="ES133" s="913"/>
      <c r="ET133" s="913"/>
      <c r="EU133" s="913"/>
      <c r="EV133" s="913"/>
      <c r="EW133" s="913"/>
      <c r="EX133" s="913"/>
      <c r="EY133" s="913"/>
      <c r="EZ133" s="913"/>
      <c r="FA133" s="913"/>
      <c r="FB133" s="913"/>
      <c r="FC133" s="913"/>
      <c r="FD133" s="913"/>
      <c r="FE133" s="913"/>
      <c r="FF133" s="923"/>
    </row>
    <row r="134" spans="14:162" x14ac:dyDescent="0.25">
      <c r="N134" s="922" t="s">
        <v>246</v>
      </c>
      <c r="O134" s="913">
        <v>1.7460000000000002</v>
      </c>
      <c r="P134" s="913">
        <v>3.4920000000000004</v>
      </c>
      <c r="Q134" s="913">
        <v>5.2379999999999995</v>
      </c>
      <c r="R134" s="913">
        <v>6.9840000000000009</v>
      </c>
      <c r="S134" s="913">
        <v>8.73</v>
      </c>
      <c r="T134" s="913">
        <v>10.475999999999999</v>
      </c>
      <c r="U134" s="913">
        <v>12.222</v>
      </c>
      <c r="V134" s="913">
        <v>13.968000000000002</v>
      </c>
      <c r="W134" s="913">
        <v>15.714000000000002</v>
      </c>
      <c r="X134" s="913">
        <v>17.46</v>
      </c>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13"/>
      <c r="EK134" s="913"/>
      <c r="EL134" s="913"/>
      <c r="EM134" s="913"/>
      <c r="EN134" s="913"/>
      <c r="EO134" s="913"/>
      <c r="EP134" s="913"/>
      <c r="EQ134" s="913"/>
      <c r="ER134" s="913"/>
      <c r="ES134" s="913"/>
      <c r="ET134" s="913"/>
      <c r="EU134" s="913"/>
      <c r="EV134" s="913"/>
      <c r="EW134" s="913"/>
      <c r="EX134" s="913"/>
      <c r="EY134" s="913"/>
      <c r="EZ134" s="913"/>
      <c r="FA134" s="913"/>
      <c r="FB134" s="913"/>
      <c r="FC134" s="913"/>
      <c r="FD134" s="913"/>
      <c r="FE134" s="913"/>
      <c r="FF134" s="923"/>
    </row>
    <row r="135" spans="14:162" x14ac:dyDescent="0.25">
      <c r="N135" s="922" t="s">
        <v>249</v>
      </c>
      <c r="O135" s="913">
        <v>45.832699999999996</v>
      </c>
      <c r="P135" s="913">
        <v>84.13669999999999</v>
      </c>
      <c r="Q135" s="913">
        <v>122.44069999999999</v>
      </c>
      <c r="R135" s="913">
        <v>160.74469999999997</v>
      </c>
      <c r="S135" s="913">
        <v>199.04869999999997</v>
      </c>
      <c r="T135" s="913">
        <v>237.35269999999997</v>
      </c>
      <c r="U135" s="913">
        <v>275.6567</v>
      </c>
      <c r="V135" s="913">
        <v>313.96069999999997</v>
      </c>
      <c r="W135" s="913">
        <v>419.31600000000003</v>
      </c>
      <c r="X135" s="913">
        <v>462.22800000000001</v>
      </c>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13"/>
      <c r="EK135" s="913"/>
      <c r="EL135" s="913"/>
      <c r="EM135" s="913"/>
      <c r="EN135" s="913"/>
      <c r="EO135" s="913"/>
      <c r="EP135" s="913"/>
      <c r="EQ135" s="913"/>
      <c r="ER135" s="913"/>
      <c r="ES135" s="913"/>
      <c r="ET135" s="913"/>
      <c r="EU135" s="913"/>
      <c r="EV135" s="913"/>
      <c r="EW135" s="913"/>
      <c r="EX135" s="913"/>
      <c r="EY135" s="913"/>
      <c r="EZ135" s="913"/>
      <c r="FA135" s="913"/>
      <c r="FB135" s="913"/>
      <c r="FC135" s="913"/>
      <c r="FD135" s="913"/>
      <c r="FE135" s="913"/>
      <c r="FF135" s="923"/>
    </row>
    <row r="136" spans="14:162"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13"/>
      <c r="EK136" s="913"/>
      <c r="EL136" s="913"/>
      <c r="EM136" s="913"/>
      <c r="EN136" s="913"/>
      <c r="EO136" s="913"/>
      <c r="EP136" s="913"/>
      <c r="EQ136" s="913"/>
      <c r="ER136" s="913"/>
      <c r="ES136" s="913"/>
      <c r="ET136" s="913"/>
      <c r="EU136" s="913"/>
      <c r="EV136" s="913"/>
      <c r="EW136" s="913"/>
      <c r="EX136" s="913"/>
      <c r="EY136" s="913"/>
      <c r="EZ136" s="913"/>
      <c r="FA136" s="913"/>
      <c r="FB136" s="913"/>
      <c r="FC136" s="913"/>
      <c r="FD136" s="913"/>
      <c r="FE136" s="913"/>
      <c r="FF136" s="923"/>
    </row>
    <row r="137" spans="14:162" x14ac:dyDescent="0.25">
      <c r="N137" s="922" t="s">
        <v>77</v>
      </c>
      <c r="O137" s="913">
        <v>750.00350000000003</v>
      </c>
      <c r="P137" s="913">
        <v>815.82870000000003</v>
      </c>
      <c r="Q137" s="913">
        <v>881.67390000000012</v>
      </c>
      <c r="R137" s="913">
        <v>947.51910000000009</v>
      </c>
      <c r="S137" s="913">
        <v>1013.3643000000001</v>
      </c>
      <c r="T137" s="913">
        <v>1094.1095</v>
      </c>
      <c r="U137" s="913">
        <v>1159.9547000000002</v>
      </c>
      <c r="V137" s="913">
        <v>1225.7999</v>
      </c>
      <c r="W137" s="913">
        <v>1358.6964000000003</v>
      </c>
      <c r="X137" s="913">
        <v>1429.1496000000002</v>
      </c>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13"/>
      <c r="EK137" s="913"/>
      <c r="EL137" s="913"/>
      <c r="EM137" s="913"/>
      <c r="EN137" s="913"/>
      <c r="EO137" s="913"/>
      <c r="EP137" s="913"/>
      <c r="EQ137" s="913"/>
      <c r="ER137" s="913"/>
      <c r="ES137" s="913"/>
      <c r="ET137" s="913"/>
      <c r="EU137" s="913"/>
      <c r="EV137" s="913"/>
      <c r="EW137" s="913"/>
      <c r="EX137" s="913"/>
      <c r="EY137" s="913"/>
      <c r="EZ137" s="913"/>
      <c r="FA137" s="913"/>
      <c r="FB137" s="913"/>
      <c r="FC137" s="913"/>
      <c r="FD137" s="913"/>
      <c r="FE137" s="913"/>
      <c r="FF137" s="923"/>
    </row>
    <row r="138" spans="14:162" x14ac:dyDescent="0.25">
      <c r="N138" s="922" t="s">
        <v>76</v>
      </c>
      <c r="O138" s="913">
        <v>75.000349999999997</v>
      </c>
      <c r="P138" s="913">
        <v>81.58287</v>
      </c>
      <c r="Q138" s="913">
        <v>88.167390000000012</v>
      </c>
      <c r="R138" s="913">
        <v>94.751910000000009</v>
      </c>
      <c r="S138" s="913">
        <v>101.33643000000001</v>
      </c>
      <c r="T138" s="913">
        <v>91.175791666666669</v>
      </c>
      <c r="U138" s="913">
        <v>96.662891666666681</v>
      </c>
      <c r="V138" s="913">
        <v>102.14999166666666</v>
      </c>
      <c r="W138" s="913">
        <v>113.22470000000003</v>
      </c>
      <c r="X138" s="913">
        <v>119.09580000000001</v>
      </c>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13"/>
      <c r="EK138" s="913"/>
      <c r="EL138" s="913"/>
      <c r="EM138" s="913"/>
      <c r="EN138" s="913"/>
      <c r="EO138" s="913"/>
      <c r="EP138" s="913"/>
      <c r="EQ138" s="913"/>
      <c r="ER138" s="913"/>
      <c r="ES138" s="913"/>
      <c r="ET138" s="913"/>
      <c r="EU138" s="913"/>
      <c r="EV138" s="913"/>
      <c r="EW138" s="913"/>
      <c r="EX138" s="913"/>
      <c r="EY138" s="913"/>
      <c r="EZ138" s="913"/>
      <c r="FA138" s="913"/>
      <c r="FB138" s="913"/>
      <c r="FC138" s="913"/>
      <c r="FD138" s="913"/>
      <c r="FE138" s="913"/>
      <c r="FF138" s="923"/>
    </row>
    <row r="139" spans="14:162"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13"/>
      <c r="EK139" s="913"/>
      <c r="EL139" s="913"/>
      <c r="EM139" s="913"/>
      <c r="EN139" s="913"/>
      <c r="EO139" s="913"/>
      <c r="EP139" s="913"/>
      <c r="EQ139" s="913"/>
      <c r="ER139" s="913"/>
      <c r="ES139" s="913"/>
      <c r="ET139" s="913"/>
      <c r="EU139" s="913"/>
      <c r="EV139" s="913"/>
      <c r="EW139" s="913"/>
      <c r="EX139" s="913"/>
      <c r="EY139" s="913"/>
      <c r="EZ139" s="913"/>
      <c r="FA139" s="913"/>
      <c r="FB139" s="913"/>
      <c r="FC139" s="913"/>
      <c r="FD139" s="913"/>
      <c r="FE139" s="913"/>
      <c r="FF139" s="923"/>
    </row>
    <row r="140" spans="14:162"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13"/>
      <c r="EK140" s="913"/>
      <c r="EL140" s="913"/>
      <c r="EM140" s="913"/>
      <c r="EN140" s="913"/>
      <c r="EO140" s="913"/>
      <c r="EP140" s="913"/>
      <c r="EQ140" s="913"/>
      <c r="ER140" s="913"/>
      <c r="ES140" s="913"/>
      <c r="ET140" s="913"/>
      <c r="EU140" s="913"/>
      <c r="EV140" s="913"/>
      <c r="EW140" s="913"/>
      <c r="EX140" s="913"/>
      <c r="EY140" s="913"/>
      <c r="EZ140" s="913"/>
      <c r="FA140" s="913"/>
      <c r="FB140" s="913"/>
      <c r="FC140" s="913"/>
      <c r="FD140" s="913"/>
      <c r="FE140" s="913"/>
      <c r="FF140" s="923"/>
    </row>
    <row r="141" spans="14:162" ht="150.75" customHeight="1" x14ac:dyDescent="0.25">
      <c r="N141" s="922" t="s">
        <v>420</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13"/>
      <c r="EK141" s="913"/>
      <c r="EL141" s="913"/>
      <c r="EM141" s="913"/>
      <c r="EN141" s="913"/>
      <c r="EO141" s="913"/>
      <c r="EP141" s="913"/>
      <c r="EQ141" s="913"/>
      <c r="ER141" s="913"/>
      <c r="ES141" s="913"/>
      <c r="ET141" s="913"/>
      <c r="EU141" s="913"/>
      <c r="EV141" s="913"/>
      <c r="EW141" s="913"/>
      <c r="EX141" s="913"/>
      <c r="EY141" s="913"/>
      <c r="EZ141" s="913"/>
      <c r="FA141" s="913"/>
      <c r="FB141" s="913"/>
      <c r="FC141" s="913"/>
      <c r="FD141" s="913"/>
      <c r="FE141" s="913"/>
      <c r="FF141" s="923"/>
    </row>
    <row r="142" spans="14:162"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13"/>
      <c r="EK142" s="913"/>
      <c r="EL142" s="913"/>
      <c r="EM142" s="913"/>
      <c r="EN142" s="913"/>
      <c r="EO142" s="913"/>
      <c r="EP142" s="913"/>
      <c r="EQ142" s="913"/>
      <c r="ER142" s="913"/>
      <c r="ES142" s="913"/>
      <c r="ET142" s="913"/>
      <c r="EU142" s="913"/>
      <c r="EV142" s="913"/>
      <c r="EW142" s="913"/>
      <c r="EX142" s="913"/>
      <c r="EY142" s="913"/>
      <c r="EZ142" s="913"/>
      <c r="FA142" s="913"/>
      <c r="FB142" s="913"/>
      <c r="FC142" s="913"/>
      <c r="FD142" s="913"/>
      <c r="FE142" s="913"/>
      <c r="FF142" s="923"/>
    </row>
    <row r="143" spans="14:162" x14ac:dyDescent="0.25">
      <c r="N143" s="922" t="s">
        <v>215</v>
      </c>
      <c r="O143" s="913">
        <v>12</v>
      </c>
      <c r="P143" s="913">
        <v>24</v>
      </c>
      <c r="Q143" s="913">
        <v>36</v>
      </c>
      <c r="R143" s="913">
        <v>48</v>
      </c>
      <c r="S143" s="913">
        <v>60</v>
      </c>
      <c r="T143" s="913">
        <v>72</v>
      </c>
      <c r="U143" s="913">
        <v>84</v>
      </c>
      <c r="V143" s="913">
        <v>96</v>
      </c>
      <c r="W143" s="913">
        <v>108</v>
      </c>
      <c r="X143" s="913">
        <v>120</v>
      </c>
      <c r="Y143" s="913">
        <v>132</v>
      </c>
      <c r="Z143" s="913">
        <v>144</v>
      </c>
      <c r="AA143" s="913">
        <v>156</v>
      </c>
      <c r="AB143" s="913">
        <v>168</v>
      </c>
      <c r="AC143" s="913">
        <v>180</v>
      </c>
      <c r="AD143" s="913">
        <v>192</v>
      </c>
      <c r="AE143" s="913">
        <v>204</v>
      </c>
      <c r="AF143" s="913">
        <v>216</v>
      </c>
      <c r="AG143" s="913">
        <v>228</v>
      </c>
      <c r="AH143" s="913">
        <v>240</v>
      </c>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13"/>
      <c r="EK143" s="913"/>
      <c r="EL143" s="913"/>
      <c r="EM143" s="913"/>
      <c r="EN143" s="913"/>
      <c r="EO143" s="913"/>
      <c r="EP143" s="913"/>
      <c r="EQ143" s="913"/>
      <c r="ER143" s="913"/>
      <c r="ES143" s="913"/>
      <c r="ET143" s="913"/>
      <c r="EU143" s="913"/>
      <c r="EV143" s="913"/>
      <c r="EW143" s="913"/>
      <c r="EX143" s="913"/>
      <c r="EY143" s="913"/>
      <c r="EZ143" s="913"/>
      <c r="FA143" s="913"/>
      <c r="FB143" s="913"/>
      <c r="FC143" s="913"/>
      <c r="FD143" s="913"/>
      <c r="FE143" s="913"/>
      <c r="FF143" s="923"/>
    </row>
    <row r="144" spans="14:162" x14ac:dyDescent="0.25">
      <c r="N144" s="926" t="s">
        <v>149</v>
      </c>
      <c r="O144" s="913">
        <v>74.319999999999993</v>
      </c>
      <c r="P144" s="913">
        <v>98.539999999999992</v>
      </c>
      <c r="Q144" s="913">
        <v>122.78</v>
      </c>
      <c r="R144" s="913">
        <v>147.02000000000001</v>
      </c>
      <c r="S144" s="913">
        <v>171.26000000000002</v>
      </c>
      <c r="T144" s="913">
        <v>208.4</v>
      </c>
      <c r="U144" s="913">
        <v>232.64000000000001</v>
      </c>
      <c r="V144" s="913">
        <v>256.88</v>
      </c>
      <c r="W144" s="913">
        <v>281.12</v>
      </c>
      <c r="X144" s="913">
        <v>305.36</v>
      </c>
      <c r="Y144" s="913">
        <v>342.5</v>
      </c>
      <c r="Z144" s="913">
        <v>366.74</v>
      </c>
      <c r="AA144" s="913">
        <v>390.98</v>
      </c>
      <c r="AB144" s="913">
        <v>415.22</v>
      </c>
      <c r="AC144" s="913">
        <v>439.46000000000004</v>
      </c>
      <c r="AD144" s="913">
        <v>476.6</v>
      </c>
      <c r="AE144" s="913">
        <v>500.84000000000003</v>
      </c>
      <c r="AF144" s="913">
        <v>525.08000000000004</v>
      </c>
      <c r="AG144" s="913">
        <v>549.32000000000005</v>
      </c>
      <c r="AH144" s="913">
        <v>573.56000000000006</v>
      </c>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13"/>
      <c r="EK144" s="913"/>
      <c r="EL144" s="913"/>
      <c r="EM144" s="913"/>
      <c r="EN144" s="913"/>
      <c r="EO144" s="913"/>
      <c r="EP144" s="913"/>
      <c r="EQ144" s="913"/>
      <c r="ER144" s="913"/>
      <c r="ES144" s="913"/>
      <c r="ET144" s="913"/>
      <c r="EU144" s="913"/>
      <c r="EV144" s="913"/>
      <c r="EW144" s="913"/>
      <c r="EX144" s="913"/>
      <c r="EY144" s="913"/>
      <c r="EZ144" s="913"/>
      <c r="FA144" s="913"/>
      <c r="FB144" s="913"/>
      <c r="FC144" s="913"/>
      <c r="FD144" s="913"/>
      <c r="FE144" s="913"/>
      <c r="FF144" s="923"/>
    </row>
    <row r="145" spans="3:162" x14ac:dyDescent="0.25">
      <c r="N145" s="922" t="s">
        <v>247</v>
      </c>
      <c r="O145" s="913">
        <v>39.2256</v>
      </c>
      <c r="P145" s="913">
        <v>39.2256</v>
      </c>
      <c r="Q145" s="913">
        <v>39.2256</v>
      </c>
      <c r="R145" s="913">
        <v>39.2256</v>
      </c>
      <c r="S145" s="913">
        <v>39.2256</v>
      </c>
      <c r="T145" s="913">
        <v>39.2256</v>
      </c>
      <c r="U145" s="913">
        <v>39.2256</v>
      </c>
      <c r="V145" s="913">
        <v>39.2256</v>
      </c>
      <c r="W145" s="913">
        <v>39.2256</v>
      </c>
      <c r="X145" s="913">
        <v>39.2256</v>
      </c>
      <c r="Y145" s="913">
        <v>39.2256</v>
      </c>
      <c r="Z145" s="913">
        <v>39.2256</v>
      </c>
      <c r="AA145" s="913">
        <v>39.2256</v>
      </c>
      <c r="AB145" s="913">
        <v>39.2256</v>
      </c>
      <c r="AC145" s="913">
        <v>39.2256</v>
      </c>
      <c r="AD145" s="913">
        <v>39.2256</v>
      </c>
      <c r="AE145" s="913">
        <v>39.2256</v>
      </c>
      <c r="AF145" s="913">
        <v>39.2256</v>
      </c>
      <c r="AG145" s="913">
        <v>39.2256</v>
      </c>
      <c r="AH145" s="913">
        <v>39.2256</v>
      </c>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13"/>
      <c r="EK145" s="913"/>
      <c r="EL145" s="913"/>
      <c r="EM145" s="913"/>
      <c r="EN145" s="913"/>
      <c r="EO145" s="913"/>
      <c r="EP145" s="913"/>
      <c r="EQ145" s="913"/>
      <c r="ER145" s="913"/>
      <c r="ES145" s="913"/>
      <c r="ET145" s="913"/>
      <c r="EU145" s="913"/>
      <c r="EV145" s="913"/>
      <c r="EW145" s="913"/>
      <c r="EX145" s="913"/>
      <c r="EY145" s="913"/>
      <c r="EZ145" s="913"/>
      <c r="FA145" s="913"/>
      <c r="FB145" s="913"/>
      <c r="FC145" s="913"/>
      <c r="FD145" s="913"/>
      <c r="FE145" s="913"/>
      <c r="FF145" s="923"/>
    </row>
    <row r="146" spans="3:162" x14ac:dyDescent="0.25">
      <c r="N146" s="926" t="s">
        <v>148</v>
      </c>
      <c r="O146" s="927">
        <v>3.1103999999999998</v>
      </c>
      <c r="P146" s="913">
        <v>4.6655999999999995</v>
      </c>
      <c r="Q146" s="927">
        <v>6.2207999999999997</v>
      </c>
      <c r="R146" s="927">
        <v>7.7759999999999998</v>
      </c>
      <c r="S146" s="927">
        <v>9.3311999999999991</v>
      </c>
      <c r="T146" s="927">
        <v>10.8864</v>
      </c>
      <c r="U146" s="927">
        <v>12.441599999999999</v>
      </c>
      <c r="V146" s="927">
        <v>13.9968</v>
      </c>
      <c r="W146" s="927">
        <v>15.552</v>
      </c>
      <c r="X146" s="927">
        <v>17.107199999999999</v>
      </c>
      <c r="Y146" s="913">
        <v>18.662399999999998</v>
      </c>
      <c r="Z146" s="913">
        <v>20.217600000000001</v>
      </c>
      <c r="AA146" s="913">
        <v>21.7728</v>
      </c>
      <c r="AB146" s="913">
        <v>23.327999999999999</v>
      </c>
      <c r="AC146" s="913">
        <v>24.883199999999999</v>
      </c>
      <c r="AD146" s="913">
        <v>26.438399999999998</v>
      </c>
      <c r="AE146" s="913">
        <v>27.993600000000001</v>
      </c>
      <c r="AF146" s="913">
        <v>29.5488</v>
      </c>
      <c r="AG146" s="913">
        <v>31.103999999999999</v>
      </c>
      <c r="AH146" s="913">
        <v>32.659199999999998</v>
      </c>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13"/>
      <c r="EK146" s="913"/>
      <c r="EL146" s="913"/>
      <c r="EM146" s="913"/>
      <c r="EN146" s="913"/>
      <c r="EO146" s="913"/>
      <c r="EP146" s="913"/>
      <c r="EQ146" s="913"/>
      <c r="ER146" s="913"/>
      <c r="ES146" s="913"/>
      <c r="ET146" s="913"/>
      <c r="EU146" s="913"/>
      <c r="EV146" s="913"/>
      <c r="EW146" s="913"/>
      <c r="EX146" s="913"/>
      <c r="EY146" s="913"/>
      <c r="EZ146" s="913"/>
      <c r="FA146" s="913"/>
      <c r="FB146" s="913"/>
      <c r="FC146" s="913"/>
      <c r="FD146" s="913"/>
      <c r="FE146" s="913"/>
      <c r="FF146" s="923"/>
    </row>
    <row r="147" spans="3:162" x14ac:dyDescent="0.25">
      <c r="N147" s="922" t="s">
        <v>248</v>
      </c>
      <c r="O147" s="913">
        <v>4</v>
      </c>
      <c r="P147" s="913">
        <v>4</v>
      </c>
      <c r="Q147" s="913">
        <v>4</v>
      </c>
      <c r="R147" s="913">
        <v>4</v>
      </c>
      <c r="S147" s="913">
        <v>4</v>
      </c>
      <c r="T147" s="913">
        <v>6</v>
      </c>
      <c r="U147" s="913">
        <v>6</v>
      </c>
      <c r="V147" s="913">
        <v>6</v>
      </c>
      <c r="W147" s="913">
        <v>6</v>
      </c>
      <c r="X147" s="913">
        <v>6</v>
      </c>
      <c r="Y147" s="913">
        <v>8</v>
      </c>
      <c r="Z147" s="913">
        <v>8</v>
      </c>
      <c r="AA147" s="913">
        <v>8</v>
      </c>
      <c r="AB147" s="913">
        <v>8</v>
      </c>
      <c r="AC147" s="913">
        <v>8</v>
      </c>
      <c r="AD147" s="913">
        <v>10</v>
      </c>
      <c r="AE147" s="913">
        <v>10</v>
      </c>
      <c r="AF147" s="913">
        <v>10</v>
      </c>
      <c r="AG147" s="913">
        <v>10</v>
      </c>
      <c r="AH147" s="913">
        <v>10</v>
      </c>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13"/>
      <c r="EK147" s="913"/>
      <c r="EL147" s="913"/>
      <c r="EM147" s="913"/>
      <c r="EN147" s="913"/>
      <c r="EO147" s="913"/>
      <c r="EP147" s="913"/>
      <c r="EQ147" s="913"/>
      <c r="ER147" s="913"/>
      <c r="ES147" s="913"/>
      <c r="ET147" s="913"/>
      <c r="EU147" s="913"/>
      <c r="EV147" s="913"/>
      <c r="EW147" s="913"/>
      <c r="EX147" s="913"/>
      <c r="EY147" s="913"/>
      <c r="EZ147" s="913"/>
      <c r="FA147" s="913"/>
      <c r="FB147" s="913"/>
      <c r="FC147" s="913"/>
      <c r="FD147" s="913"/>
      <c r="FE147" s="913"/>
      <c r="FF147" s="923"/>
    </row>
    <row r="148" spans="3:162" x14ac:dyDescent="0.25">
      <c r="N148" s="922" t="s">
        <v>245</v>
      </c>
      <c r="O148" s="913">
        <v>0</v>
      </c>
      <c r="P148" s="913">
        <v>0</v>
      </c>
      <c r="Q148" s="913">
        <v>0</v>
      </c>
      <c r="R148" s="913">
        <v>0</v>
      </c>
      <c r="S148" s="913">
        <v>0</v>
      </c>
      <c r="T148" s="913">
        <v>0</v>
      </c>
      <c r="U148" s="913">
        <v>0</v>
      </c>
      <c r="V148" s="913">
        <v>0</v>
      </c>
      <c r="W148" s="913">
        <v>0</v>
      </c>
      <c r="X148" s="913">
        <v>0</v>
      </c>
      <c r="Y148" s="913">
        <v>31.31999999999999</v>
      </c>
      <c r="Z148" s="913">
        <v>31.31999999999999</v>
      </c>
      <c r="AA148" s="913">
        <v>31.31999999999999</v>
      </c>
      <c r="AB148" s="913">
        <v>31.31999999999999</v>
      </c>
      <c r="AC148" s="913">
        <v>31.31999999999999</v>
      </c>
      <c r="AD148" s="913">
        <v>46.979999999999983</v>
      </c>
      <c r="AE148" s="913">
        <v>46.979999999999983</v>
      </c>
      <c r="AF148" s="913">
        <v>46.979999999999983</v>
      </c>
      <c r="AG148" s="913">
        <v>46.979999999999983</v>
      </c>
      <c r="AH148" s="913">
        <v>46.979999999999983</v>
      </c>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13"/>
      <c r="EK148" s="913"/>
      <c r="EL148" s="913"/>
      <c r="EM148" s="913"/>
      <c r="EN148" s="913"/>
      <c r="EO148" s="913"/>
      <c r="EP148" s="913"/>
      <c r="EQ148" s="913"/>
      <c r="ER148" s="913"/>
      <c r="ES148" s="913"/>
      <c r="ET148" s="913"/>
      <c r="EU148" s="913"/>
      <c r="EV148" s="913"/>
      <c r="EW148" s="913"/>
      <c r="EX148" s="913"/>
      <c r="EY148" s="913"/>
      <c r="EZ148" s="913"/>
      <c r="FA148" s="913"/>
      <c r="FB148" s="913"/>
      <c r="FC148" s="913"/>
      <c r="FD148" s="913"/>
      <c r="FE148" s="913"/>
      <c r="FF148" s="923"/>
    </row>
    <row r="149" spans="3:162" x14ac:dyDescent="0.25">
      <c r="N149" s="922" t="s">
        <v>246</v>
      </c>
      <c r="O149" s="913">
        <v>0</v>
      </c>
      <c r="P149" s="913">
        <v>0</v>
      </c>
      <c r="Q149" s="913">
        <v>0</v>
      </c>
      <c r="R149" s="913">
        <v>0</v>
      </c>
      <c r="S149" s="913">
        <v>0</v>
      </c>
      <c r="T149" s="913">
        <v>0</v>
      </c>
      <c r="U149" s="913">
        <v>0</v>
      </c>
      <c r="V149" s="913">
        <v>0</v>
      </c>
      <c r="W149" s="913">
        <v>0</v>
      </c>
      <c r="X149" s="913">
        <v>0</v>
      </c>
      <c r="Y149" s="913">
        <v>1.1640000000000001</v>
      </c>
      <c r="Z149" s="913">
        <v>1.1640000000000001</v>
      </c>
      <c r="AA149" s="913">
        <v>1.1640000000000001</v>
      </c>
      <c r="AB149" s="913">
        <v>1.1640000000000001</v>
      </c>
      <c r="AC149" s="913">
        <v>1.1640000000000001</v>
      </c>
      <c r="AD149" s="913">
        <v>1.7460000000000002</v>
      </c>
      <c r="AE149" s="913">
        <v>1.7460000000000002</v>
      </c>
      <c r="AF149" s="913">
        <v>1.7460000000000002</v>
      </c>
      <c r="AG149" s="913">
        <v>1.7460000000000002</v>
      </c>
      <c r="AH149" s="913">
        <v>1.7460000000000002</v>
      </c>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13"/>
      <c r="EK149" s="913"/>
      <c r="EL149" s="913"/>
      <c r="EM149" s="913"/>
      <c r="EN149" s="913"/>
      <c r="EO149" s="913"/>
      <c r="EP149" s="913"/>
      <c r="EQ149" s="913"/>
      <c r="ER149" s="913"/>
      <c r="ES149" s="913"/>
      <c r="ET149" s="913"/>
      <c r="EU149" s="913"/>
      <c r="EV149" s="913"/>
      <c r="EW149" s="913"/>
      <c r="EX149" s="913"/>
      <c r="EY149" s="913"/>
      <c r="EZ149" s="913"/>
      <c r="FA149" s="913"/>
      <c r="FB149" s="913"/>
      <c r="FC149" s="913"/>
      <c r="FD149" s="913"/>
      <c r="FE149" s="913"/>
      <c r="FF149" s="923"/>
    </row>
    <row r="150" spans="3:162" x14ac:dyDescent="0.25">
      <c r="C150" s="138"/>
      <c r="N150" s="922" t="s">
        <v>249</v>
      </c>
      <c r="O150" s="913">
        <v>5.0708000000000002</v>
      </c>
      <c r="P150" s="913">
        <v>6.6115999999999993</v>
      </c>
      <c r="Q150" s="913">
        <v>8.1524000000000001</v>
      </c>
      <c r="R150" s="913">
        <v>9.6931999999999992</v>
      </c>
      <c r="S150" s="913">
        <v>11.234</v>
      </c>
      <c r="T150" s="913">
        <v>12.774799999999999</v>
      </c>
      <c r="U150" s="913">
        <v>14.315599999999998</v>
      </c>
      <c r="V150" s="913">
        <v>15.856399999999999</v>
      </c>
      <c r="W150" s="913">
        <v>24.765499999999999</v>
      </c>
      <c r="X150" s="913">
        <v>26.680699999999998</v>
      </c>
      <c r="Y150" s="913">
        <v>28.5959</v>
      </c>
      <c r="Z150" s="913">
        <v>30.511099999999999</v>
      </c>
      <c r="AA150" s="913">
        <v>32.426299999999998</v>
      </c>
      <c r="AB150" s="913">
        <v>34.341499999999996</v>
      </c>
      <c r="AC150" s="913">
        <v>36.256699999999995</v>
      </c>
      <c r="AD150" s="913">
        <v>38.171900000000001</v>
      </c>
      <c r="AE150" s="913">
        <v>40.0871</v>
      </c>
      <c r="AF150" s="913">
        <v>42.002299999999998</v>
      </c>
      <c r="AG150" s="913">
        <v>43.917499999999997</v>
      </c>
      <c r="AH150" s="913">
        <v>45.832699999999996</v>
      </c>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13"/>
      <c r="EK150" s="913"/>
      <c r="EL150" s="913"/>
      <c r="EM150" s="913"/>
      <c r="EN150" s="913"/>
      <c r="EO150" s="913"/>
      <c r="EP150" s="913"/>
      <c r="EQ150" s="913"/>
      <c r="ER150" s="913"/>
      <c r="ES150" s="913"/>
      <c r="ET150" s="913"/>
      <c r="EU150" s="913"/>
      <c r="EV150" s="913"/>
      <c r="EW150" s="913"/>
      <c r="EX150" s="913"/>
      <c r="EY150" s="913"/>
      <c r="EZ150" s="913"/>
      <c r="FA150" s="913"/>
      <c r="FB150" s="913"/>
      <c r="FC150" s="913"/>
      <c r="FD150" s="913"/>
      <c r="FE150" s="913"/>
      <c r="FF150" s="923"/>
    </row>
    <row r="151" spans="3:162"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13"/>
      <c r="EK151" s="913"/>
      <c r="EL151" s="913"/>
      <c r="EM151" s="913"/>
      <c r="EN151" s="913"/>
      <c r="EO151" s="913"/>
      <c r="EP151" s="913"/>
      <c r="EQ151" s="913"/>
      <c r="ER151" s="913"/>
      <c r="ES151" s="913"/>
      <c r="ET151" s="913"/>
      <c r="EU151" s="913"/>
      <c r="EV151" s="913"/>
      <c r="EW151" s="913"/>
      <c r="EX151" s="913"/>
      <c r="EY151" s="913"/>
      <c r="EZ151" s="913"/>
      <c r="FA151" s="913"/>
      <c r="FB151" s="913"/>
      <c r="FC151" s="913"/>
      <c r="FD151" s="913"/>
      <c r="FE151" s="913"/>
      <c r="FF151" s="923"/>
    </row>
    <row r="152" spans="3:162" x14ac:dyDescent="0.25">
      <c r="N152" s="922" t="s">
        <v>77</v>
      </c>
      <c r="O152" s="913">
        <v>125.7268</v>
      </c>
      <c r="P152" s="913">
        <v>153.04280000000003</v>
      </c>
      <c r="Q152" s="913">
        <v>180.37880000000001</v>
      </c>
      <c r="R152" s="913">
        <v>207.71480000000003</v>
      </c>
      <c r="S152" s="913">
        <v>235.05080000000004</v>
      </c>
      <c r="T152" s="913">
        <v>277.28679999999997</v>
      </c>
      <c r="U152" s="913">
        <v>304.62280000000004</v>
      </c>
      <c r="V152" s="913">
        <v>331.9588</v>
      </c>
      <c r="W152" s="913">
        <v>366.66309999999999</v>
      </c>
      <c r="X152" s="913">
        <v>394.37349999999998</v>
      </c>
      <c r="Y152" s="913">
        <v>469.46789999999999</v>
      </c>
      <c r="Z152" s="913">
        <v>497.17829999999998</v>
      </c>
      <c r="AA152" s="913">
        <v>524.88869999999997</v>
      </c>
      <c r="AB152" s="913">
        <v>552.59909999999991</v>
      </c>
      <c r="AC152" s="913">
        <v>580.30949999999996</v>
      </c>
      <c r="AD152" s="913">
        <v>639.16190000000006</v>
      </c>
      <c r="AE152" s="913">
        <v>666.8723</v>
      </c>
      <c r="AF152" s="913">
        <v>694.58270000000005</v>
      </c>
      <c r="AG152" s="913">
        <v>722.29310000000009</v>
      </c>
      <c r="AH152" s="913">
        <v>750.00350000000003</v>
      </c>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13"/>
      <c r="EL152" s="913"/>
      <c r="EM152" s="913"/>
      <c r="EN152" s="913"/>
      <c r="EO152" s="913"/>
      <c r="EP152" s="913"/>
      <c r="EQ152" s="913"/>
      <c r="ER152" s="913"/>
      <c r="ES152" s="913"/>
      <c r="ET152" s="913"/>
      <c r="EU152" s="913"/>
      <c r="EV152" s="913"/>
      <c r="EW152" s="913"/>
      <c r="EX152" s="913"/>
      <c r="EY152" s="913"/>
      <c r="EZ152" s="913"/>
      <c r="FA152" s="913"/>
      <c r="FB152" s="913"/>
      <c r="FC152" s="913"/>
      <c r="FD152" s="913"/>
      <c r="FE152" s="913"/>
      <c r="FF152" s="923"/>
    </row>
    <row r="153" spans="3:162" x14ac:dyDescent="0.25">
      <c r="N153" s="922" t="s">
        <v>76</v>
      </c>
      <c r="O153" s="913">
        <v>31.431699999999999</v>
      </c>
      <c r="P153" s="913">
        <v>38.260700000000007</v>
      </c>
      <c r="Q153" s="913">
        <v>45.094700000000003</v>
      </c>
      <c r="R153" s="913">
        <v>51.928700000000006</v>
      </c>
      <c r="S153" s="913">
        <v>58.762700000000009</v>
      </c>
      <c r="T153" s="913">
        <v>46.214466666666659</v>
      </c>
      <c r="U153" s="913">
        <v>50.770466666666671</v>
      </c>
      <c r="V153" s="913">
        <v>55.326466666666668</v>
      </c>
      <c r="W153" s="913">
        <v>61.110516666666662</v>
      </c>
      <c r="X153" s="913">
        <v>65.728916666666663</v>
      </c>
      <c r="Y153" s="913">
        <v>58.683487499999998</v>
      </c>
      <c r="Z153" s="913">
        <v>62.147287499999997</v>
      </c>
      <c r="AA153" s="913">
        <v>65.611087499999996</v>
      </c>
      <c r="AB153" s="913">
        <v>69.074887499999988</v>
      </c>
      <c r="AC153" s="913">
        <v>72.538687499999995</v>
      </c>
      <c r="AD153" s="913">
        <v>63.916190000000007</v>
      </c>
      <c r="AE153" s="913">
        <v>66.68723</v>
      </c>
      <c r="AF153" s="913">
        <v>69.458269999999999</v>
      </c>
      <c r="AG153" s="913">
        <v>72.229310000000012</v>
      </c>
      <c r="AH153" s="913">
        <v>75.000349999999997</v>
      </c>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13"/>
      <c r="EL153" s="913"/>
      <c r="EM153" s="913"/>
      <c r="EN153" s="913"/>
      <c r="EO153" s="913"/>
      <c r="EP153" s="913"/>
      <c r="EQ153" s="913"/>
      <c r="ER153" s="913"/>
      <c r="ES153" s="913"/>
      <c r="ET153" s="913"/>
      <c r="EU153" s="913"/>
      <c r="EV153" s="913"/>
      <c r="EW153" s="913"/>
      <c r="EX153" s="913"/>
      <c r="EY153" s="913"/>
      <c r="EZ153" s="913"/>
      <c r="FA153" s="913"/>
      <c r="FB153" s="913"/>
      <c r="FC153" s="913"/>
      <c r="FD153" s="913"/>
      <c r="FE153" s="913"/>
      <c r="FF153" s="923"/>
    </row>
    <row r="154" spans="3:162"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13"/>
      <c r="EL154" s="913"/>
      <c r="EM154" s="913"/>
      <c r="EN154" s="913"/>
      <c r="EO154" s="913"/>
      <c r="EP154" s="913"/>
      <c r="EQ154" s="913"/>
      <c r="ER154" s="913"/>
      <c r="ES154" s="913"/>
      <c r="ET154" s="913"/>
      <c r="EU154" s="913"/>
      <c r="EV154" s="913"/>
      <c r="EW154" s="913"/>
      <c r="EX154" s="913"/>
      <c r="EY154" s="913"/>
      <c r="EZ154" s="913"/>
      <c r="FA154" s="913"/>
      <c r="FB154" s="913"/>
      <c r="FC154" s="913"/>
      <c r="FD154" s="913"/>
      <c r="FE154" s="913"/>
      <c r="FF154" s="923"/>
    </row>
    <row r="155" spans="3:162"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13"/>
      <c r="EL155" s="913"/>
      <c r="EM155" s="913"/>
      <c r="EN155" s="913"/>
      <c r="EO155" s="913"/>
      <c r="EP155" s="913"/>
      <c r="EQ155" s="913"/>
      <c r="ER155" s="913"/>
      <c r="ES155" s="913"/>
      <c r="ET155" s="913"/>
      <c r="EU155" s="913"/>
      <c r="EV155" s="913"/>
      <c r="EW155" s="913"/>
      <c r="EX155" s="913"/>
      <c r="EY155" s="913"/>
      <c r="EZ155" s="913"/>
      <c r="FA155" s="913"/>
      <c r="FB155" s="913"/>
      <c r="FC155" s="913"/>
      <c r="FD155" s="913"/>
      <c r="FE155" s="913"/>
      <c r="FF155" s="923"/>
    </row>
    <row r="156" spans="3:162" x14ac:dyDescent="0.25">
      <c r="N156" s="922" t="s">
        <v>423</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13"/>
      <c r="EK156" s="913"/>
      <c r="EL156" s="913"/>
      <c r="EM156" s="913"/>
      <c r="EN156" s="913"/>
      <c r="EO156" s="913"/>
      <c r="EP156" s="913"/>
      <c r="EQ156" s="913"/>
      <c r="ER156" s="913"/>
      <c r="ES156" s="913"/>
      <c r="ET156" s="913"/>
      <c r="EU156" s="913"/>
      <c r="EV156" s="913"/>
      <c r="EW156" s="913"/>
      <c r="EX156" s="913"/>
      <c r="EY156" s="913"/>
      <c r="EZ156" s="913"/>
      <c r="FA156" s="913"/>
      <c r="FB156" s="913"/>
      <c r="FC156" s="913"/>
      <c r="FD156" s="913"/>
      <c r="FE156" s="913"/>
      <c r="FF156" s="923"/>
    </row>
    <row r="157" spans="3:162"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13"/>
      <c r="EL157" s="913"/>
      <c r="EM157" s="913"/>
      <c r="EN157" s="913"/>
      <c r="EO157" s="913"/>
      <c r="EP157" s="913"/>
      <c r="EQ157" s="913"/>
      <c r="ER157" s="913"/>
      <c r="ES157" s="913"/>
      <c r="ET157" s="913"/>
      <c r="EU157" s="913"/>
      <c r="EV157" s="913"/>
      <c r="EW157" s="913"/>
      <c r="EX157" s="913"/>
      <c r="EY157" s="913"/>
      <c r="EZ157" s="913"/>
      <c r="FA157" s="913"/>
      <c r="FB157" s="913"/>
      <c r="FC157" s="913"/>
      <c r="FD157" s="913"/>
      <c r="FE157" s="913"/>
      <c r="FF157" s="923"/>
    </row>
    <row r="158" spans="3:162" x14ac:dyDescent="0.25">
      <c r="N158" s="922" t="s">
        <v>33</v>
      </c>
      <c r="O158" s="913">
        <v>12</v>
      </c>
      <c r="P158" s="913">
        <v>24</v>
      </c>
      <c r="Q158" s="913">
        <v>36</v>
      </c>
      <c r="R158" s="913">
        <v>48</v>
      </c>
      <c r="S158" s="913">
        <v>60</v>
      </c>
      <c r="T158" s="913">
        <v>72</v>
      </c>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13"/>
      <c r="EK158" s="913"/>
      <c r="EL158" s="913"/>
      <c r="EM158" s="913"/>
      <c r="EN158" s="913"/>
      <c r="EO158" s="913"/>
      <c r="EP158" s="913"/>
      <c r="EQ158" s="913"/>
      <c r="ER158" s="913"/>
      <c r="ES158" s="913"/>
      <c r="ET158" s="913"/>
      <c r="EU158" s="913"/>
      <c r="EV158" s="913"/>
      <c r="EW158" s="913"/>
      <c r="EX158" s="913"/>
      <c r="EY158" s="913"/>
      <c r="EZ158" s="913"/>
      <c r="FA158" s="913"/>
      <c r="FB158" s="913"/>
      <c r="FC158" s="913"/>
      <c r="FD158" s="913"/>
      <c r="FE158" s="913"/>
      <c r="FF158" s="923"/>
    </row>
    <row r="159" spans="3:162" x14ac:dyDescent="0.25">
      <c r="N159" s="926" t="s">
        <v>149</v>
      </c>
      <c r="O159" s="913">
        <v>197.64</v>
      </c>
      <c r="P159" s="913">
        <v>302.15999999999997</v>
      </c>
      <c r="Q159" s="913">
        <v>448.92000000000007</v>
      </c>
      <c r="R159" s="913">
        <v>553.31999999999994</v>
      </c>
      <c r="S159" s="913">
        <v>700.2</v>
      </c>
      <c r="T159" s="913">
        <v>804.60000000000014</v>
      </c>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13"/>
      <c r="EK159" s="913"/>
      <c r="EL159" s="913"/>
      <c r="EM159" s="913"/>
      <c r="EN159" s="913"/>
      <c r="EO159" s="913"/>
      <c r="EP159" s="913"/>
      <c r="EQ159" s="913"/>
      <c r="ER159" s="913"/>
      <c r="ES159" s="913"/>
      <c r="ET159" s="913"/>
      <c r="EU159" s="913"/>
      <c r="EV159" s="913"/>
      <c r="EW159" s="913"/>
      <c r="EX159" s="913"/>
      <c r="EY159" s="913"/>
      <c r="EZ159" s="913"/>
      <c r="FA159" s="913"/>
      <c r="FB159" s="913"/>
      <c r="FC159" s="913"/>
      <c r="FD159" s="913"/>
      <c r="FE159" s="913"/>
      <c r="FF159" s="923"/>
    </row>
    <row r="160" spans="3:162" x14ac:dyDescent="0.25">
      <c r="N160" s="922" t="s">
        <v>247</v>
      </c>
      <c r="O160" s="913">
        <v>6.5375999999999994</v>
      </c>
      <c r="P160" s="913">
        <v>13.075199999999999</v>
      </c>
      <c r="Q160" s="913">
        <v>19.6128</v>
      </c>
      <c r="R160" s="913">
        <v>26.150399999999998</v>
      </c>
      <c r="S160" s="913">
        <v>32.687999999999995</v>
      </c>
      <c r="T160" s="913">
        <v>39.2256</v>
      </c>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13"/>
      <c r="EK160" s="913"/>
      <c r="EL160" s="913"/>
      <c r="EM160" s="913"/>
      <c r="EN160" s="913"/>
      <c r="EO160" s="913"/>
      <c r="EP160" s="913"/>
      <c r="EQ160" s="913"/>
      <c r="ER160" s="913"/>
      <c r="ES160" s="913"/>
      <c r="ET160" s="913"/>
      <c r="EU160" s="913"/>
      <c r="EV160" s="913"/>
      <c r="EW160" s="913"/>
      <c r="EX160" s="913"/>
      <c r="EY160" s="913"/>
      <c r="EZ160" s="913"/>
      <c r="FA160" s="913"/>
      <c r="FB160" s="913"/>
      <c r="FC160" s="913"/>
      <c r="FD160" s="913"/>
      <c r="FE160" s="913"/>
      <c r="FF160" s="923"/>
    </row>
    <row r="161" spans="14:162" x14ac:dyDescent="0.25">
      <c r="N161" s="926" t="s">
        <v>148</v>
      </c>
      <c r="O161" s="913">
        <v>7.7759999999999998</v>
      </c>
      <c r="P161" s="913">
        <v>15.552</v>
      </c>
      <c r="Q161" s="913">
        <v>23.327999999999999</v>
      </c>
      <c r="R161" s="913">
        <v>31.103999999999999</v>
      </c>
      <c r="S161" s="913">
        <v>38.879999999999995</v>
      </c>
      <c r="T161" s="913">
        <v>46.655999999999999</v>
      </c>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13"/>
      <c r="EK161" s="913"/>
      <c r="EL161" s="913"/>
      <c r="EM161" s="913"/>
      <c r="EN161" s="913"/>
      <c r="EO161" s="913"/>
      <c r="EP161" s="913"/>
      <c r="EQ161" s="913"/>
      <c r="ER161" s="913"/>
      <c r="ES161" s="913"/>
      <c r="ET161" s="913"/>
      <c r="EU161" s="913"/>
      <c r="EV161" s="913"/>
      <c r="EW161" s="913"/>
      <c r="EX161" s="913"/>
      <c r="EY161" s="913"/>
      <c r="EZ161" s="913"/>
      <c r="FA161" s="913"/>
      <c r="FB161" s="913"/>
      <c r="FC161" s="913"/>
      <c r="FD161" s="913"/>
      <c r="FE161" s="913"/>
      <c r="FF161" s="923"/>
    </row>
    <row r="162" spans="14:162" x14ac:dyDescent="0.25">
      <c r="N162" s="922" t="s">
        <v>248</v>
      </c>
      <c r="O162" s="913">
        <v>12</v>
      </c>
      <c r="P162" s="913">
        <v>12</v>
      </c>
      <c r="Q162" s="913">
        <v>12</v>
      </c>
      <c r="R162" s="913">
        <v>12</v>
      </c>
      <c r="S162" s="913">
        <v>12</v>
      </c>
      <c r="T162" s="913">
        <v>12</v>
      </c>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13"/>
      <c r="EK162" s="913"/>
      <c r="EL162" s="913"/>
      <c r="EM162" s="913"/>
      <c r="EN162" s="913"/>
      <c r="EO162" s="913"/>
      <c r="EP162" s="913"/>
      <c r="EQ162" s="913"/>
      <c r="ER162" s="913"/>
      <c r="ES162" s="913"/>
      <c r="ET162" s="913"/>
      <c r="EU162" s="913"/>
      <c r="EV162" s="913"/>
      <c r="EW162" s="913"/>
      <c r="EX162" s="913"/>
      <c r="EY162" s="913"/>
      <c r="EZ162" s="913"/>
      <c r="FA162" s="913"/>
      <c r="FB162" s="913"/>
      <c r="FC162" s="913"/>
      <c r="FD162" s="913"/>
      <c r="FE162" s="913"/>
      <c r="FF162" s="923"/>
    </row>
    <row r="163" spans="14:162" x14ac:dyDescent="0.25">
      <c r="N163" s="922" t="s">
        <v>245</v>
      </c>
      <c r="O163" s="913">
        <v>12.479999999999997</v>
      </c>
      <c r="P163" s="913">
        <v>19.379999999999995</v>
      </c>
      <c r="Q163" s="913">
        <v>26.279999999999994</v>
      </c>
      <c r="R163" s="913">
        <v>33.179999999999986</v>
      </c>
      <c r="S163" s="913">
        <v>40.079999999999984</v>
      </c>
      <c r="T163" s="913">
        <v>46.979999999999983</v>
      </c>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13"/>
      <c r="EK163" s="913"/>
      <c r="EL163" s="913"/>
      <c r="EM163" s="913"/>
      <c r="EN163" s="913"/>
      <c r="EO163" s="913"/>
      <c r="EP163" s="913"/>
      <c r="EQ163" s="913"/>
      <c r="ER163" s="913"/>
      <c r="ES163" s="913"/>
      <c r="ET163" s="913"/>
      <c r="EU163" s="913"/>
      <c r="EV163" s="913"/>
      <c r="EW163" s="913"/>
      <c r="EX163" s="913"/>
      <c r="EY163" s="913"/>
      <c r="EZ163" s="913"/>
      <c r="FA163" s="913"/>
      <c r="FB163" s="913"/>
      <c r="FC163" s="913"/>
      <c r="FD163" s="913"/>
      <c r="FE163" s="913"/>
      <c r="FF163" s="923"/>
    </row>
    <row r="164" spans="14:162" x14ac:dyDescent="0.25">
      <c r="N164" s="922" t="s">
        <v>246</v>
      </c>
      <c r="O164" s="913">
        <v>17.46</v>
      </c>
      <c r="P164" s="913">
        <v>17.46</v>
      </c>
      <c r="Q164" s="913">
        <v>17.46</v>
      </c>
      <c r="R164" s="913">
        <v>17.46</v>
      </c>
      <c r="S164" s="913">
        <v>17.46</v>
      </c>
      <c r="T164" s="913">
        <v>17.46</v>
      </c>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13"/>
      <c r="EK164" s="913"/>
      <c r="EL164" s="913"/>
      <c r="EM164" s="913"/>
      <c r="EN164" s="913"/>
      <c r="EO164" s="913"/>
      <c r="EP164" s="913"/>
      <c r="EQ164" s="913"/>
      <c r="ER164" s="913"/>
      <c r="ES164" s="913"/>
      <c r="ET164" s="913"/>
      <c r="EU164" s="913"/>
      <c r="EV164" s="913"/>
      <c r="EW164" s="913"/>
      <c r="EX164" s="913"/>
      <c r="EY164" s="913"/>
      <c r="EZ164" s="913"/>
      <c r="FA164" s="913"/>
      <c r="FB164" s="913"/>
      <c r="FC164" s="913"/>
      <c r="FD164" s="913"/>
      <c r="FE164" s="913"/>
      <c r="FF164" s="923"/>
    </row>
    <row r="165" spans="14:162" x14ac:dyDescent="0.25">
      <c r="N165" s="922" t="s">
        <v>249</v>
      </c>
      <c r="O165" s="913">
        <v>462.22800000000001</v>
      </c>
      <c r="P165" s="913">
        <v>462.22800000000001</v>
      </c>
      <c r="Q165" s="913">
        <v>462.22800000000001</v>
      </c>
      <c r="R165" s="913">
        <v>462.22800000000001</v>
      </c>
      <c r="S165" s="913">
        <v>462.22800000000001</v>
      </c>
      <c r="T165" s="913">
        <v>462.22800000000001</v>
      </c>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13"/>
      <c r="EK165" s="913"/>
      <c r="EL165" s="913"/>
      <c r="EM165" s="913"/>
      <c r="EN165" s="913"/>
      <c r="EO165" s="913"/>
      <c r="EP165" s="913"/>
      <c r="EQ165" s="913"/>
      <c r="ER165" s="913"/>
      <c r="ES165" s="913"/>
      <c r="ET165" s="913"/>
      <c r="EU165" s="913"/>
      <c r="EV165" s="913"/>
      <c r="EW165" s="913"/>
      <c r="EX165" s="913"/>
      <c r="EY165" s="913"/>
      <c r="EZ165" s="913"/>
      <c r="FA165" s="913"/>
      <c r="FB165" s="913"/>
      <c r="FC165" s="913"/>
      <c r="FD165" s="913"/>
      <c r="FE165" s="913"/>
      <c r="FF165" s="923"/>
    </row>
    <row r="166" spans="14:162"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13"/>
      <c r="EK166" s="913"/>
      <c r="EL166" s="913"/>
      <c r="EM166" s="913"/>
      <c r="EN166" s="913"/>
      <c r="EO166" s="913"/>
      <c r="EP166" s="913"/>
      <c r="EQ166" s="913"/>
      <c r="ER166" s="913"/>
      <c r="ES166" s="913"/>
      <c r="ET166" s="913"/>
      <c r="EU166" s="913"/>
      <c r="EV166" s="913"/>
      <c r="EW166" s="913"/>
      <c r="EX166" s="913"/>
      <c r="EY166" s="913"/>
      <c r="EZ166" s="913"/>
      <c r="FA166" s="913"/>
      <c r="FB166" s="913"/>
      <c r="FC166" s="913"/>
      <c r="FD166" s="913"/>
      <c r="FE166" s="913"/>
      <c r="FF166" s="923"/>
    </row>
    <row r="167" spans="14:162" x14ac:dyDescent="0.25">
      <c r="N167" s="922" t="s">
        <v>77</v>
      </c>
      <c r="O167" s="913">
        <v>716.12159999999994</v>
      </c>
      <c r="P167" s="913">
        <v>841.85519999999997</v>
      </c>
      <c r="Q167" s="913">
        <v>1009.8288</v>
      </c>
      <c r="R167" s="913">
        <v>1135.4423999999999</v>
      </c>
      <c r="S167" s="913">
        <v>1303.5360000000001</v>
      </c>
      <c r="T167" s="913">
        <v>1429.1496000000002</v>
      </c>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13"/>
      <c r="EK167" s="913"/>
      <c r="EL167" s="913"/>
      <c r="EM167" s="913"/>
      <c r="EN167" s="913"/>
      <c r="EO167" s="913"/>
      <c r="EP167" s="913"/>
      <c r="EQ167" s="913"/>
      <c r="ER167" s="913"/>
      <c r="ES167" s="913"/>
      <c r="ET167" s="913"/>
      <c r="EU167" s="913"/>
      <c r="EV167" s="913"/>
      <c r="EW167" s="913"/>
      <c r="EX167" s="913"/>
      <c r="EY167" s="913"/>
      <c r="EZ167" s="913"/>
      <c r="FA167" s="913"/>
      <c r="FB167" s="913"/>
      <c r="FC167" s="913"/>
      <c r="FD167" s="913"/>
      <c r="FE167" s="913"/>
      <c r="FF167" s="923"/>
    </row>
    <row r="168" spans="14:162" x14ac:dyDescent="0.25">
      <c r="N168" s="922" t="s">
        <v>76</v>
      </c>
      <c r="O168" s="913">
        <v>59.676799999999993</v>
      </c>
      <c r="P168" s="913">
        <v>70.154600000000002</v>
      </c>
      <c r="Q168" s="913">
        <v>84.1524</v>
      </c>
      <c r="R168" s="913">
        <v>94.620199999999997</v>
      </c>
      <c r="S168" s="913">
        <v>108.628</v>
      </c>
      <c r="T168" s="913">
        <v>119.09580000000001</v>
      </c>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13"/>
      <c r="EK168" s="913"/>
      <c r="EL168" s="913"/>
      <c r="EM168" s="913"/>
      <c r="EN168" s="913"/>
      <c r="EO168" s="913"/>
      <c r="EP168" s="913"/>
      <c r="EQ168" s="913"/>
      <c r="ER168" s="913"/>
      <c r="ES168" s="913"/>
      <c r="ET168" s="913"/>
      <c r="EU168" s="913"/>
      <c r="EV168" s="913"/>
      <c r="EW168" s="913"/>
      <c r="EX168" s="913"/>
      <c r="EY168" s="913"/>
      <c r="EZ168" s="913"/>
      <c r="FA168" s="913"/>
      <c r="FB168" s="913"/>
      <c r="FC168" s="913"/>
      <c r="FD168" s="913"/>
      <c r="FE168" s="913"/>
      <c r="FF168" s="923"/>
    </row>
    <row r="169" spans="14:162"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13"/>
      <c r="EK169" s="913"/>
      <c r="EL169" s="913"/>
      <c r="EM169" s="913"/>
      <c r="EN169" s="913"/>
      <c r="EO169" s="913"/>
      <c r="EP169" s="913"/>
      <c r="EQ169" s="913"/>
      <c r="ER169" s="913"/>
      <c r="ES169" s="913"/>
      <c r="ET169" s="913"/>
      <c r="EU169" s="913"/>
      <c r="EV169" s="913"/>
      <c r="EW169" s="913"/>
      <c r="EX169" s="913"/>
      <c r="EY169" s="913"/>
      <c r="EZ169" s="913"/>
      <c r="FA169" s="913"/>
      <c r="FB169" s="913"/>
      <c r="FC169" s="913"/>
      <c r="FD169" s="913"/>
      <c r="FE169" s="913"/>
      <c r="FF169" s="923"/>
    </row>
    <row r="170" spans="14:162"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13"/>
      <c r="EK170" s="913"/>
      <c r="EL170" s="913"/>
      <c r="EM170" s="913"/>
      <c r="EN170" s="913"/>
      <c r="EO170" s="913"/>
      <c r="EP170" s="913"/>
      <c r="EQ170" s="913"/>
      <c r="ER170" s="913"/>
      <c r="ES170" s="913"/>
      <c r="ET170" s="913"/>
      <c r="EU170" s="913"/>
      <c r="EV170" s="913"/>
      <c r="EW170" s="913"/>
      <c r="EX170" s="913"/>
      <c r="EY170" s="913"/>
      <c r="EZ170" s="913"/>
      <c r="FA170" s="913"/>
      <c r="FB170" s="913"/>
      <c r="FC170" s="913"/>
      <c r="FD170" s="913"/>
      <c r="FE170" s="913"/>
      <c r="FF170" s="923"/>
    </row>
    <row r="171" spans="14:162"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13"/>
      <c r="EK171" s="913"/>
      <c r="EL171" s="913"/>
      <c r="EM171" s="913"/>
      <c r="EN171" s="913"/>
      <c r="EO171" s="913"/>
      <c r="EP171" s="913"/>
      <c r="EQ171" s="913"/>
      <c r="ER171" s="913"/>
      <c r="ES171" s="913"/>
      <c r="ET171" s="913"/>
      <c r="EU171" s="913"/>
      <c r="EV171" s="913"/>
      <c r="EW171" s="913"/>
      <c r="EX171" s="913"/>
      <c r="EY171" s="913"/>
      <c r="EZ171" s="913"/>
      <c r="FA171" s="913"/>
      <c r="FB171" s="913"/>
      <c r="FC171" s="913"/>
      <c r="FD171" s="913"/>
      <c r="FE171" s="913"/>
      <c r="FF171" s="923"/>
    </row>
    <row r="172" spans="14:162"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13"/>
      <c r="EK172" s="913"/>
      <c r="EL172" s="913"/>
      <c r="EM172" s="913"/>
      <c r="EN172" s="913"/>
      <c r="EO172" s="913"/>
      <c r="EP172" s="913"/>
      <c r="EQ172" s="913"/>
      <c r="ER172" s="913"/>
      <c r="ES172" s="913"/>
      <c r="ET172" s="913"/>
      <c r="EU172" s="913"/>
      <c r="EV172" s="913"/>
      <c r="EW172" s="913"/>
      <c r="EX172" s="913"/>
      <c r="EY172" s="913"/>
      <c r="EZ172" s="913"/>
      <c r="FA172" s="913"/>
      <c r="FB172" s="913"/>
      <c r="FC172" s="913"/>
      <c r="FD172" s="913"/>
      <c r="FE172" s="913"/>
      <c r="FF172" s="923"/>
    </row>
    <row r="173" spans="14:162"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13"/>
      <c r="EK173" s="913"/>
      <c r="EL173" s="913"/>
      <c r="EM173" s="913"/>
      <c r="EN173" s="913"/>
      <c r="EO173" s="913"/>
      <c r="EP173" s="913"/>
      <c r="EQ173" s="913"/>
      <c r="ER173" s="913"/>
      <c r="ES173" s="913"/>
      <c r="ET173" s="913"/>
      <c r="EU173" s="913"/>
      <c r="EV173" s="913"/>
      <c r="EW173" s="913"/>
      <c r="EX173" s="913"/>
      <c r="EY173" s="913"/>
      <c r="EZ173" s="913"/>
      <c r="FA173" s="913"/>
      <c r="FB173" s="913"/>
      <c r="FC173" s="913"/>
      <c r="FD173" s="913"/>
      <c r="FE173" s="913"/>
      <c r="FF173" s="923"/>
    </row>
    <row r="174" spans="14:162"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13"/>
      <c r="EK174" s="913"/>
      <c r="EL174" s="913"/>
      <c r="EM174" s="913"/>
      <c r="EN174" s="913"/>
      <c r="EO174" s="913"/>
      <c r="EP174" s="913"/>
      <c r="EQ174" s="913"/>
      <c r="ER174" s="913"/>
      <c r="ES174" s="913"/>
      <c r="ET174" s="913"/>
      <c r="EU174" s="913"/>
      <c r="EV174" s="913"/>
      <c r="EW174" s="913"/>
      <c r="EX174" s="913"/>
      <c r="EY174" s="913"/>
      <c r="EZ174" s="913"/>
      <c r="FA174" s="913"/>
      <c r="FB174" s="913"/>
      <c r="FC174" s="913"/>
      <c r="FD174" s="913"/>
      <c r="FE174" s="913"/>
      <c r="FF174" s="923"/>
    </row>
    <row r="175" spans="14:162"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13"/>
      <c r="EK175" s="913"/>
      <c r="EL175" s="913"/>
      <c r="EM175" s="913"/>
      <c r="EN175" s="913"/>
      <c r="EO175" s="913"/>
      <c r="EP175" s="913"/>
      <c r="EQ175" s="913"/>
      <c r="ER175" s="913"/>
      <c r="ES175" s="913"/>
      <c r="ET175" s="913"/>
      <c r="EU175" s="913"/>
      <c r="EV175" s="913"/>
      <c r="EW175" s="913"/>
      <c r="EX175" s="913"/>
      <c r="EY175" s="913"/>
      <c r="EZ175" s="913"/>
      <c r="FA175" s="913"/>
      <c r="FB175" s="913"/>
      <c r="FC175" s="913"/>
      <c r="FD175" s="913"/>
      <c r="FE175" s="913"/>
      <c r="FF175" s="923"/>
    </row>
    <row r="176" spans="14:162"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13"/>
      <c r="EK176" s="913"/>
      <c r="EL176" s="913"/>
      <c r="EM176" s="913"/>
      <c r="EN176" s="913"/>
      <c r="EO176" s="913"/>
      <c r="EP176" s="913"/>
      <c r="EQ176" s="913"/>
      <c r="ER176" s="913"/>
      <c r="ES176" s="913"/>
      <c r="ET176" s="913"/>
      <c r="EU176" s="913"/>
      <c r="EV176" s="913"/>
      <c r="EW176" s="913"/>
      <c r="EX176" s="913"/>
      <c r="EY176" s="913"/>
      <c r="EZ176" s="913"/>
      <c r="FA176" s="913"/>
      <c r="FB176" s="913"/>
      <c r="FC176" s="913"/>
      <c r="FD176" s="913"/>
      <c r="FE176" s="913"/>
      <c r="FF176" s="923"/>
    </row>
    <row r="177" spans="14:162"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13"/>
      <c r="EK177" s="913"/>
      <c r="EL177" s="913"/>
      <c r="EM177" s="913"/>
      <c r="EN177" s="913"/>
      <c r="EO177" s="913"/>
      <c r="EP177" s="913"/>
      <c r="EQ177" s="913"/>
      <c r="ER177" s="913"/>
      <c r="ES177" s="913"/>
      <c r="ET177" s="913"/>
      <c r="EU177" s="913"/>
      <c r="EV177" s="913"/>
      <c r="EW177" s="913"/>
      <c r="EX177" s="913"/>
      <c r="EY177" s="913"/>
      <c r="EZ177" s="913"/>
      <c r="FA177" s="913"/>
      <c r="FB177" s="913"/>
      <c r="FC177" s="913"/>
      <c r="FD177" s="913"/>
      <c r="FE177" s="913"/>
      <c r="FF177" s="923"/>
    </row>
    <row r="178" spans="14:162"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13"/>
      <c r="AX178" s="913"/>
      <c r="AY178" s="913"/>
      <c r="AZ178" s="913"/>
      <c r="BA178" s="913"/>
      <c r="BB178" s="913"/>
      <c r="BC178" s="913"/>
      <c r="BD178" s="913"/>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c r="BY178" s="913"/>
      <c r="BZ178" s="913"/>
      <c r="CA178" s="913"/>
      <c r="CB178" s="913"/>
      <c r="CC178" s="913"/>
      <c r="CD178" s="913"/>
      <c r="CE178" s="913"/>
      <c r="CF178" s="913"/>
      <c r="CG178" s="913"/>
      <c r="CH178" s="913"/>
      <c r="CI178" s="913"/>
      <c r="CJ178" s="913"/>
      <c r="CK178" s="913"/>
      <c r="CL178" s="913"/>
      <c r="CM178" s="913"/>
      <c r="CN178" s="913"/>
      <c r="CO178" s="913"/>
      <c r="CP178" s="913"/>
      <c r="CQ178" s="913"/>
      <c r="CR178" s="913"/>
      <c r="CS178" s="913"/>
      <c r="CT178" s="913"/>
      <c r="CU178" s="913"/>
      <c r="CV178" s="913"/>
      <c r="CW178" s="913"/>
      <c r="CX178" s="913"/>
      <c r="CY178" s="913"/>
      <c r="CZ178" s="913"/>
      <c r="DA178" s="913"/>
      <c r="DB178" s="913"/>
      <c r="DC178" s="913"/>
      <c r="DD178" s="913"/>
      <c r="DE178" s="913"/>
      <c r="DF178" s="913"/>
      <c r="DG178" s="913"/>
      <c r="DH178" s="913"/>
      <c r="DI178" s="913"/>
      <c r="DJ178" s="913"/>
      <c r="DK178" s="913"/>
      <c r="DL178" s="913"/>
      <c r="DM178" s="913"/>
      <c r="DN178" s="913"/>
      <c r="DO178" s="913"/>
      <c r="DP178" s="913"/>
      <c r="DQ178" s="913"/>
      <c r="DR178" s="913"/>
      <c r="DS178" s="913"/>
      <c r="DT178" s="913"/>
      <c r="DU178" s="913"/>
      <c r="DV178" s="913"/>
      <c r="DW178" s="913"/>
      <c r="DX178" s="913"/>
      <c r="DY178" s="913"/>
      <c r="DZ178" s="913"/>
      <c r="EA178" s="913"/>
      <c r="EB178" s="913"/>
      <c r="EC178" s="913"/>
      <c r="ED178" s="913"/>
      <c r="EE178" s="913"/>
      <c r="EF178" s="913"/>
      <c r="EG178" s="913"/>
      <c r="EH178" s="913"/>
      <c r="EI178" s="913"/>
      <c r="EJ178" s="913"/>
      <c r="EK178" s="913"/>
      <c r="EL178" s="913"/>
      <c r="EM178" s="913"/>
      <c r="EN178" s="913"/>
      <c r="EO178" s="913"/>
      <c r="EP178" s="913"/>
      <c r="EQ178" s="913"/>
      <c r="ER178" s="913"/>
      <c r="ES178" s="913"/>
      <c r="ET178" s="913"/>
      <c r="EU178" s="913"/>
      <c r="EV178" s="913"/>
      <c r="EW178" s="913"/>
      <c r="EX178" s="913"/>
      <c r="EY178" s="913"/>
      <c r="EZ178" s="913"/>
      <c r="FA178" s="913"/>
      <c r="FB178" s="913"/>
      <c r="FC178" s="913"/>
      <c r="FD178" s="913"/>
      <c r="FE178" s="913"/>
      <c r="FF178" s="923"/>
    </row>
    <row r="179" spans="14:162" x14ac:dyDescent="0.25">
      <c r="N179" s="928"/>
      <c r="O179" s="929"/>
      <c r="P179" s="929"/>
      <c r="Q179" s="929"/>
      <c r="R179" s="929"/>
      <c r="S179" s="929"/>
      <c r="T179" s="929"/>
      <c r="U179" s="929"/>
      <c r="V179" s="929"/>
      <c r="W179" s="929"/>
      <c r="X179" s="929"/>
      <c r="Y179" s="929"/>
      <c r="Z179" s="929"/>
      <c r="AA179" s="929"/>
      <c r="AB179" s="929"/>
      <c r="AC179" s="929"/>
      <c r="AD179" s="929"/>
      <c r="AE179" s="929"/>
      <c r="AF179" s="929"/>
      <c r="AG179" s="929"/>
      <c r="AH179" s="929"/>
      <c r="AI179" s="929"/>
      <c r="AJ179" s="929"/>
      <c r="AK179" s="929"/>
      <c r="AL179" s="929"/>
      <c r="AM179" s="929"/>
      <c r="AN179" s="929"/>
      <c r="AO179" s="929"/>
      <c r="AP179" s="929"/>
      <c r="AQ179" s="929"/>
      <c r="AR179" s="929"/>
      <c r="AS179" s="929"/>
      <c r="AT179" s="929"/>
      <c r="AU179" s="929"/>
      <c r="AV179" s="929"/>
      <c r="AW179" s="929"/>
      <c r="AX179" s="929"/>
      <c r="AY179" s="929"/>
      <c r="AZ179" s="929"/>
      <c r="BA179" s="929"/>
      <c r="BB179" s="929"/>
      <c r="BC179" s="929"/>
      <c r="BD179" s="929"/>
      <c r="BE179" s="929"/>
      <c r="BF179" s="929"/>
      <c r="BG179" s="929"/>
      <c r="BH179" s="929"/>
      <c r="BI179" s="929"/>
      <c r="BJ179" s="929"/>
      <c r="BK179" s="929"/>
      <c r="BL179" s="929"/>
      <c r="BM179" s="929"/>
      <c r="BN179" s="929"/>
      <c r="BO179" s="929"/>
      <c r="BP179" s="929"/>
      <c r="BQ179" s="929"/>
      <c r="BR179" s="929"/>
      <c r="BS179" s="929"/>
      <c r="BT179" s="929"/>
      <c r="BU179" s="929"/>
      <c r="BV179" s="929"/>
      <c r="BW179" s="929"/>
      <c r="BX179" s="929"/>
      <c r="BY179" s="929"/>
      <c r="BZ179" s="929"/>
      <c r="CA179" s="929"/>
      <c r="CB179" s="929"/>
      <c r="CC179" s="929"/>
      <c r="CD179" s="929"/>
      <c r="CE179" s="929"/>
      <c r="CF179" s="929"/>
      <c r="CG179" s="929"/>
      <c r="CH179" s="929"/>
      <c r="CI179" s="929"/>
      <c r="CJ179" s="929"/>
      <c r="CK179" s="929"/>
      <c r="CL179" s="929"/>
      <c r="CM179" s="929"/>
      <c r="CN179" s="929"/>
      <c r="CO179" s="929"/>
      <c r="CP179" s="929"/>
      <c r="CQ179" s="929"/>
      <c r="CR179" s="929"/>
      <c r="CS179" s="929"/>
      <c r="CT179" s="929"/>
      <c r="CU179" s="929"/>
      <c r="CV179" s="929"/>
      <c r="CW179" s="929"/>
      <c r="CX179" s="929"/>
      <c r="CY179" s="929"/>
      <c r="CZ179" s="929"/>
      <c r="DA179" s="929"/>
      <c r="DB179" s="929"/>
      <c r="DC179" s="929"/>
      <c r="DD179" s="929"/>
      <c r="DE179" s="929"/>
      <c r="DF179" s="929"/>
      <c r="DG179" s="929"/>
      <c r="DH179" s="929"/>
      <c r="DI179" s="929"/>
      <c r="DJ179" s="929"/>
      <c r="DK179" s="929"/>
      <c r="DL179" s="929"/>
      <c r="DM179" s="929"/>
      <c r="DN179" s="929"/>
      <c r="DO179" s="929"/>
      <c r="DP179" s="929"/>
      <c r="DQ179" s="929"/>
      <c r="DR179" s="929"/>
      <c r="DS179" s="929"/>
      <c r="DT179" s="929"/>
      <c r="DU179" s="929"/>
      <c r="DV179" s="929"/>
      <c r="DW179" s="929"/>
      <c r="DX179" s="929"/>
      <c r="DY179" s="929"/>
      <c r="DZ179" s="929"/>
      <c r="EA179" s="929"/>
      <c r="EB179" s="929"/>
      <c r="EC179" s="929"/>
      <c r="ED179" s="929"/>
      <c r="EE179" s="929"/>
      <c r="EF179" s="929"/>
      <c r="EG179" s="929"/>
      <c r="EH179" s="929"/>
      <c r="EI179" s="929"/>
      <c r="EJ179" s="929"/>
      <c r="EK179" s="929"/>
      <c r="EL179" s="929"/>
      <c r="EM179" s="929"/>
      <c r="EN179" s="929"/>
      <c r="EO179" s="929"/>
      <c r="EP179" s="929"/>
      <c r="EQ179" s="929"/>
      <c r="ER179" s="929"/>
      <c r="ES179" s="929"/>
      <c r="ET179" s="929"/>
      <c r="EU179" s="929"/>
      <c r="EV179" s="929"/>
      <c r="EW179" s="929"/>
      <c r="EX179" s="929"/>
      <c r="EY179" s="929"/>
      <c r="EZ179" s="929"/>
      <c r="FA179" s="929"/>
      <c r="FB179" s="929"/>
      <c r="FC179" s="929"/>
      <c r="FD179" s="929"/>
      <c r="FE179" s="929"/>
      <c r="FF179" s="930"/>
    </row>
    <row r="282" spans="24:25" x14ac:dyDescent="0.25">
      <c r="X282" s="110"/>
      <c r="Y282" s="109"/>
    </row>
  </sheetData>
  <sheetProtection algorithmName="SHA-512" hashValue="H4wPrmBTO+E0j7w2hi2F4+NFxV4rJP3BZZR4Fr/BSsZCWB6CevKXzjc1YNBFPN1pfOrrmUuG+9ytQ0za/BKNjw==" saltValue="TFKc/N6US0mATzw3WULnAA==" spinCount="100000" sheet="1" objects="1" scenarios="1"/>
  <mergeCells count="7">
    <mergeCell ref="N71:N72"/>
    <mergeCell ref="D15:W15"/>
    <mergeCell ref="AT15:IX15"/>
    <mergeCell ref="AU17:AV19"/>
    <mergeCell ref="AW17:IG18"/>
    <mergeCell ref="IQ18:IW18"/>
    <mergeCell ref="N44:N45"/>
  </mergeCells>
  <conditionalFormatting sqref="R46:Z57">
    <cfRule type="colorScale" priority="8">
      <colorScale>
        <cfvo type="min"/>
        <cfvo type="percentile" val="50"/>
        <cfvo type="max"/>
        <color rgb="FF63BE7B"/>
        <color rgb="FFFFEB84"/>
        <color rgb="FFF8696B"/>
      </colorScale>
    </cfRule>
  </conditionalFormatting>
  <conditionalFormatting sqref="E18:M29">
    <cfRule type="colorScale" priority="6">
      <colorScale>
        <cfvo type="min"/>
        <cfvo type="percentile" val="50"/>
        <cfvo type="max"/>
        <color rgb="FF63BE7B"/>
        <color rgb="FFFFEB84"/>
        <color rgb="FFF8696B"/>
      </colorScale>
    </cfRule>
  </conditionalFormatting>
  <conditionalFormatting sqref="Q103:Z105">
    <cfRule type="colorScale" priority="5">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2">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6.140625"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140625" customWidth="1"/>
    <col min="19" max="19" width="13.42578125" customWidth="1"/>
    <col min="20" max="20" width="10.28515625" customWidth="1"/>
    <col min="21" max="21" width="23.570312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4.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188" t="s">
        <v>36</v>
      </c>
      <c r="C1" s="213" t="s">
        <v>197</v>
      </c>
      <c r="D1" s="189"/>
      <c r="E1" s="189"/>
      <c r="F1" s="189"/>
      <c r="G1" s="189"/>
      <c r="H1" s="189"/>
      <c r="I1" s="190"/>
    </row>
    <row r="2" spans="2:25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8" ht="18.75" x14ac:dyDescent="0.3">
      <c r="B3" s="214" t="s">
        <v>181</v>
      </c>
      <c r="C3" s="187" t="str">
        <f>IF('DATA ENTRY'!B9="mm",'DATA ENTRY'!B10/25.4,'DATA ENTRY'!B10)</f>
        <v>ENTER LENGTH</v>
      </c>
      <c r="D3" s="179"/>
      <c r="E3" s="40"/>
      <c r="F3" s="40"/>
      <c r="G3" s="215" t="s">
        <v>229</v>
      </c>
      <c r="H3" s="187">
        <v>12</v>
      </c>
      <c r="I3" s="191">
        <v>240</v>
      </c>
      <c r="N3" s="41"/>
      <c r="O3" s="40"/>
      <c r="P3" s="40"/>
      <c r="Q3" s="40"/>
      <c r="R3" s="40"/>
      <c r="S3" s="40"/>
      <c r="T3" s="40"/>
      <c r="U3" s="40"/>
      <c r="V3" s="40"/>
      <c r="W3" s="169"/>
    </row>
    <row r="4" spans="2:258" ht="18.75" x14ac:dyDescent="0.3">
      <c r="B4" s="214" t="s">
        <v>38</v>
      </c>
      <c r="C4" s="187" t="str">
        <f>IF('DATA ENTRY'!B9="mm",'DATA ENTRY'!B11/25.4,'DATA ENTRY'!B11)</f>
        <v>ENTER WIDTH</v>
      </c>
      <c r="D4" s="179"/>
      <c r="E4" s="40"/>
      <c r="F4" s="40"/>
      <c r="G4" s="215" t="s">
        <v>230</v>
      </c>
      <c r="H4" s="187">
        <v>12</v>
      </c>
      <c r="I4" s="191">
        <v>120</v>
      </c>
      <c r="N4" s="41"/>
      <c r="O4" s="173" t="str">
        <f>C1&amp;"_MODEL"</f>
        <v>BCJE443_MODEL</v>
      </c>
      <c r="P4" s="173" t="s">
        <v>198</v>
      </c>
      <c r="Q4" s="173"/>
      <c r="R4" s="173"/>
      <c r="S4" s="173"/>
      <c r="T4" s="40"/>
      <c r="U4" s="40"/>
      <c r="V4" s="179" t="s">
        <v>93</v>
      </c>
      <c r="W4" s="169"/>
    </row>
    <row r="5" spans="2:258" ht="18.75" x14ac:dyDescent="0.3">
      <c r="B5" s="214" t="s">
        <v>39</v>
      </c>
      <c r="C5" s="187" t="str">
        <f>IF('DATA ENTRY'!B9="mm",'DATA ENTRY'!B12/25.4,'DATA ENTRY'!B12)</f>
        <v>ENTER HEIGHT</v>
      </c>
      <c r="D5" s="179"/>
      <c r="E5" s="40"/>
      <c r="F5" s="40"/>
      <c r="G5" s="215" t="s">
        <v>231</v>
      </c>
      <c r="H5" s="187">
        <v>10.5</v>
      </c>
      <c r="I5" s="191">
        <v>72</v>
      </c>
      <c r="N5" s="171" t="s">
        <v>79</v>
      </c>
      <c r="O5" s="173" t="str">
        <f>C1&amp;"_FA"</f>
        <v>BCJE443_FA</v>
      </c>
      <c r="P5" s="175" t="str">
        <f>D83</f>
        <v/>
      </c>
      <c r="Q5" s="173" t="s">
        <v>42</v>
      </c>
      <c r="R5" s="40"/>
      <c r="S5" s="40"/>
      <c r="T5" s="40"/>
      <c r="U5" s="40"/>
      <c r="V5" s="173" t="str">
        <f>C1&amp;"_W"</f>
        <v>BCJE443_W</v>
      </c>
      <c r="W5" s="178" t="str">
        <f>C3</f>
        <v>ENTER LENGTH</v>
      </c>
    </row>
    <row r="6" spans="2:258" ht="18.75" x14ac:dyDescent="0.3">
      <c r="B6" s="214" t="s">
        <v>40</v>
      </c>
      <c r="C6" s="483" t="str">
        <f>IF('DATA ENTRY'!B9="mm",'DATA ENTRY'!B13*2.1188799727597,'DATA ENTRY'!B13)</f>
        <v>ENTER AIR VOLUME</v>
      </c>
      <c r="D6" s="215"/>
      <c r="E6" s="215"/>
      <c r="F6" s="40"/>
      <c r="G6" s="40"/>
      <c r="H6" s="40"/>
      <c r="I6" s="169"/>
      <c r="N6" s="171" t="s">
        <v>56</v>
      </c>
      <c r="O6" s="173" t="str">
        <f>C1&amp;"_FA%"</f>
        <v>BCJE443_FA%</v>
      </c>
      <c r="P6" s="176" t="e">
        <f>D85</f>
        <v>#VALUE!</v>
      </c>
      <c r="Q6" s="173" t="s">
        <v>13</v>
      </c>
      <c r="R6" s="40"/>
      <c r="S6" s="40"/>
      <c r="T6" s="40"/>
      <c r="U6" s="40"/>
      <c r="V6" s="173" t="str">
        <f>C1&amp;"_H"</f>
        <v>BCJE443_H</v>
      </c>
      <c r="W6" s="178" t="str">
        <f>C4</f>
        <v>ENTER WIDTH</v>
      </c>
    </row>
    <row r="7" spans="2:258" ht="18.75" x14ac:dyDescent="0.3">
      <c r="B7" s="214" t="s">
        <v>41</v>
      </c>
      <c r="C7" s="215" t="str">
        <f>'DATA ENTRY'!B14</f>
        <v>SELECT AIR DIRECTION</v>
      </c>
      <c r="D7" s="215"/>
      <c r="E7" s="215"/>
      <c r="F7" s="40"/>
      <c r="G7" s="40"/>
      <c r="H7" s="40"/>
      <c r="I7" s="169"/>
      <c r="N7" s="171" t="s">
        <v>82</v>
      </c>
      <c r="O7" s="173" t="str">
        <f>C1&amp;"_VEL"</f>
        <v>BCJE443_VEL</v>
      </c>
      <c r="P7" s="194" t="e">
        <f>D87</f>
        <v>#VALUE!</v>
      </c>
      <c r="Q7" s="173" t="s">
        <v>0</v>
      </c>
      <c r="R7" s="40"/>
      <c r="S7" s="40"/>
      <c r="T7" s="40"/>
      <c r="U7" s="40"/>
      <c r="V7" s="173" t="str">
        <f>C1&amp;"_SL"</f>
        <v>BCJE443_SL</v>
      </c>
      <c r="W7" s="178" t="e">
        <f>C9</f>
        <v>#VALUE!</v>
      </c>
    </row>
    <row r="8" spans="2:258" ht="18.75" x14ac:dyDescent="0.3">
      <c r="B8" s="214"/>
      <c r="C8" s="215"/>
      <c r="D8" s="215"/>
      <c r="E8" s="215"/>
      <c r="F8" s="40"/>
      <c r="G8" s="40"/>
      <c r="H8" s="40"/>
      <c r="I8" s="169"/>
      <c r="N8" s="171" t="s">
        <v>80</v>
      </c>
      <c r="O8" s="173" t="str">
        <f>C1&amp;"_Intake"</f>
        <v>BCJE443_Intake</v>
      </c>
      <c r="P8" s="194" t="e">
        <f>D88</f>
        <v>#VALUE!</v>
      </c>
      <c r="Q8" s="173" t="s">
        <v>85</v>
      </c>
      <c r="R8" s="40"/>
      <c r="S8" s="40"/>
      <c r="T8" s="40"/>
      <c r="U8" s="40"/>
      <c r="V8" s="173" t="str">
        <f>C1&amp;"_SW"</f>
        <v>BCJE443_SW</v>
      </c>
      <c r="W8" s="178" t="e">
        <f>F9</f>
        <v>#VALUE!</v>
      </c>
    </row>
    <row r="9" spans="2:258" ht="18.75" x14ac:dyDescent="0.3">
      <c r="B9" s="214" t="s">
        <v>183</v>
      </c>
      <c r="C9" s="462" t="e">
        <f>CEILING(C3/60,1)</f>
        <v>#VALUE!</v>
      </c>
      <c r="D9" s="215"/>
      <c r="E9" s="215" t="s">
        <v>60</v>
      </c>
      <c r="F9" s="462" t="e">
        <f>CEILING(C4/60,1)</f>
        <v>#VALUE!</v>
      </c>
      <c r="G9" s="40"/>
      <c r="H9" s="215" t="s">
        <v>61</v>
      </c>
      <c r="I9" s="463" t="e">
        <f>CEILING(C5/72,1)</f>
        <v>#VALUE!</v>
      </c>
      <c r="N9" s="171" t="s">
        <v>81</v>
      </c>
      <c r="O9" s="173" t="str">
        <f>C1&amp;"_Exhaust"</f>
        <v>BCJE443_Exhaust</v>
      </c>
      <c r="P9" s="194" t="e">
        <f>D89</f>
        <v>#VALUE!</v>
      </c>
      <c r="Q9" s="173" t="s">
        <v>85</v>
      </c>
      <c r="R9" s="40"/>
      <c r="S9" s="40"/>
      <c r="T9" s="40"/>
      <c r="U9" s="40"/>
      <c r="V9" s="173" t="str">
        <f>C1&amp;"_TA"</f>
        <v>BCJE443_TA</v>
      </c>
      <c r="W9" s="178">
        <f>IF(OR(C3&lt;H3,C4&lt;H4,C5&lt;H5,C3&gt;I3,C4&gt;I4,C5&gt;I5),0,(C3*C4)/144)</f>
        <v>0</v>
      </c>
    </row>
    <row r="10" spans="2:258" ht="18.75" x14ac:dyDescent="0.3">
      <c r="B10" s="214" t="s">
        <v>184</v>
      </c>
      <c r="C10" s="462" t="e">
        <f>(C3/C9)</f>
        <v>#VALUE!</v>
      </c>
      <c r="D10" s="215"/>
      <c r="E10" s="215" t="s">
        <v>58</v>
      </c>
      <c r="F10" s="462" t="e">
        <f>(C4/F9)</f>
        <v>#VALUE!</v>
      </c>
      <c r="G10" s="40"/>
      <c r="H10" s="215" t="s">
        <v>51</v>
      </c>
      <c r="I10" s="463" t="e">
        <f>(C5/I9)</f>
        <v>#VALUE!</v>
      </c>
      <c r="N10" s="171" t="s">
        <v>86</v>
      </c>
      <c r="O10" s="173" t="str">
        <f>C1&amp;"_SEC"</f>
        <v>BCJE443_SEC</v>
      </c>
      <c r="P10" s="173">
        <f>IF(OR(C3&lt;H3,C4&lt;H4,C5&lt;H5,C3&gt;I3,C4&gt;I4,C5&gt;I5),0,D13)</f>
        <v>0</v>
      </c>
      <c r="Q10" s="173"/>
      <c r="R10" s="40"/>
      <c r="S10" s="40"/>
      <c r="T10" s="40"/>
      <c r="U10" s="40"/>
      <c r="V10" s="40"/>
      <c r="W10" s="169"/>
    </row>
    <row r="11" spans="2:258" ht="18.75" x14ac:dyDescent="0.3">
      <c r="B11" s="214"/>
      <c r="C11" s="215"/>
      <c r="D11" s="215"/>
      <c r="E11" s="215"/>
      <c r="F11" s="215"/>
      <c r="G11" s="40"/>
      <c r="H11" s="40"/>
      <c r="I11" s="169"/>
      <c r="N11" s="171" t="s">
        <v>83</v>
      </c>
      <c r="O11" s="173" t="str">
        <f>C1&amp;"_SECW"</f>
        <v>BCJE443_SECW</v>
      </c>
      <c r="P11" s="194" t="e">
        <f>IF(OR(D3&gt;I3,D4&gt;I4,D5&gt;I5),0,AB81)</f>
        <v>#VALUE!</v>
      </c>
      <c r="Q11" s="173" t="s">
        <v>72</v>
      </c>
      <c r="R11" s="40"/>
      <c r="S11" s="40"/>
      <c r="T11" s="40"/>
      <c r="U11" s="40"/>
      <c r="V11" s="40"/>
      <c r="W11" s="169"/>
    </row>
    <row r="12" spans="2:258" ht="19.5" thickBot="1" x14ac:dyDescent="0.35">
      <c r="B12" s="41"/>
      <c r="C12" s="214" t="s">
        <v>185</v>
      </c>
      <c r="D12" s="462" t="e">
        <f>C9*I9</f>
        <v>#VALUE!</v>
      </c>
      <c r="E12" s="215"/>
      <c r="F12" s="215" t="s">
        <v>186</v>
      </c>
      <c r="G12" s="462" t="e">
        <f>F9*I9</f>
        <v>#VALUE!</v>
      </c>
      <c r="H12" s="40"/>
      <c r="I12" s="169"/>
      <c r="N12" s="172" t="s">
        <v>84</v>
      </c>
      <c r="O12" s="174" t="str">
        <f>C1&amp;"_TW"</f>
        <v>BCJE443_TW</v>
      </c>
      <c r="P12" s="416">
        <f>IF(OR(C3&lt;H3,C4&lt;H4,C5&lt;H5,C3&gt;I3,C4&gt;I4,C5&gt;I5),0,AB80)</f>
        <v>0</v>
      </c>
      <c r="Q12" s="174" t="s">
        <v>72</v>
      </c>
      <c r="R12" s="43"/>
      <c r="S12" s="43"/>
      <c r="T12" s="43"/>
      <c r="U12" s="43"/>
      <c r="V12" s="43"/>
      <c r="W12" s="170"/>
    </row>
    <row r="13" spans="2:258" ht="18.75" x14ac:dyDescent="0.3">
      <c r="B13" s="41"/>
      <c r="C13" s="215" t="s">
        <v>187</v>
      </c>
      <c r="D13" s="462" t="e">
        <f>IF(OR(C10=0,F10=0,I10=0),0,((2*D12)+(2*G12)))</f>
        <v>#VALUE!</v>
      </c>
      <c r="E13" s="187"/>
      <c r="F13" s="187"/>
      <c r="G13" s="187"/>
      <c r="H13" s="40"/>
      <c r="I13" s="169"/>
      <c r="L13" s="71"/>
      <c r="M13" s="71"/>
      <c r="N13" s="425"/>
      <c r="O13" s="425"/>
      <c r="P13" s="425"/>
      <c r="Q13" s="425"/>
      <c r="R13" s="193"/>
      <c r="S13" s="193"/>
      <c r="T13" s="193"/>
      <c r="U13" s="193"/>
      <c r="V13" s="193"/>
      <c r="W13" s="193"/>
      <c r="X13" s="71"/>
    </row>
    <row r="14" spans="2:258" ht="15.75" thickBot="1" x14ac:dyDescent="0.3">
      <c r="B14" s="42"/>
      <c r="C14" s="43"/>
      <c r="D14" s="43"/>
      <c r="E14" s="43"/>
      <c r="F14" s="43"/>
      <c r="G14" s="43"/>
      <c r="H14" s="43"/>
      <c r="I14" s="170"/>
      <c r="L14" s="71"/>
      <c r="M14" s="71"/>
      <c r="N14" s="71"/>
      <c r="O14" s="71"/>
      <c r="P14" s="71"/>
      <c r="Q14" s="71"/>
      <c r="R14" s="71"/>
      <c r="S14" s="71"/>
      <c r="T14" s="71"/>
      <c r="U14" s="71"/>
      <c r="V14" s="71"/>
      <c r="W14" s="71"/>
      <c r="X14" s="71"/>
    </row>
    <row r="15" spans="2:258" ht="27.75" thickTop="1" thickBot="1" x14ac:dyDescent="0.45">
      <c r="B15" s="73" t="s">
        <v>50</v>
      </c>
      <c r="C15" s="74"/>
      <c r="D15" s="998" t="s">
        <v>227</v>
      </c>
      <c r="E15" s="999"/>
      <c r="F15" s="999"/>
      <c r="G15" s="999"/>
      <c r="H15" s="999"/>
      <c r="I15" s="999"/>
      <c r="J15" s="999"/>
      <c r="K15" s="999"/>
      <c r="L15" s="999"/>
      <c r="M15" s="999"/>
      <c r="N15" s="999"/>
      <c r="O15" s="999"/>
      <c r="P15" s="999"/>
      <c r="Q15" s="999"/>
      <c r="R15" s="999"/>
      <c r="S15" s="999"/>
      <c r="T15" s="999"/>
      <c r="U15" s="999"/>
      <c r="V15" s="999"/>
      <c r="W15" s="1000"/>
      <c r="X15" s="74"/>
      <c r="Y15" s="75"/>
      <c r="AT15" s="978" t="s">
        <v>359</v>
      </c>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79"/>
      <c r="DW15" s="979"/>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79"/>
      <c r="ET15" s="979"/>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79"/>
      <c r="FT15" s="979"/>
      <c r="FU15" s="979"/>
      <c r="FV15" s="979"/>
      <c r="FW15" s="979"/>
      <c r="FX15" s="979"/>
      <c r="FY15" s="979"/>
      <c r="FZ15" s="979"/>
      <c r="GA15" s="979"/>
      <c r="GB15" s="979"/>
      <c r="GC15" s="979"/>
      <c r="GD15" s="979"/>
      <c r="GE15" s="979"/>
      <c r="GF15" s="979"/>
      <c r="GG15" s="979"/>
      <c r="GH15" s="979"/>
      <c r="GI15" s="979"/>
      <c r="GJ15" s="979"/>
      <c r="GK15" s="979"/>
      <c r="GL15" s="979"/>
      <c r="GM15" s="979"/>
      <c r="GN15" s="979"/>
      <c r="GO15" s="979"/>
      <c r="GP15" s="979"/>
      <c r="GQ15" s="979"/>
      <c r="GR15" s="979"/>
      <c r="GS15" s="979"/>
      <c r="GT15" s="979"/>
      <c r="GU15" s="979"/>
      <c r="GV15" s="979"/>
      <c r="GW15" s="979"/>
      <c r="GX15" s="979"/>
      <c r="GY15" s="979"/>
      <c r="GZ15" s="979"/>
      <c r="HA15" s="979"/>
      <c r="HB15" s="979"/>
      <c r="HC15" s="979"/>
      <c r="HD15" s="979"/>
      <c r="HE15" s="979"/>
      <c r="HF15" s="979"/>
      <c r="HG15" s="979"/>
      <c r="HH15" s="979"/>
      <c r="HI15" s="979"/>
      <c r="HJ15" s="979"/>
      <c r="HK15" s="979"/>
      <c r="HL15" s="979"/>
      <c r="HM15" s="979"/>
      <c r="HN15" s="979"/>
      <c r="HO15" s="979"/>
      <c r="HP15" s="979"/>
      <c r="HQ15" s="979"/>
      <c r="HR15" s="979"/>
      <c r="HS15" s="979"/>
      <c r="HT15" s="979"/>
      <c r="HU15" s="979"/>
      <c r="HV15" s="979"/>
      <c r="HW15" s="979"/>
      <c r="HX15" s="979"/>
      <c r="HY15" s="979"/>
      <c r="HZ15" s="979"/>
      <c r="IA15" s="979"/>
      <c r="IB15" s="979"/>
      <c r="IC15" s="979"/>
      <c r="ID15" s="979"/>
      <c r="IE15" s="979"/>
      <c r="IF15" s="979"/>
      <c r="IG15" s="979"/>
      <c r="IH15" s="979"/>
      <c r="II15" s="979"/>
      <c r="IJ15" s="979"/>
      <c r="IK15" s="979"/>
      <c r="IL15" s="979"/>
      <c r="IM15" s="979"/>
      <c r="IN15" s="979"/>
      <c r="IO15" s="979"/>
      <c r="IP15" s="979"/>
      <c r="IQ15" s="979"/>
      <c r="IR15" s="979"/>
      <c r="IS15" s="979"/>
      <c r="IT15" s="979"/>
      <c r="IU15" s="979"/>
      <c r="IV15" s="979"/>
      <c r="IW15" s="979"/>
      <c r="IX15" s="980"/>
    </row>
    <row r="16" spans="2:258" ht="15.75" customHeight="1" thickBot="1" x14ac:dyDescent="0.3">
      <c r="B16" s="47"/>
      <c r="C16" s="49"/>
      <c r="D16" s="49">
        <v>9</v>
      </c>
      <c r="E16" s="49">
        <v>12</v>
      </c>
      <c r="F16" s="49">
        <f>E16+6</f>
        <v>18</v>
      </c>
      <c r="G16" s="49">
        <f>F16+6</f>
        <v>24</v>
      </c>
      <c r="H16" s="49">
        <f>G16+6</f>
        <v>30</v>
      </c>
      <c r="I16" s="49">
        <f>H16+6</f>
        <v>36</v>
      </c>
      <c r="J16" s="49">
        <v>42</v>
      </c>
      <c r="K16" s="49">
        <v>48</v>
      </c>
      <c r="L16" s="49">
        <v>54</v>
      </c>
      <c r="M16" s="49">
        <v>60</v>
      </c>
      <c r="N16" s="49">
        <v>66</v>
      </c>
      <c r="O16" s="49">
        <v>72</v>
      </c>
      <c r="P16" s="49">
        <v>78</v>
      </c>
      <c r="Q16" s="49">
        <v>84</v>
      </c>
      <c r="R16" s="49">
        <v>90</v>
      </c>
      <c r="S16" s="49">
        <v>96</v>
      </c>
      <c r="T16" s="49">
        <v>102</v>
      </c>
      <c r="U16" s="49">
        <v>108</v>
      </c>
      <c r="V16" s="49">
        <v>114</v>
      </c>
      <c r="W16" s="49">
        <v>120</v>
      </c>
      <c r="X16" s="45"/>
      <c r="Y16" s="46"/>
      <c r="AT16" s="3"/>
      <c r="AU16" s="4"/>
      <c r="AV16" s="4"/>
      <c r="AW16" s="4"/>
      <c r="AX16" s="4"/>
      <c r="AY16" s="4"/>
      <c r="AZ16" s="4"/>
      <c r="BA16" s="4"/>
      <c r="BB16" s="4"/>
      <c r="BC16" s="4"/>
      <c r="BD16" s="4"/>
      <c r="BE16" s="4"/>
      <c r="BF16" s="4"/>
      <c r="BG16" s="4"/>
      <c r="BH16" s="5"/>
      <c r="BI16" s="6"/>
      <c r="BJ16" s="6"/>
      <c r="BK16" s="6"/>
      <c r="BL16" s="6"/>
      <c r="BM16" s="6"/>
      <c r="BN16" s="6"/>
      <c r="BO16" s="6"/>
      <c r="BP16" s="6"/>
      <c r="BQ16" s="6"/>
      <c r="BR16" s="5"/>
      <c r="BS16" s="6"/>
      <c r="BT16" s="6"/>
      <c r="BU16" s="6"/>
      <c r="BV16" s="6"/>
      <c r="BW16" s="6"/>
      <c r="BX16" s="6"/>
      <c r="BY16" s="6"/>
      <c r="BZ16" s="6"/>
      <c r="CA16" s="6"/>
      <c r="CB16" s="5"/>
      <c r="CC16" s="6"/>
      <c r="CD16" s="6"/>
      <c r="CE16" s="6"/>
      <c r="CF16" s="6"/>
      <c r="CG16" s="6"/>
      <c r="CH16" s="6"/>
      <c r="CI16" s="6"/>
      <c r="CJ16" s="6"/>
      <c r="CK16" s="6"/>
      <c r="CL16" s="5"/>
      <c r="CM16" s="6"/>
      <c r="CN16" s="6"/>
      <c r="CO16" s="6"/>
      <c r="CP16" s="6"/>
      <c r="CQ16" s="6"/>
      <c r="CR16" s="6"/>
      <c r="CS16" s="6"/>
      <c r="CT16" s="6"/>
      <c r="CU16" s="6"/>
      <c r="CV16" s="5"/>
      <c r="CW16" s="6"/>
      <c r="CX16" s="6"/>
      <c r="CY16" s="6"/>
      <c r="CZ16" s="6"/>
      <c r="DA16" s="6"/>
      <c r="DB16" s="6"/>
      <c r="DC16" s="6"/>
      <c r="DD16" s="6"/>
      <c r="DE16" s="6"/>
      <c r="DF16" s="5"/>
      <c r="DG16" s="6"/>
      <c r="DH16" s="6"/>
      <c r="DI16" s="6"/>
      <c r="DJ16" s="6"/>
      <c r="DK16" s="6"/>
      <c r="DL16" s="6"/>
      <c r="DM16" s="6"/>
      <c r="DN16" s="6"/>
      <c r="DO16" s="6"/>
      <c r="DP16" s="5"/>
      <c r="DQ16" s="6"/>
      <c r="DR16" s="6"/>
      <c r="DS16" s="6"/>
      <c r="DT16" s="6"/>
      <c r="DU16" s="6"/>
      <c r="DV16" s="6"/>
      <c r="DW16" s="6"/>
      <c r="DX16" s="6"/>
      <c r="DY16" s="6"/>
      <c r="DZ16" s="5"/>
      <c r="EA16" s="6"/>
      <c r="EB16" s="6"/>
      <c r="EC16" s="6"/>
      <c r="ED16" s="6"/>
      <c r="EE16" s="6"/>
      <c r="EF16" s="6"/>
      <c r="EG16" s="6"/>
      <c r="EH16" s="6"/>
      <c r="EI16" s="6"/>
      <c r="EJ16" s="5"/>
      <c r="EK16" s="6"/>
      <c r="EL16" s="6"/>
      <c r="EM16" s="6"/>
      <c r="EN16" s="6"/>
      <c r="EO16" s="6"/>
      <c r="EP16" s="6"/>
      <c r="EQ16" s="6"/>
      <c r="ER16" s="6"/>
      <c r="ES16" s="6"/>
      <c r="ET16" s="5"/>
      <c r="EU16" s="6"/>
      <c r="EV16" s="6"/>
      <c r="EW16" s="6"/>
      <c r="EX16" s="6"/>
      <c r="EY16" s="6"/>
      <c r="EZ16" s="6"/>
      <c r="FA16" s="6"/>
      <c r="FB16" s="6"/>
      <c r="FC16" s="6"/>
      <c r="FD16" s="5"/>
      <c r="FE16" s="6"/>
      <c r="FF16" s="6"/>
      <c r="FG16" s="6"/>
      <c r="FH16" s="6"/>
      <c r="FI16" s="6"/>
      <c r="FJ16" s="6"/>
      <c r="FK16" s="6"/>
      <c r="FL16" s="6"/>
      <c r="FM16" s="6"/>
      <c r="FN16" s="5"/>
      <c r="FO16" s="6"/>
      <c r="FP16" s="6"/>
      <c r="FQ16" s="6"/>
      <c r="FR16" s="6"/>
      <c r="FS16" s="6"/>
      <c r="FT16" s="6"/>
      <c r="FU16" s="6"/>
      <c r="FV16" s="6"/>
      <c r="FW16" s="6"/>
      <c r="FX16" s="5"/>
      <c r="FY16" s="6"/>
      <c r="FZ16" s="6"/>
      <c r="GA16" s="6"/>
      <c r="GB16" s="6"/>
      <c r="GC16" s="6"/>
      <c r="GD16" s="6"/>
      <c r="GE16" s="6"/>
      <c r="GF16" s="6"/>
      <c r="GG16" s="6"/>
      <c r="GH16" s="5"/>
      <c r="GI16" s="6"/>
      <c r="GJ16" s="6"/>
      <c r="GK16" s="6"/>
      <c r="GL16" s="6"/>
      <c r="GM16" s="6"/>
      <c r="GN16" s="6"/>
      <c r="GO16" s="6"/>
      <c r="GP16" s="6"/>
      <c r="GQ16" s="6"/>
      <c r="GR16" s="5"/>
      <c r="GS16" s="6"/>
      <c r="GT16" s="6"/>
      <c r="GU16" s="6"/>
      <c r="GV16" s="6"/>
      <c r="GW16" s="6"/>
      <c r="GX16" s="6"/>
      <c r="GY16" s="6"/>
      <c r="GZ16" s="6"/>
      <c r="HA16" s="6"/>
      <c r="HB16" s="5"/>
      <c r="HC16" s="6"/>
      <c r="HD16" s="6"/>
      <c r="HE16" s="6"/>
      <c r="HF16" s="6"/>
      <c r="HG16" s="6"/>
      <c r="HH16" s="6"/>
      <c r="HI16" s="6"/>
      <c r="HJ16" s="6"/>
      <c r="HK16" s="6"/>
      <c r="HL16" s="5"/>
      <c r="HM16" s="6"/>
      <c r="HN16" s="6"/>
      <c r="HO16" s="6"/>
      <c r="HP16" s="6"/>
      <c r="HQ16" s="6"/>
      <c r="HR16" s="6"/>
      <c r="HS16" s="6"/>
      <c r="HT16" s="6"/>
      <c r="HU16" s="6"/>
      <c r="HV16" s="5"/>
      <c r="HW16" s="6"/>
      <c r="HX16" s="6"/>
      <c r="HY16" s="6"/>
      <c r="HZ16" s="6"/>
      <c r="IA16" s="6"/>
      <c r="IB16" s="6"/>
      <c r="IC16" s="6"/>
      <c r="ID16" s="6"/>
      <c r="IE16" s="6"/>
      <c r="IF16" s="5"/>
      <c r="IG16" s="6"/>
      <c r="IH16" s="6"/>
      <c r="II16" s="6"/>
      <c r="IJ16" s="6"/>
      <c r="IK16" s="6"/>
      <c r="IL16" s="6"/>
      <c r="IM16" s="6"/>
      <c r="IN16" s="4"/>
      <c r="IO16" s="4"/>
      <c r="IP16" s="4"/>
      <c r="IQ16" s="4"/>
      <c r="IR16" s="4"/>
      <c r="IS16" s="4"/>
      <c r="IT16" s="4"/>
      <c r="IU16" s="4"/>
      <c r="IV16" s="4"/>
      <c r="IW16" s="4"/>
      <c r="IX16" s="7"/>
    </row>
    <row r="17" spans="2:258" ht="16.5" thickBot="1" x14ac:dyDescent="0.3">
      <c r="B17" s="81" t="s">
        <v>95</v>
      </c>
      <c r="C17" s="148">
        <v>1</v>
      </c>
      <c r="D17" s="464">
        <v>2</v>
      </c>
      <c r="E17" s="465">
        <v>3</v>
      </c>
      <c r="F17" s="465">
        <v>4</v>
      </c>
      <c r="G17" s="465">
        <v>5</v>
      </c>
      <c r="H17" s="465">
        <v>6</v>
      </c>
      <c r="I17" s="465">
        <v>7</v>
      </c>
      <c r="J17" s="465">
        <v>8</v>
      </c>
      <c r="K17" s="465">
        <v>9</v>
      </c>
      <c r="L17" s="465">
        <v>10</v>
      </c>
      <c r="M17" s="465">
        <v>11</v>
      </c>
      <c r="N17" s="465">
        <v>12</v>
      </c>
      <c r="O17" s="465">
        <v>13</v>
      </c>
      <c r="P17" s="465">
        <v>14</v>
      </c>
      <c r="Q17" s="465">
        <v>15</v>
      </c>
      <c r="R17" s="465">
        <v>16</v>
      </c>
      <c r="S17" s="465">
        <v>17</v>
      </c>
      <c r="T17" s="465">
        <v>18</v>
      </c>
      <c r="U17" s="465">
        <v>19</v>
      </c>
      <c r="V17" s="465">
        <v>20</v>
      </c>
      <c r="W17" s="466">
        <v>21</v>
      </c>
      <c r="X17" s="113"/>
      <c r="Y17" s="46"/>
      <c r="AT17" s="3"/>
      <c r="AU17" s="981" t="s">
        <v>14</v>
      </c>
      <c r="AV17" s="982"/>
      <c r="AW17" s="987" t="s">
        <v>15</v>
      </c>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8"/>
      <c r="GE17" s="988"/>
      <c r="GF17" s="988"/>
      <c r="GG17" s="988"/>
      <c r="GH17" s="988"/>
      <c r="GI17" s="988"/>
      <c r="GJ17" s="988"/>
      <c r="GK17" s="988"/>
      <c r="GL17" s="988"/>
      <c r="GM17" s="988"/>
      <c r="GN17" s="988"/>
      <c r="GO17" s="988"/>
      <c r="GP17" s="988"/>
      <c r="GQ17" s="988"/>
      <c r="GR17" s="988"/>
      <c r="GS17" s="988"/>
      <c r="GT17" s="988"/>
      <c r="GU17" s="988"/>
      <c r="GV17" s="988"/>
      <c r="GW17" s="988"/>
      <c r="GX17" s="988"/>
      <c r="GY17" s="988"/>
      <c r="GZ17" s="988"/>
      <c r="HA17" s="988"/>
      <c r="HB17" s="988"/>
      <c r="HC17" s="988"/>
      <c r="HD17" s="988"/>
      <c r="HE17" s="988"/>
      <c r="HF17" s="988"/>
      <c r="HG17" s="988"/>
      <c r="HH17" s="988"/>
      <c r="HI17" s="988"/>
      <c r="HJ17" s="988"/>
      <c r="HK17" s="988"/>
      <c r="HL17" s="988"/>
      <c r="HM17" s="988"/>
      <c r="HN17" s="988"/>
      <c r="HO17" s="988"/>
      <c r="HP17" s="988"/>
      <c r="HQ17" s="988"/>
      <c r="HR17" s="988"/>
      <c r="HS17" s="988"/>
      <c r="HT17" s="988"/>
      <c r="HU17" s="988"/>
      <c r="HV17" s="988"/>
      <c r="HW17" s="988"/>
      <c r="HX17" s="988"/>
      <c r="HY17" s="988"/>
      <c r="HZ17" s="988"/>
      <c r="IA17" s="988"/>
      <c r="IB17" s="988"/>
      <c r="IC17" s="988"/>
      <c r="ID17" s="988"/>
      <c r="IE17" s="988"/>
      <c r="IF17" s="988"/>
      <c r="IG17" s="988"/>
      <c r="IH17" s="456"/>
      <c r="II17" s="456"/>
      <c r="IJ17" s="456"/>
      <c r="IK17" s="456"/>
      <c r="IL17" s="456"/>
      <c r="IM17" s="456"/>
      <c r="IN17" s="141"/>
      <c r="IO17" s="143"/>
      <c r="IP17" s="4"/>
      <c r="IQ17" s="8"/>
      <c r="IR17" s="8"/>
      <c r="IS17" s="8"/>
      <c r="IT17" s="8"/>
      <c r="IU17" s="8"/>
      <c r="IV17" s="8"/>
      <c r="IW17" s="8"/>
      <c r="IX17" s="7"/>
    </row>
    <row r="18" spans="2:258" ht="15" customHeight="1" thickBot="1" x14ac:dyDescent="0.3">
      <c r="B18" s="79">
        <f>H5</f>
        <v>10.5</v>
      </c>
      <c r="C18" s="149">
        <v>2</v>
      </c>
      <c r="D18" s="486"/>
      <c r="E18" s="467">
        <f t="shared" ref="E18:E29" si="0">BH21/((E$16*B18)/144)</f>
        <v>0.18126587301587299</v>
      </c>
      <c r="F18" s="467">
        <f t="shared" ref="F18:F29" si="1">BR21/((F$16*$B18)/144)</f>
        <v>0.20614550264550266</v>
      </c>
      <c r="G18" s="467">
        <f t="shared" ref="G18:G29" si="2">CB21/((G$16*$B18)/144)</f>
        <v>0.21858531746031742</v>
      </c>
      <c r="H18" s="467">
        <f t="shared" ref="H18:H29" si="3">CL21/((H$16*$B18)/144)</f>
        <v>0.22604920634920633</v>
      </c>
      <c r="I18" s="467">
        <f t="shared" ref="I18:I29" si="4">CV21/((I$16*$B18)/144)</f>
        <v>0.2310251322751323</v>
      </c>
      <c r="J18" s="467">
        <f t="shared" ref="J18:J29" si="5">DF21/((J$16*$B18)/144)</f>
        <v>0.23457936507936508</v>
      </c>
      <c r="K18" s="467">
        <f t="shared" ref="K18:K29" si="6">DP21/((K$16*$B18)/144)</f>
        <v>0.23724503968253965</v>
      </c>
      <c r="L18" s="467">
        <f t="shared" ref="L18:L29" si="7">DZ21/((L$16*$B18)/144)</f>
        <v>0.23457936507936508</v>
      </c>
      <c r="M18" s="467">
        <f t="shared" ref="M18:M29" si="8">EJ21/((M$16*$B18)/144)</f>
        <v>0.23671190476190479</v>
      </c>
      <c r="N18" s="489"/>
      <c r="O18" s="489"/>
      <c r="P18" s="489"/>
      <c r="Q18" s="489"/>
      <c r="R18" s="489"/>
      <c r="S18" s="489"/>
      <c r="T18" s="489"/>
      <c r="U18" s="489"/>
      <c r="V18" s="489"/>
      <c r="W18" s="489"/>
      <c r="X18" s="76"/>
      <c r="Y18" s="77"/>
      <c r="Z18" s="61"/>
      <c r="AA18" s="61"/>
      <c r="AT18" s="3"/>
      <c r="AU18" s="983"/>
      <c r="AV18" s="984"/>
      <c r="AW18" s="989"/>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c r="EE18" s="990"/>
      <c r="EF18" s="990"/>
      <c r="EG18" s="990"/>
      <c r="EH18" s="990"/>
      <c r="EI18" s="990"/>
      <c r="EJ18" s="990"/>
      <c r="EK18" s="990"/>
      <c r="EL18" s="990"/>
      <c r="EM18" s="990"/>
      <c r="EN18" s="990"/>
      <c r="EO18" s="990"/>
      <c r="EP18" s="990"/>
      <c r="EQ18" s="990"/>
      <c r="ER18" s="990"/>
      <c r="ES18" s="990"/>
      <c r="ET18" s="990"/>
      <c r="EU18" s="990"/>
      <c r="EV18" s="990"/>
      <c r="EW18" s="990"/>
      <c r="EX18" s="990"/>
      <c r="EY18" s="990"/>
      <c r="EZ18" s="990"/>
      <c r="FA18" s="990"/>
      <c r="FB18" s="990"/>
      <c r="FC18" s="990"/>
      <c r="FD18" s="990"/>
      <c r="FE18" s="990"/>
      <c r="FF18" s="990"/>
      <c r="FG18" s="990"/>
      <c r="FH18" s="990"/>
      <c r="FI18" s="990"/>
      <c r="FJ18" s="990"/>
      <c r="FK18" s="990"/>
      <c r="FL18" s="990"/>
      <c r="FM18" s="990"/>
      <c r="FN18" s="990"/>
      <c r="FO18" s="990"/>
      <c r="FP18" s="990"/>
      <c r="FQ18" s="990"/>
      <c r="FR18" s="990"/>
      <c r="FS18" s="990"/>
      <c r="FT18" s="990"/>
      <c r="FU18" s="990"/>
      <c r="FV18" s="990"/>
      <c r="FW18" s="990"/>
      <c r="FX18" s="990"/>
      <c r="FY18" s="990"/>
      <c r="FZ18" s="990"/>
      <c r="GA18" s="990"/>
      <c r="GB18" s="990"/>
      <c r="GC18" s="990"/>
      <c r="GD18" s="990"/>
      <c r="GE18" s="990"/>
      <c r="GF18" s="990"/>
      <c r="GG18" s="990"/>
      <c r="GH18" s="990"/>
      <c r="GI18" s="990"/>
      <c r="GJ18" s="990"/>
      <c r="GK18" s="990"/>
      <c r="GL18" s="990"/>
      <c r="GM18" s="990"/>
      <c r="GN18" s="990"/>
      <c r="GO18" s="990"/>
      <c r="GP18" s="990"/>
      <c r="GQ18" s="990"/>
      <c r="GR18" s="990"/>
      <c r="GS18" s="990"/>
      <c r="GT18" s="990"/>
      <c r="GU18" s="990"/>
      <c r="GV18" s="990"/>
      <c r="GW18" s="990"/>
      <c r="GX18" s="990"/>
      <c r="GY18" s="990"/>
      <c r="GZ18" s="990"/>
      <c r="HA18" s="990"/>
      <c r="HB18" s="990"/>
      <c r="HC18" s="990"/>
      <c r="HD18" s="990"/>
      <c r="HE18" s="990"/>
      <c r="HF18" s="990"/>
      <c r="HG18" s="990"/>
      <c r="HH18" s="990"/>
      <c r="HI18" s="990"/>
      <c r="HJ18" s="990"/>
      <c r="HK18" s="990"/>
      <c r="HL18" s="990"/>
      <c r="HM18" s="990"/>
      <c r="HN18" s="990"/>
      <c r="HO18" s="990"/>
      <c r="HP18" s="990"/>
      <c r="HQ18" s="990"/>
      <c r="HR18" s="990"/>
      <c r="HS18" s="990"/>
      <c r="HT18" s="990"/>
      <c r="HU18" s="990"/>
      <c r="HV18" s="990"/>
      <c r="HW18" s="990"/>
      <c r="HX18" s="990"/>
      <c r="HY18" s="990"/>
      <c r="HZ18" s="990"/>
      <c r="IA18" s="990"/>
      <c r="IB18" s="990"/>
      <c r="IC18" s="990"/>
      <c r="ID18" s="990"/>
      <c r="IE18" s="990"/>
      <c r="IF18" s="990"/>
      <c r="IG18" s="990"/>
      <c r="IH18" s="457"/>
      <c r="II18" s="457"/>
      <c r="IJ18" s="457"/>
      <c r="IK18" s="457"/>
      <c r="IL18" s="457"/>
      <c r="IM18" s="457"/>
      <c r="IN18" s="142"/>
      <c r="IO18" s="144"/>
      <c r="IP18" s="4"/>
      <c r="IQ18" s="991" t="s">
        <v>16</v>
      </c>
      <c r="IR18" s="992"/>
      <c r="IS18" s="992"/>
      <c r="IT18" s="992"/>
      <c r="IU18" s="992"/>
      <c r="IV18" s="992"/>
      <c r="IW18" s="993"/>
      <c r="IX18" s="7"/>
    </row>
    <row r="19" spans="2:258" ht="15.75" thickBot="1" x14ac:dyDescent="0.3">
      <c r="B19" s="79">
        <v>12</v>
      </c>
      <c r="C19" s="148">
        <v>3</v>
      </c>
      <c r="D19" s="487"/>
      <c r="E19" s="468">
        <f t="shared" si="0"/>
        <v>0.25429166666666664</v>
      </c>
      <c r="F19" s="468">
        <f t="shared" si="1"/>
        <v>0.28919444444444442</v>
      </c>
      <c r="G19" s="468">
        <f>CB22/((G$16*$B19)/144)</f>
        <v>0.30664583333333328</v>
      </c>
      <c r="H19" s="468">
        <f t="shared" si="3"/>
        <v>0.3171166666666666</v>
      </c>
      <c r="I19" s="468">
        <f t="shared" si="4"/>
        <v>0.3240972222222222</v>
      </c>
      <c r="J19" s="468">
        <f t="shared" si="5"/>
        <v>0.32908333333333334</v>
      </c>
      <c r="K19" s="468">
        <f t="shared" si="6"/>
        <v>0.33282291666666663</v>
      </c>
      <c r="L19" s="468">
        <f t="shared" si="7"/>
        <v>0.32908333333333334</v>
      </c>
      <c r="M19" s="468">
        <f t="shared" si="8"/>
        <v>0.33207500000000001</v>
      </c>
      <c r="N19" s="488"/>
      <c r="O19" s="488"/>
      <c r="P19" s="488"/>
      <c r="Q19" s="488"/>
      <c r="R19" s="488"/>
      <c r="S19" s="488"/>
      <c r="T19" s="488"/>
      <c r="U19" s="488"/>
      <c r="V19" s="488"/>
      <c r="W19" s="488"/>
      <c r="X19" s="76"/>
      <c r="Y19" s="46"/>
      <c r="AA19" s="61"/>
      <c r="AT19" s="3"/>
      <c r="AU19" s="985"/>
      <c r="AV19" s="986"/>
      <c r="AW19" s="9"/>
      <c r="AX19" s="145">
        <v>9</v>
      </c>
      <c r="AY19" s="11" t="str">
        <f>"("&amp;ROUND(AX19*25.4/50,0)*50&amp;")"</f>
        <v>(250)</v>
      </c>
      <c r="AZ19" s="12" t="s">
        <v>17</v>
      </c>
      <c r="BA19" s="12" t="s">
        <v>18</v>
      </c>
      <c r="BB19" s="12" t="s">
        <v>19</v>
      </c>
      <c r="BC19" s="12" t="s">
        <v>20</v>
      </c>
      <c r="BD19" s="12" t="s">
        <v>21</v>
      </c>
      <c r="BE19" s="12" t="s">
        <v>22</v>
      </c>
      <c r="BF19" s="12" t="s">
        <v>23</v>
      </c>
      <c r="BG19" s="12" t="s">
        <v>24</v>
      </c>
      <c r="BH19" s="10">
        <v>12</v>
      </c>
      <c r="BI19" s="11" t="str">
        <f>"("&amp;ROUND(BH19*25.4/50,0)*50&amp;")"</f>
        <v>(300)</v>
      </c>
      <c r="BJ19" s="12" t="s">
        <v>17</v>
      </c>
      <c r="BK19" s="12" t="s">
        <v>18</v>
      </c>
      <c r="BL19" s="12" t="s">
        <v>19</v>
      </c>
      <c r="BM19" s="12" t="s">
        <v>20</v>
      </c>
      <c r="BN19" s="12" t="s">
        <v>21</v>
      </c>
      <c r="BO19" s="12" t="s">
        <v>22</v>
      </c>
      <c r="BP19" s="12" t="s">
        <v>23</v>
      </c>
      <c r="BQ19" s="12" t="s">
        <v>24</v>
      </c>
      <c r="BR19" s="10">
        <f>BH19+6</f>
        <v>18</v>
      </c>
      <c r="BS19" s="11" t="str">
        <f>"("&amp;ROUND(BR19*25.4/50,0)*50&amp;")"</f>
        <v>(450)</v>
      </c>
      <c r="BT19" s="12" t="s">
        <v>17</v>
      </c>
      <c r="BU19" s="12" t="s">
        <v>18</v>
      </c>
      <c r="BV19" s="12" t="s">
        <v>19</v>
      </c>
      <c r="BW19" s="12" t="s">
        <v>20</v>
      </c>
      <c r="BX19" s="12" t="s">
        <v>21</v>
      </c>
      <c r="BY19" s="12" t="s">
        <v>22</v>
      </c>
      <c r="BZ19" s="12" t="s">
        <v>23</v>
      </c>
      <c r="CA19" s="12" t="s">
        <v>24</v>
      </c>
      <c r="CB19" s="10">
        <f>BR19+6</f>
        <v>24</v>
      </c>
      <c r="CC19" s="11" t="str">
        <f>"("&amp;ROUND(CB19*25.4/50,0)*50&amp;")"</f>
        <v>(600)</v>
      </c>
      <c r="CD19" s="12" t="s">
        <v>17</v>
      </c>
      <c r="CE19" s="12" t="s">
        <v>18</v>
      </c>
      <c r="CF19" s="12" t="s">
        <v>19</v>
      </c>
      <c r="CG19" s="12" t="s">
        <v>20</v>
      </c>
      <c r="CH19" s="12" t="s">
        <v>21</v>
      </c>
      <c r="CI19" s="12" t="s">
        <v>22</v>
      </c>
      <c r="CJ19" s="12" t="s">
        <v>23</v>
      </c>
      <c r="CK19" s="12" t="s">
        <v>24</v>
      </c>
      <c r="CL19" s="10">
        <f>CB19+6</f>
        <v>30</v>
      </c>
      <c r="CM19" s="11" t="str">
        <f>"("&amp;ROUND(CL19*25.4/50,0)*50&amp;")"</f>
        <v>(750)</v>
      </c>
      <c r="CN19" s="12" t="s">
        <v>17</v>
      </c>
      <c r="CO19" s="12" t="s">
        <v>18</v>
      </c>
      <c r="CP19" s="12" t="s">
        <v>19</v>
      </c>
      <c r="CQ19" s="12" t="s">
        <v>20</v>
      </c>
      <c r="CR19" s="12" t="s">
        <v>21</v>
      </c>
      <c r="CS19" s="12" t="s">
        <v>22</v>
      </c>
      <c r="CT19" s="12" t="s">
        <v>23</v>
      </c>
      <c r="CU19" s="12" t="s">
        <v>24</v>
      </c>
      <c r="CV19" s="10">
        <f>CL19+6</f>
        <v>36</v>
      </c>
      <c r="CW19" s="11" t="str">
        <f>"("&amp;ROUND(CV19*25.4/50,0)*50&amp;")"</f>
        <v>(900)</v>
      </c>
      <c r="CX19" s="12" t="s">
        <v>17</v>
      </c>
      <c r="CY19" s="12" t="s">
        <v>18</v>
      </c>
      <c r="CZ19" s="12" t="s">
        <v>19</v>
      </c>
      <c r="DA19" s="12" t="s">
        <v>20</v>
      </c>
      <c r="DB19" s="12" t="s">
        <v>21</v>
      </c>
      <c r="DC19" s="12" t="s">
        <v>22</v>
      </c>
      <c r="DD19" s="12" t="s">
        <v>23</v>
      </c>
      <c r="DE19" s="12" t="s">
        <v>24</v>
      </c>
      <c r="DF19" s="10">
        <f>CV19+6</f>
        <v>42</v>
      </c>
      <c r="DG19" s="11" t="str">
        <f>"("&amp;ROUND(DF19*25.4/50,0)*50&amp;")"</f>
        <v>(1050)</v>
      </c>
      <c r="DH19" s="12" t="s">
        <v>17</v>
      </c>
      <c r="DI19" s="12" t="s">
        <v>18</v>
      </c>
      <c r="DJ19" s="12" t="s">
        <v>19</v>
      </c>
      <c r="DK19" s="12" t="s">
        <v>20</v>
      </c>
      <c r="DL19" s="12" t="s">
        <v>21</v>
      </c>
      <c r="DM19" s="12" t="s">
        <v>22</v>
      </c>
      <c r="DN19" s="12" t="s">
        <v>23</v>
      </c>
      <c r="DO19" s="12" t="s">
        <v>24</v>
      </c>
      <c r="DP19" s="10">
        <f>DF19+6</f>
        <v>48</v>
      </c>
      <c r="DQ19" s="11" t="str">
        <f>"("&amp;ROUND(DP19*25.4/50,0)*50&amp;")"</f>
        <v>(1200)</v>
      </c>
      <c r="DR19" s="12" t="s">
        <v>17</v>
      </c>
      <c r="DS19" s="12" t="s">
        <v>18</v>
      </c>
      <c r="DT19" s="12" t="s">
        <v>19</v>
      </c>
      <c r="DU19" s="12" t="s">
        <v>20</v>
      </c>
      <c r="DV19" s="12" t="s">
        <v>21</v>
      </c>
      <c r="DW19" s="12" t="s">
        <v>22</v>
      </c>
      <c r="DX19" s="12" t="s">
        <v>23</v>
      </c>
      <c r="DY19" s="12" t="s">
        <v>24</v>
      </c>
      <c r="DZ19" s="10">
        <f>DP19+6</f>
        <v>54</v>
      </c>
      <c r="EA19" s="11" t="str">
        <f>"("&amp;ROUND(DZ19*25.4/50,0)*50&amp;")"</f>
        <v>(1350)</v>
      </c>
      <c r="EB19" s="12" t="s">
        <v>17</v>
      </c>
      <c r="EC19" s="12" t="s">
        <v>18</v>
      </c>
      <c r="ED19" s="12" t="s">
        <v>19</v>
      </c>
      <c r="EE19" s="12" t="s">
        <v>20</v>
      </c>
      <c r="EF19" s="12" t="s">
        <v>21</v>
      </c>
      <c r="EG19" s="12" t="s">
        <v>22</v>
      </c>
      <c r="EH19" s="12" t="s">
        <v>23</v>
      </c>
      <c r="EI19" s="12" t="s">
        <v>24</v>
      </c>
      <c r="EJ19" s="10">
        <f>DZ19+6</f>
        <v>60</v>
      </c>
      <c r="EK19" s="11" t="str">
        <f>"("&amp;ROUND(EJ19*25.4/50,0)*50&amp;")"</f>
        <v>(1500)</v>
      </c>
      <c r="EL19" s="12" t="s">
        <v>17</v>
      </c>
      <c r="EM19" s="12" t="s">
        <v>18</v>
      </c>
      <c r="EN19" s="12" t="s">
        <v>19</v>
      </c>
      <c r="EO19" s="12" t="s">
        <v>20</v>
      </c>
      <c r="EP19" s="12" t="s">
        <v>21</v>
      </c>
      <c r="EQ19" s="12" t="s">
        <v>22</v>
      </c>
      <c r="ER19" s="12" t="s">
        <v>23</v>
      </c>
      <c r="ES19" s="12" t="s">
        <v>24</v>
      </c>
      <c r="ET19" s="10">
        <f>EJ19+6</f>
        <v>66</v>
      </c>
      <c r="EU19" s="11" t="str">
        <f>"("&amp;ROUND(ET19*25.4/50,0)*50&amp;")"</f>
        <v>(1700)</v>
      </c>
      <c r="EV19" s="12" t="s">
        <v>17</v>
      </c>
      <c r="EW19" s="12" t="s">
        <v>18</v>
      </c>
      <c r="EX19" s="12" t="s">
        <v>19</v>
      </c>
      <c r="EY19" s="12" t="s">
        <v>20</v>
      </c>
      <c r="EZ19" s="12" t="s">
        <v>21</v>
      </c>
      <c r="FA19" s="12" t="s">
        <v>22</v>
      </c>
      <c r="FB19" s="12" t="s">
        <v>23</v>
      </c>
      <c r="FC19" s="12" t="s">
        <v>24</v>
      </c>
      <c r="FD19" s="10">
        <f>ET19+6</f>
        <v>72</v>
      </c>
      <c r="FE19" s="11" t="str">
        <f>"("&amp;ROUND(FD19*25.4/50,0)*50&amp;")"</f>
        <v>(1850)</v>
      </c>
      <c r="FF19" s="12" t="s">
        <v>17</v>
      </c>
      <c r="FG19" s="12" t="s">
        <v>18</v>
      </c>
      <c r="FH19" s="12" t="s">
        <v>19</v>
      </c>
      <c r="FI19" s="12" t="s">
        <v>20</v>
      </c>
      <c r="FJ19" s="12" t="s">
        <v>21</v>
      </c>
      <c r="FK19" s="12" t="s">
        <v>22</v>
      </c>
      <c r="FL19" s="12" t="s">
        <v>23</v>
      </c>
      <c r="FM19" s="12" t="s">
        <v>24</v>
      </c>
      <c r="FN19" s="10">
        <f>FD19+6</f>
        <v>78</v>
      </c>
      <c r="FO19" s="11" t="str">
        <f>"("&amp;ROUND(FN19*25.4/50,0)*50&amp;")"</f>
        <v>(2000)</v>
      </c>
      <c r="FP19" s="12" t="s">
        <v>17</v>
      </c>
      <c r="FQ19" s="12" t="s">
        <v>18</v>
      </c>
      <c r="FR19" s="12" t="s">
        <v>19</v>
      </c>
      <c r="FS19" s="12" t="s">
        <v>20</v>
      </c>
      <c r="FT19" s="12" t="s">
        <v>21</v>
      </c>
      <c r="FU19" s="12" t="s">
        <v>22</v>
      </c>
      <c r="FV19" s="12" t="s">
        <v>23</v>
      </c>
      <c r="FW19" s="12" t="s">
        <v>24</v>
      </c>
      <c r="FX19" s="10">
        <f>FN19+6</f>
        <v>84</v>
      </c>
      <c r="FY19" s="11" t="str">
        <f>"("&amp;ROUND(FX19*25.4/50,0)*50&amp;")"</f>
        <v>(2150)</v>
      </c>
      <c r="FZ19" s="12" t="s">
        <v>17</v>
      </c>
      <c r="GA19" s="12" t="s">
        <v>18</v>
      </c>
      <c r="GB19" s="12" t="s">
        <v>19</v>
      </c>
      <c r="GC19" s="12" t="s">
        <v>20</v>
      </c>
      <c r="GD19" s="12" t="s">
        <v>21</v>
      </c>
      <c r="GE19" s="12" t="s">
        <v>22</v>
      </c>
      <c r="GF19" s="12" t="s">
        <v>23</v>
      </c>
      <c r="GG19" s="12" t="s">
        <v>24</v>
      </c>
      <c r="GH19" s="10">
        <f>FX19+6</f>
        <v>90</v>
      </c>
      <c r="GI19" s="11" t="str">
        <f>"("&amp;ROUND(GH19*25.4/50,0)*50&amp;")"</f>
        <v>(2300)</v>
      </c>
      <c r="GJ19" s="12" t="s">
        <v>17</v>
      </c>
      <c r="GK19" s="12" t="s">
        <v>18</v>
      </c>
      <c r="GL19" s="12" t="s">
        <v>19</v>
      </c>
      <c r="GM19" s="12" t="s">
        <v>20</v>
      </c>
      <c r="GN19" s="12" t="s">
        <v>21</v>
      </c>
      <c r="GO19" s="12" t="s">
        <v>22</v>
      </c>
      <c r="GP19" s="12" t="s">
        <v>23</v>
      </c>
      <c r="GQ19" s="12" t="s">
        <v>24</v>
      </c>
      <c r="GR19" s="10">
        <f>GH19+6</f>
        <v>96</v>
      </c>
      <c r="GS19" s="11" t="str">
        <f>"("&amp;ROUND(GR19*25.4/50,0)*50&amp;")"</f>
        <v>(2450)</v>
      </c>
      <c r="GT19" s="12" t="s">
        <v>17</v>
      </c>
      <c r="GU19" s="12" t="s">
        <v>18</v>
      </c>
      <c r="GV19" s="12" t="s">
        <v>19</v>
      </c>
      <c r="GW19" s="12" t="s">
        <v>20</v>
      </c>
      <c r="GX19" s="12" t="s">
        <v>21</v>
      </c>
      <c r="GY19" s="12" t="s">
        <v>22</v>
      </c>
      <c r="GZ19" s="12" t="s">
        <v>23</v>
      </c>
      <c r="HA19" s="12" t="s">
        <v>24</v>
      </c>
      <c r="HB19" s="10">
        <f>GR19+6</f>
        <v>102</v>
      </c>
      <c r="HC19" s="11" t="str">
        <f>"("&amp;ROUND(HB19*25.4/50,0)*50&amp;")"</f>
        <v>(2600)</v>
      </c>
      <c r="HD19" s="12" t="s">
        <v>17</v>
      </c>
      <c r="HE19" s="12" t="s">
        <v>18</v>
      </c>
      <c r="HF19" s="12" t="s">
        <v>19</v>
      </c>
      <c r="HG19" s="12" t="s">
        <v>20</v>
      </c>
      <c r="HH19" s="12" t="s">
        <v>21</v>
      </c>
      <c r="HI19" s="12" t="s">
        <v>22</v>
      </c>
      <c r="HJ19" s="12" t="s">
        <v>23</v>
      </c>
      <c r="HK19" s="12" t="s">
        <v>24</v>
      </c>
      <c r="HL19" s="10">
        <f>HB19+6</f>
        <v>108</v>
      </c>
      <c r="HM19" s="11" t="str">
        <f>"("&amp;ROUND(HL19*25.4/50,0)*50&amp;")"</f>
        <v>(2750)</v>
      </c>
      <c r="HN19" s="12" t="s">
        <v>17</v>
      </c>
      <c r="HO19" s="12" t="s">
        <v>18</v>
      </c>
      <c r="HP19" s="12" t="s">
        <v>19</v>
      </c>
      <c r="HQ19" s="12" t="s">
        <v>20</v>
      </c>
      <c r="HR19" s="12" t="s">
        <v>21</v>
      </c>
      <c r="HS19" s="12" t="s">
        <v>22</v>
      </c>
      <c r="HT19" s="12" t="s">
        <v>23</v>
      </c>
      <c r="HU19" s="12" t="s">
        <v>24</v>
      </c>
      <c r="HV19" s="10">
        <f>HL19+6</f>
        <v>114</v>
      </c>
      <c r="HW19" s="11" t="str">
        <f>"("&amp;ROUND(HV19*25.4/50,0)*50&amp;")"</f>
        <v>(2900)</v>
      </c>
      <c r="HX19" s="12" t="s">
        <v>17</v>
      </c>
      <c r="HY19" s="12" t="s">
        <v>18</v>
      </c>
      <c r="HZ19" s="12" t="s">
        <v>19</v>
      </c>
      <c r="IA19" s="12" t="s">
        <v>20</v>
      </c>
      <c r="IB19" s="12" t="s">
        <v>21</v>
      </c>
      <c r="IC19" s="12" t="s">
        <v>22</v>
      </c>
      <c r="ID19" s="12" t="s">
        <v>23</v>
      </c>
      <c r="IE19" s="12" t="s">
        <v>24</v>
      </c>
      <c r="IF19" s="10">
        <f>HV19+6</f>
        <v>120</v>
      </c>
      <c r="IG19" s="11" t="str">
        <f>"("&amp;ROUND(IF19*25.4/50,0)*50&amp;")"</f>
        <v>(3050)</v>
      </c>
      <c r="IH19" s="12" t="s">
        <v>17</v>
      </c>
      <c r="II19" s="12" t="s">
        <v>18</v>
      </c>
      <c r="IJ19" s="12" t="s">
        <v>19</v>
      </c>
      <c r="IK19" s="12" t="s">
        <v>20</v>
      </c>
      <c r="IL19" s="12" t="s">
        <v>21</v>
      </c>
      <c r="IM19" s="12" t="s">
        <v>22</v>
      </c>
      <c r="IN19" s="12" t="s">
        <v>23</v>
      </c>
      <c r="IO19" s="12" t="s">
        <v>24</v>
      </c>
      <c r="IP19" s="14"/>
      <c r="IQ19" s="15" t="s">
        <v>25</v>
      </c>
      <c r="IR19" s="15" t="s">
        <v>26</v>
      </c>
      <c r="IS19" s="15" t="s">
        <v>27</v>
      </c>
      <c r="IT19" s="15" t="s">
        <v>28</v>
      </c>
      <c r="IU19" s="15" t="s">
        <v>29</v>
      </c>
      <c r="IV19" s="15" t="s">
        <v>30</v>
      </c>
      <c r="IW19" s="15" t="s">
        <v>31</v>
      </c>
      <c r="IX19" s="7"/>
    </row>
    <row r="20" spans="2:258" ht="15.75" thickBot="1" x14ac:dyDescent="0.3">
      <c r="B20" s="79">
        <f>B19+6</f>
        <v>18</v>
      </c>
      <c r="C20" s="147">
        <v>4</v>
      </c>
      <c r="D20" s="487"/>
      <c r="E20" s="468">
        <f t="shared" si="0"/>
        <v>0.31501157407407404</v>
      </c>
      <c r="F20" s="468">
        <f t="shared" si="1"/>
        <v>0.3582484567901234</v>
      </c>
      <c r="G20" s="468">
        <f t="shared" si="2"/>
        <v>0.37986689814814811</v>
      </c>
      <c r="H20" s="468">
        <f t="shared" si="3"/>
        <v>0.39283796296296292</v>
      </c>
      <c r="I20" s="468">
        <f t="shared" si="4"/>
        <v>0.40148533950617282</v>
      </c>
      <c r="J20" s="468">
        <f t="shared" si="5"/>
        <v>0.40766203703703702</v>
      </c>
      <c r="K20" s="468">
        <f t="shared" si="6"/>
        <v>0.41229456018518512</v>
      </c>
      <c r="L20" s="468">
        <f t="shared" si="7"/>
        <v>0.40766203703703702</v>
      </c>
      <c r="M20" s="468">
        <f t="shared" si="8"/>
        <v>0.41136805555555545</v>
      </c>
      <c r="N20" s="488"/>
      <c r="O20" s="488"/>
      <c r="P20" s="488"/>
      <c r="Q20" s="488"/>
      <c r="R20" s="488"/>
      <c r="S20" s="488"/>
      <c r="T20" s="488"/>
      <c r="U20" s="488"/>
      <c r="V20" s="488"/>
      <c r="W20" s="488"/>
      <c r="X20" s="76"/>
      <c r="Y20" s="46"/>
      <c r="AA20" s="61"/>
      <c r="AT20" s="3"/>
      <c r="AU20" s="9"/>
      <c r="AV20" s="16"/>
      <c r="AW20" s="17"/>
      <c r="AX20" s="17"/>
      <c r="AY20" s="17"/>
      <c r="AZ20" s="11"/>
      <c r="BA20" s="11"/>
      <c r="BB20" s="11"/>
      <c r="BC20" s="11"/>
      <c r="BD20" s="11"/>
      <c r="BE20" s="11"/>
      <c r="BF20" s="11"/>
      <c r="BG20" s="11"/>
      <c r="BH20" s="10"/>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4"/>
      <c r="IQ20" s="15"/>
      <c r="IR20" s="15"/>
      <c r="IS20" s="15"/>
      <c r="IT20" s="15"/>
      <c r="IU20" s="15"/>
      <c r="IV20" s="15"/>
      <c r="IW20" s="15"/>
      <c r="IX20" s="7"/>
    </row>
    <row r="21" spans="2:258" ht="18" customHeight="1" thickBot="1" x14ac:dyDescent="0.3">
      <c r="B21" s="79">
        <f t="shared" ref="B21:B37" si="9">B20+6</f>
        <v>24</v>
      </c>
      <c r="C21" s="148">
        <v>5</v>
      </c>
      <c r="D21" s="487"/>
      <c r="E21" s="468">
        <f t="shared" si="0"/>
        <v>0.31311284722222221</v>
      </c>
      <c r="F21" s="468">
        <f t="shared" si="1"/>
        <v>0.35608912037037038</v>
      </c>
      <c r="G21" s="468">
        <f t="shared" si="2"/>
        <v>0.37757725694444444</v>
      </c>
      <c r="H21" s="468">
        <f t="shared" si="3"/>
        <v>0.39047013888888893</v>
      </c>
      <c r="I21" s="468">
        <f t="shared" si="4"/>
        <v>0.3990653935185185</v>
      </c>
      <c r="J21" s="468">
        <f t="shared" si="5"/>
        <v>0.40520486111111115</v>
      </c>
      <c r="K21" s="468">
        <f t="shared" si="6"/>
        <v>0.40980946180555555</v>
      </c>
      <c r="L21" s="468">
        <f t="shared" si="7"/>
        <v>0.40520486111111109</v>
      </c>
      <c r="M21" s="468">
        <f t="shared" si="8"/>
        <v>0.40888854166666666</v>
      </c>
      <c r="N21" s="488"/>
      <c r="O21" s="488"/>
      <c r="P21" s="488"/>
      <c r="Q21" s="488"/>
      <c r="R21" s="488"/>
      <c r="S21" s="488"/>
      <c r="T21" s="488"/>
      <c r="U21" s="488"/>
      <c r="V21" s="488"/>
      <c r="W21" s="488"/>
      <c r="X21" s="76"/>
      <c r="Y21" s="46"/>
      <c r="AA21" s="61"/>
      <c r="AT21" s="3"/>
      <c r="AU21" s="145">
        <f>H5</f>
        <v>10.5</v>
      </c>
      <c r="AV21" s="11" t="str">
        <f t="shared" ref="AV21:AV40" si="10">"("&amp;ROUND(AU21*25.4/50,0)*50&amp;")"</f>
        <v>(250)</v>
      </c>
      <c r="AW21" s="146"/>
      <c r="AX21" s="19">
        <f t="shared" ref="AX21:AX40" si="11">($IR21+(($IQ21-1)*$IS21)+$IT21)*BG21/144</f>
        <v>0.10262847222222221</v>
      </c>
      <c r="AY21" s="20" t="str">
        <f t="shared" ref="AY21:AY40" si="12">"("&amp;FIXED(AX21*0.092903,2)&amp;")"</f>
        <v>(0.01)</v>
      </c>
      <c r="AZ21" s="21">
        <v>2</v>
      </c>
      <c r="BA21" s="21">
        <f t="shared" ref="BA21:BA40" si="13">$IU$22*AZ21</f>
        <v>3.5</v>
      </c>
      <c r="BB21" s="21">
        <v>0</v>
      </c>
      <c r="BC21" s="21">
        <f t="shared" ref="BC21:BC40" si="14">$IW$22*BB21</f>
        <v>0</v>
      </c>
      <c r="BD21" s="21">
        <v>0</v>
      </c>
      <c r="BE21" s="21">
        <f t="shared" ref="BE21:BE40" si="15">$IV$22*BD21</f>
        <v>0</v>
      </c>
      <c r="BF21" s="21">
        <f t="shared" ref="BF21:BF40" si="16">BA21+BC21+BE21</f>
        <v>3.5</v>
      </c>
      <c r="BG21" s="22">
        <f t="shared" ref="BG21:BG40" si="17">AX$19-BA21-BC21-BE21</f>
        <v>5.5</v>
      </c>
      <c r="BH21" s="19">
        <f t="shared" ref="BH21:BH40" si="18">($IR21+(($IQ21-1)*$IS21)+$IT21)*BQ21/144</f>
        <v>0.15860763888888887</v>
      </c>
      <c r="BI21" s="20" t="str">
        <f t="shared" ref="BI21:BI40" si="19">"("&amp;FIXED(BH21*0.092903,2)&amp;")"</f>
        <v>(0.01)</v>
      </c>
      <c r="BJ21" s="21">
        <v>2</v>
      </c>
      <c r="BK21" s="21">
        <f t="shared" ref="BK21:BK40" si="20">$IU$22*BJ21</f>
        <v>3.5</v>
      </c>
      <c r="BL21" s="21">
        <v>0</v>
      </c>
      <c r="BM21" s="21">
        <f t="shared" ref="BM21:BM40" si="21">$IW$22*BL21</f>
        <v>0</v>
      </c>
      <c r="BN21" s="21">
        <v>0</v>
      </c>
      <c r="BO21" s="21">
        <f t="shared" ref="BO21:BO40" si="22">$IV$22*BN21</f>
        <v>0</v>
      </c>
      <c r="BP21" s="21">
        <f t="shared" ref="BP21:BP40" si="23">BK21+BM21+BO21</f>
        <v>3.5</v>
      </c>
      <c r="BQ21" s="22">
        <f t="shared" ref="BQ21:BQ40" si="24">BH$19-BK21-BM21-BO21</f>
        <v>8.5</v>
      </c>
      <c r="BR21" s="19">
        <f t="shared" ref="BR21:BR40" si="25">($IR21+(($IQ21-1)*$IS21)+$IT21)*CA21/144</f>
        <v>0.27056597222222223</v>
      </c>
      <c r="BS21" s="20" t="str">
        <f t="shared" ref="BS21:BS40" si="26">"("&amp;ROUND(BR21*0.092903,2)&amp;")"</f>
        <v>(0.03)</v>
      </c>
      <c r="BT21" s="21">
        <v>2</v>
      </c>
      <c r="BU21" s="21">
        <f t="shared" ref="BU21:BU40" si="27">$IU$22*BT21</f>
        <v>3.5</v>
      </c>
      <c r="BV21" s="21">
        <v>0</v>
      </c>
      <c r="BW21" s="21">
        <f t="shared" ref="BW21:BW40" si="28">$IW$22*BV21</f>
        <v>0</v>
      </c>
      <c r="BX21" s="21">
        <v>0</v>
      </c>
      <c r="BY21" s="21">
        <f t="shared" ref="BY21:BY40" si="29">$IV$22*BX21</f>
        <v>0</v>
      </c>
      <c r="BZ21" s="21">
        <f t="shared" ref="BZ21:BZ40" si="30">BU21+BW21+BY21</f>
        <v>3.5</v>
      </c>
      <c r="CA21" s="22">
        <f t="shared" ref="CA21:CA40" si="31">BR$19-BU21-BW21-BY21</f>
        <v>14.5</v>
      </c>
      <c r="CB21" s="19">
        <f t="shared" ref="CB21:CB40" si="32">($IR21+(($IQ21-1)*$IS21)+$IT21)*CK21/144</f>
        <v>0.3825243055555555</v>
      </c>
      <c r="CC21" s="20" t="str">
        <f t="shared" ref="CC21:CC40" si="33">"("&amp;ROUND(CB21*0.092903,2)&amp;")"</f>
        <v>(0.04)</v>
      </c>
      <c r="CD21" s="21">
        <v>2</v>
      </c>
      <c r="CE21" s="21">
        <f t="shared" ref="CE21:CE40" si="34">$IU$22*CD21</f>
        <v>3.5</v>
      </c>
      <c r="CF21" s="21">
        <v>0</v>
      </c>
      <c r="CG21" s="21">
        <f t="shared" ref="CG21:CG40" si="35">$IW$22*CF21</f>
        <v>0</v>
      </c>
      <c r="CH21" s="21">
        <v>0</v>
      </c>
      <c r="CI21" s="21">
        <f t="shared" ref="CI21:CI40" si="36">$IV$22*CH21</f>
        <v>0</v>
      </c>
      <c r="CJ21" s="21">
        <f t="shared" ref="CJ21:CJ40" si="37">CE21+CG21+CI21</f>
        <v>3.5</v>
      </c>
      <c r="CK21" s="22">
        <f t="shared" ref="CK21:CK40" si="38">CB$19-CE21-CG21-CI21</f>
        <v>20.5</v>
      </c>
      <c r="CL21" s="19">
        <f t="shared" ref="CL21:CL40" si="39">($IR21+(($IQ21-1)*$IS21)+$IT21)*CU21/144</f>
        <v>0.49448263888888888</v>
      </c>
      <c r="CM21" s="20" t="str">
        <f t="shared" ref="CM21:CM40" si="40">"("&amp;ROUND(CL21*0.092903,2)&amp;")"</f>
        <v>(0.05)</v>
      </c>
      <c r="CN21" s="21">
        <v>2</v>
      </c>
      <c r="CO21" s="21">
        <f t="shared" ref="CO21:CO40" si="41">$IU$22*CN21</f>
        <v>3.5</v>
      </c>
      <c r="CP21" s="21">
        <v>0</v>
      </c>
      <c r="CQ21" s="21">
        <f t="shared" ref="CQ21:CQ40" si="42">$IW$22*CP21</f>
        <v>0</v>
      </c>
      <c r="CR21" s="21">
        <v>0</v>
      </c>
      <c r="CS21" s="21">
        <f t="shared" ref="CS21:CS40" si="43">$IV$22*CR21</f>
        <v>0</v>
      </c>
      <c r="CT21" s="21">
        <f t="shared" ref="CT21:CT40" si="44">CO21+CQ21+CS21</f>
        <v>3.5</v>
      </c>
      <c r="CU21" s="22">
        <f t="shared" ref="CU21:CU40" si="45">CL$19-CO21-CQ21-CS21</f>
        <v>26.5</v>
      </c>
      <c r="CV21" s="19">
        <f t="shared" ref="CV21:CV40" si="46">($IR21+(($IQ21-1)*$IS21)+$IT21)*DE21/144</f>
        <v>0.60644097222222226</v>
      </c>
      <c r="CW21" s="20" t="str">
        <f t="shared" ref="CW21:CW40" si="47">"("&amp;ROUND(CV21*0.092903,2)&amp;")"</f>
        <v>(0.06)</v>
      </c>
      <c r="CX21" s="21">
        <v>2</v>
      </c>
      <c r="CY21" s="21">
        <f t="shared" ref="CY21:CY40" si="48">$IU$22*CX21</f>
        <v>3.5</v>
      </c>
      <c r="CZ21" s="21">
        <v>0</v>
      </c>
      <c r="DA21" s="21">
        <f t="shared" ref="DA21:DA40" si="49">$IW$22*CZ21</f>
        <v>0</v>
      </c>
      <c r="DB21" s="21">
        <v>0</v>
      </c>
      <c r="DC21" s="21">
        <f t="shared" ref="DC21:DC40" si="50">$IV$22*DB21</f>
        <v>0</v>
      </c>
      <c r="DD21" s="21">
        <f t="shared" ref="DD21:DD40" si="51">CY21+DA21+DC21</f>
        <v>3.5</v>
      </c>
      <c r="DE21" s="22">
        <f t="shared" ref="DE21:DE40" si="52">CV$19-CY21-DA21-DC21</f>
        <v>32.5</v>
      </c>
      <c r="DF21" s="19">
        <f t="shared" ref="DF21:DF40" si="53">($IR21+(($IQ21-1)*$IS21)+$IT21)*DO21/144</f>
        <v>0.71839930555555553</v>
      </c>
      <c r="DG21" s="20" t="str">
        <f t="shared" ref="DG21:DG40" si="54">"("&amp;ROUND(DF21*0.092903,2)&amp;")"</f>
        <v>(0.07)</v>
      </c>
      <c r="DH21" s="21">
        <v>2</v>
      </c>
      <c r="DI21" s="21">
        <f t="shared" ref="DI21:DI40" si="55">$IU$22*DH21</f>
        <v>3.5</v>
      </c>
      <c r="DJ21" s="21">
        <v>0</v>
      </c>
      <c r="DK21" s="21">
        <f t="shared" ref="DK21:DK40" si="56">$IW$22*DJ21</f>
        <v>0</v>
      </c>
      <c r="DL21" s="21">
        <v>0</v>
      </c>
      <c r="DM21" s="21">
        <f t="shared" ref="DM21:DM40" si="57">$IV$22*DL21</f>
        <v>0</v>
      </c>
      <c r="DN21" s="21">
        <f t="shared" ref="DN21:DN40" si="58">DI21+DK21+DM21</f>
        <v>3.5</v>
      </c>
      <c r="DO21" s="22">
        <f t="shared" ref="DO21:DO40" si="59">DF$19-DI21-DK21-DM21</f>
        <v>38.5</v>
      </c>
      <c r="DP21" s="19">
        <f t="shared" ref="DP21:DP40" si="60">($IR21+(($IQ21-1)*$IS21)+$IT21)*DY21/144</f>
        <v>0.8303576388888888</v>
      </c>
      <c r="DQ21" s="20" t="str">
        <f t="shared" ref="DQ21:DQ40" si="61">"("&amp;ROUND(DP21*0.092903,2)&amp;")"</f>
        <v>(0.08)</v>
      </c>
      <c r="DR21" s="21">
        <v>2</v>
      </c>
      <c r="DS21" s="21">
        <f t="shared" ref="DS21:DS40" si="62">$IU$22*DR21</f>
        <v>3.5</v>
      </c>
      <c r="DT21" s="21">
        <v>0</v>
      </c>
      <c r="DU21" s="21">
        <f t="shared" ref="DU21:DU40" si="63">$IW$22*DT21</f>
        <v>0</v>
      </c>
      <c r="DV21" s="21">
        <v>0</v>
      </c>
      <c r="DW21" s="21">
        <f t="shared" ref="DW21:DW40" si="64">$IV$22*DV21</f>
        <v>0</v>
      </c>
      <c r="DX21" s="21">
        <f t="shared" ref="DX21:DX40" si="65">DS21+DU21+DW21</f>
        <v>3.5</v>
      </c>
      <c r="DY21" s="22">
        <f t="shared" ref="DY21:DY40" si="66">DP$19-DS21-DU21-DW21</f>
        <v>44.5</v>
      </c>
      <c r="DZ21" s="19">
        <f t="shared" ref="DZ21:DZ40" si="67">($IR21+(($IQ21-1)*$IS21)+$IT21)*EI21/144</f>
        <v>0.92365624999999996</v>
      </c>
      <c r="EA21" s="20" t="str">
        <f t="shared" ref="EA21:EA40" si="68">"("&amp;FIXED(DZ21*0.092903,2)&amp;")"</f>
        <v>(0.09)</v>
      </c>
      <c r="EB21" s="21">
        <v>2</v>
      </c>
      <c r="EC21" s="21">
        <f t="shared" ref="EC21:EC40" si="69">$IU$22*EB21</f>
        <v>3.5</v>
      </c>
      <c r="ED21" s="21">
        <v>0</v>
      </c>
      <c r="EE21" s="21">
        <f t="shared" ref="EE21:EE40" si="70">$IW$22*ED21</f>
        <v>0</v>
      </c>
      <c r="EF21" s="21">
        <v>1</v>
      </c>
      <c r="EG21" s="21">
        <f t="shared" ref="EG21:EG40" si="71">$IV$22*EF21</f>
        <v>1</v>
      </c>
      <c r="EH21" s="21">
        <f t="shared" ref="EH21:EH40" si="72">EC21+EE21+EG21</f>
        <v>4.5</v>
      </c>
      <c r="EI21" s="22">
        <f t="shared" ref="EI21:EI40" si="73">DZ$19-EC21-EE21-EG21</f>
        <v>49.5</v>
      </c>
      <c r="EJ21" s="19">
        <f t="shared" ref="EJ21:EJ40" si="74">($IR21+(($IQ21-1)*$IS21)+$IT21)*ES21/144</f>
        <v>1.0356145833333334</v>
      </c>
      <c r="EK21" s="20" t="str">
        <f t="shared" ref="EK21:EK40" si="75">"("&amp;FIXED(EJ21*0.092903,2)&amp;")"</f>
        <v>(0.10)</v>
      </c>
      <c r="EL21" s="21">
        <v>2</v>
      </c>
      <c r="EM21" s="21">
        <f t="shared" ref="EM21:EM40" si="76">$IU$22*EL21</f>
        <v>3.5</v>
      </c>
      <c r="EN21" s="21">
        <v>0</v>
      </c>
      <c r="EO21" s="21">
        <f t="shared" ref="EO21:EO40" si="77">$IW$22*EN21</f>
        <v>0</v>
      </c>
      <c r="EP21" s="21">
        <v>1</v>
      </c>
      <c r="EQ21" s="21">
        <f t="shared" ref="EQ21:EQ40" si="78">$IV$22*EP21</f>
        <v>1</v>
      </c>
      <c r="ER21" s="21">
        <f t="shared" ref="ER21:ER40" si="79">EM21+EO21+EQ21</f>
        <v>4.5</v>
      </c>
      <c r="ES21" s="22">
        <f t="shared" ref="ES21:ES40" si="80">EJ$19-EM21-EO21-EQ21</f>
        <v>55.5</v>
      </c>
      <c r="ET21" s="19">
        <f t="shared" ref="ET21:ET40" si="81">($IR21+(($IQ21-1)*$IS21)+$IT21)*FC21/144</f>
        <v>1.1475729166666666</v>
      </c>
      <c r="EU21" s="20" t="str">
        <f t="shared" ref="EU21:EU40" si="82">"("&amp;FIXED(ET21*0.092903,2)&amp;")"</f>
        <v>(0.11)</v>
      </c>
      <c r="EV21" s="21">
        <v>2</v>
      </c>
      <c r="EW21" s="21">
        <f t="shared" ref="EW21:EW40" si="83">$IU$22*EV21</f>
        <v>3.5</v>
      </c>
      <c r="EX21" s="21">
        <v>0</v>
      </c>
      <c r="EY21" s="21">
        <f t="shared" ref="EY21:EY40" si="84">$IW$22*EX21</f>
        <v>0</v>
      </c>
      <c r="EZ21" s="21">
        <v>1</v>
      </c>
      <c r="FA21" s="21">
        <f t="shared" ref="FA21:FA40" si="85">$IV$22*EZ21</f>
        <v>1</v>
      </c>
      <c r="FB21" s="21">
        <f t="shared" ref="FB21:FB40" si="86">EW21+EY21+FA21</f>
        <v>4.5</v>
      </c>
      <c r="FC21" s="22">
        <f t="shared" ref="FC21:FC40" si="87">ET$19-EW21-EY21-FA21</f>
        <v>61.5</v>
      </c>
      <c r="FD21" s="19">
        <f t="shared" ref="FD21:FD40" si="88">($IR21+(($IQ21-1)*$IS21)+$IT21)*FM21/144</f>
        <v>1.2781909722222222</v>
      </c>
      <c r="FE21" s="20" t="str">
        <f t="shared" ref="FE21:FE40" si="89">"("&amp;FIXED(FD21*0.092903,2)&amp;")"</f>
        <v>(0.12)</v>
      </c>
      <c r="FF21" s="21">
        <v>2</v>
      </c>
      <c r="FG21" s="21">
        <f t="shared" ref="FG21:FG40" si="90">$IU$22*FF21</f>
        <v>3.5</v>
      </c>
      <c r="FH21" s="469">
        <v>0</v>
      </c>
      <c r="FI21" s="21">
        <f t="shared" ref="FI21:FI40" si="91">$IW$22*FH21</f>
        <v>0</v>
      </c>
      <c r="FJ21" s="21">
        <v>0</v>
      </c>
      <c r="FK21" s="21">
        <f t="shared" ref="FK21:FK40" si="92">$IV$22*FJ21</f>
        <v>0</v>
      </c>
      <c r="FL21" s="21">
        <f t="shared" ref="FL21:FL40" si="93">FG21+FI21+FK21</f>
        <v>3.5</v>
      </c>
      <c r="FM21" s="22">
        <f t="shared" ref="FM21:FM40" si="94">FD$19-FG21-FI21-FK21</f>
        <v>68.5</v>
      </c>
      <c r="FN21" s="19">
        <f t="shared" ref="FN21:FN32" si="95">($IR21+(($IQ21-1)*$IS21)+$IT21)*FW21/144</f>
        <v>1.3691571180555555</v>
      </c>
      <c r="FO21" s="20" t="str">
        <f t="shared" ref="FO21:FO32" si="96">"("&amp;FIXED(FN21*0.092903,2)&amp;")"</f>
        <v>(0.13)</v>
      </c>
      <c r="FP21" s="21">
        <v>2</v>
      </c>
      <c r="FQ21" s="21">
        <f t="shared" ref="FQ21:FQ32" si="97">$IU$22*FP21</f>
        <v>3.5</v>
      </c>
      <c r="FR21" s="21">
        <v>1</v>
      </c>
      <c r="FS21" s="21">
        <f t="shared" ref="FS21:FS32" si="98">$IW$22*FR21</f>
        <v>1.125</v>
      </c>
      <c r="FT21" s="21">
        <v>0</v>
      </c>
      <c r="FU21" s="21">
        <f t="shared" ref="FU21:FU32" si="99">$IV$22*FT21</f>
        <v>0</v>
      </c>
      <c r="FV21" s="21">
        <f t="shared" ref="FV21:FV32" si="100">FQ21+FS21+FU21</f>
        <v>4.625</v>
      </c>
      <c r="FW21" s="22">
        <f t="shared" ref="FW21:FW32" si="101">FN$19-FQ21-FS21-FU21</f>
        <v>73.375</v>
      </c>
      <c r="FX21" s="19">
        <f t="shared" ref="FX21:FX32" si="102">($IR21+(($IQ21-1)*$IS21)+$IT21)*GG21/144</f>
        <v>1.4811154513888889</v>
      </c>
      <c r="FY21" s="20" t="str">
        <f t="shared" ref="FY21:FY32" si="103">"("&amp;FIXED(FX21*0.092903,2)&amp;")"</f>
        <v>(0.14)</v>
      </c>
      <c r="FZ21" s="21">
        <v>2</v>
      </c>
      <c r="GA21" s="21">
        <f t="shared" ref="GA21:GA32" si="104">$IU$22*FZ21</f>
        <v>3.5</v>
      </c>
      <c r="GB21" s="21">
        <v>1</v>
      </c>
      <c r="GC21" s="21">
        <f t="shared" ref="GC21:GC32" si="105">$IW$22*GB21</f>
        <v>1.125</v>
      </c>
      <c r="GD21" s="21">
        <v>0</v>
      </c>
      <c r="GE21" s="21">
        <f t="shared" ref="GE21:GE32" si="106">$IV$22*GD21</f>
        <v>0</v>
      </c>
      <c r="GF21" s="21">
        <f t="shared" ref="GF21:GF32" si="107">GA21+GC21+GE21</f>
        <v>4.625</v>
      </c>
      <c r="GG21" s="22">
        <f t="shared" ref="GG21:GG32" si="108">FX$19-GA21-GC21-GE21</f>
        <v>79.375</v>
      </c>
      <c r="GH21" s="19">
        <f t="shared" ref="GH21:GH32" si="109">($IR21+(($IQ21-1)*$IS21)+$IT21)*GQ21/144</f>
        <v>1.5930737847222221</v>
      </c>
      <c r="GI21" s="20" t="str">
        <f t="shared" ref="GI21:GI32" si="110">"("&amp;FIXED(GH21*0.092903,2)&amp;")"</f>
        <v>(0.15)</v>
      </c>
      <c r="GJ21" s="21">
        <v>2</v>
      </c>
      <c r="GK21" s="21">
        <f t="shared" ref="GK21:GK32" si="111">$IU$22*GJ21</f>
        <v>3.5</v>
      </c>
      <c r="GL21" s="21">
        <v>1</v>
      </c>
      <c r="GM21" s="21">
        <f t="shared" ref="GM21:GM32" si="112">$IW$22*GL21</f>
        <v>1.125</v>
      </c>
      <c r="GN21" s="21">
        <v>0</v>
      </c>
      <c r="GO21" s="21">
        <f t="shared" ref="GO21:GO32" si="113">$IV$22*GN21</f>
        <v>0</v>
      </c>
      <c r="GP21" s="21">
        <f t="shared" ref="GP21:GP32" si="114">GK21+GM21+GO21</f>
        <v>4.625</v>
      </c>
      <c r="GQ21" s="22">
        <f t="shared" ref="GQ21:GQ32" si="115">GH$19-GK21-GM21-GO21</f>
        <v>85.375</v>
      </c>
      <c r="GR21" s="19">
        <f t="shared" ref="GR21:GR32" si="116">($IR21+(($IQ21-1)*$IS21)+$IT21)*HA21/144</f>
        <v>1.7050321180555554</v>
      </c>
      <c r="GS21" s="20" t="str">
        <f t="shared" ref="GS21:GS32" si="117">"("&amp;FIXED(GR21*0.092903,2)&amp;")"</f>
        <v>(0.16)</v>
      </c>
      <c r="GT21" s="21">
        <v>2</v>
      </c>
      <c r="GU21" s="21">
        <f t="shared" ref="GU21:GU32" si="118">$IU$22*GT21</f>
        <v>3.5</v>
      </c>
      <c r="GV21" s="21">
        <v>1</v>
      </c>
      <c r="GW21" s="21">
        <f t="shared" ref="GW21:GW32" si="119">$IW$22*GV21</f>
        <v>1.125</v>
      </c>
      <c r="GX21" s="21">
        <v>0</v>
      </c>
      <c r="GY21" s="21">
        <f t="shared" ref="GY21:GY32" si="120">$IV$22*GX21</f>
        <v>0</v>
      </c>
      <c r="GZ21" s="21">
        <f t="shared" ref="GZ21:GZ32" si="121">GU21+GW21+GY21</f>
        <v>4.625</v>
      </c>
      <c r="HA21" s="22">
        <f t="shared" ref="HA21:HA32" si="122">GR$19-GU21-GW21-GY21</f>
        <v>91.375</v>
      </c>
      <c r="HB21" s="19">
        <f t="shared" ref="HB21:HB32" si="123">($IR21+(($IQ21-1)*$IS21)+$IT21)*HK21/144</f>
        <v>1.8169904513888886</v>
      </c>
      <c r="HC21" s="20" t="str">
        <f t="shared" ref="HC21:HC32" si="124">"("&amp;FIXED(HB21*0.092903,2)&amp;")"</f>
        <v>(0.17)</v>
      </c>
      <c r="HD21" s="21">
        <v>2</v>
      </c>
      <c r="HE21" s="21">
        <f t="shared" ref="HE21:HE32" si="125">$IU$22*HD21</f>
        <v>3.5</v>
      </c>
      <c r="HF21" s="21">
        <v>1</v>
      </c>
      <c r="HG21" s="21">
        <f t="shared" ref="HG21:HG32" si="126">$IW$22*HF21</f>
        <v>1.125</v>
      </c>
      <c r="HH21" s="21">
        <v>0</v>
      </c>
      <c r="HI21" s="21">
        <f t="shared" ref="HI21:HI32" si="127">$IV$22*HH21</f>
        <v>0</v>
      </c>
      <c r="HJ21" s="21">
        <f t="shared" ref="HJ21:HJ32" si="128">HE21+HG21+HI21</f>
        <v>4.625</v>
      </c>
      <c r="HK21" s="22">
        <f t="shared" ref="HK21:HK32" si="129">HB$19-HE21-HG21-HI21</f>
        <v>97.375</v>
      </c>
      <c r="HL21" s="19">
        <f t="shared" ref="HL21:HL32" si="130">($IR21+(($IQ21-1)*$IS21)+$IT21)*HU21/144</f>
        <v>1.8916293402777775</v>
      </c>
      <c r="HM21" s="20" t="str">
        <f t="shared" ref="HM21:HM32" si="131">"("&amp;FIXED(HL21*0.092903,2)&amp;")"</f>
        <v>(0.18)</v>
      </c>
      <c r="HN21" s="21">
        <v>2</v>
      </c>
      <c r="HO21" s="21">
        <f t="shared" ref="HO21:HO32" si="132">$IU$22*HN21</f>
        <v>3.5</v>
      </c>
      <c r="HP21" s="21">
        <v>1</v>
      </c>
      <c r="HQ21" s="21">
        <f t="shared" ref="HQ21:HQ32" si="133">$IW$22*HP21</f>
        <v>1.125</v>
      </c>
      <c r="HR21" s="21">
        <v>2</v>
      </c>
      <c r="HS21" s="21">
        <f t="shared" ref="HS21:HS32" si="134">$IV$22*HR21</f>
        <v>2</v>
      </c>
      <c r="HT21" s="21">
        <f t="shared" ref="HT21:HT32" si="135">HO21+HQ21+HS21</f>
        <v>6.625</v>
      </c>
      <c r="HU21" s="22">
        <f t="shared" ref="HU21:HU32" si="136">HL$19-HO21-HQ21-HS21</f>
        <v>101.375</v>
      </c>
      <c r="HV21" s="19">
        <f t="shared" ref="HV21:HV32" si="137">($IR21+(($IQ21-1)*$IS21)+$IT21)*IE21/144</f>
        <v>2.0035876736111109</v>
      </c>
      <c r="HW21" s="20" t="str">
        <f t="shared" ref="HW21:HW32" si="138">"("&amp;FIXED(HV21*0.092903,2)&amp;")"</f>
        <v>(0.19)</v>
      </c>
      <c r="HX21" s="21">
        <v>2</v>
      </c>
      <c r="HY21" s="21">
        <f t="shared" ref="HY21:HY32" si="139">$IU$22*HX21</f>
        <v>3.5</v>
      </c>
      <c r="HZ21" s="21">
        <v>1</v>
      </c>
      <c r="IA21" s="21">
        <f t="shared" ref="IA21:IA32" si="140">$IW$22*HZ21</f>
        <v>1.125</v>
      </c>
      <c r="IB21" s="21">
        <v>2</v>
      </c>
      <c r="IC21" s="21">
        <f t="shared" ref="IC21:IC32" si="141">$IV$22*IB21</f>
        <v>2</v>
      </c>
      <c r="ID21" s="21">
        <f t="shared" ref="ID21:ID32" si="142">HY21+IA21+IC21</f>
        <v>6.625</v>
      </c>
      <c r="IE21" s="22">
        <f t="shared" ref="IE21:IE32" si="143">HV$19-HY21-IA21-IC21</f>
        <v>107.375</v>
      </c>
      <c r="IF21" s="19">
        <f t="shared" ref="IF21:IF32" si="144">($IR21+(($IQ21-1)*$IS21)+$IT21)*IO21/144</f>
        <v>2.1155460069444443</v>
      </c>
      <c r="IG21" s="20" t="str">
        <f t="shared" ref="IG21:IG32" si="145">"("&amp;FIXED(IF21*0.092903,2)&amp;")"</f>
        <v>(0.20)</v>
      </c>
      <c r="IH21" s="21">
        <v>2</v>
      </c>
      <c r="II21" s="21">
        <f t="shared" ref="II21:II32" si="146">$IU$22*IH21</f>
        <v>3.5</v>
      </c>
      <c r="IJ21" s="21">
        <v>1</v>
      </c>
      <c r="IK21" s="21">
        <f t="shared" ref="IK21:IK32" si="147">$IW$22*IJ21</f>
        <v>1.125</v>
      </c>
      <c r="IL21" s="21">
        <v>2</v>
      </c>
      <c r="IM21" s="21">
        <f t="shared" ref="IM21:IM32" si="148">$IV$22*IL21</f>
        <v>2</v>
      </c>
      <c r="IN21" s="21">
        <f t="shared" ref="IN21:IN32" si="149">II21+IK21+IM21</f>
        <v>6.625</v>
      </c>
      <c r="IO21" s="22">
        <f t="shared" ref="IO21:IO32" si="150">IF$19-II21-IK21-IM21</f>
        <v>113.375</v>
      </c>
      <c r="IP21" s="14"/>
      <c r="IQ21" s="24">
        <v>1</v>
      </c>
      <c r="IR21" s="25">
        <v>2.5</v>
      </c>
      <c r="IS21" s="25">
        <v>2.8780000000000001</v>
      </c>
      <c r="IT21" s="25">
        <v>0.187</v>
      </c>
      <c r="IU21" s="25">
        <v>1.75</v>
      </c>
      <c r="IV21" s="25">
        <v>1</v>
      </c>
      <c r="IW21" s="25">
        <v>1.125</v>
      </c>
      <c r="IX21" s="7"/>
    </row>
    <row r="22" spans="2:258" ht="15.75" thickBot="1" x14ac:dyDescent="0.3">
      <c r="B22" s="79">
        <f t="shared" si="9"/>
        <v>30</v>
      </c>
      <c r="C22" s="147">
        <v>6</v>
      </c>
      <c r="D22" s="487"/>
      <c r="E22" s="468">
        <f t="shared" si="0"/>
        <v>0.40027916666666663</v>
      </c>
      <c r="F22" s="468">
        <f t="shared" si="1"/>
        <v>0.45521944444444445</v>
      </c>
      <c r="G22" s="468">
        <f t="shared" si="2"/>
        <v>0.48268958333333334</v>
      </c>
      <c r="H22" s="468">
        <f t="shared" si="3"/>
        <v>0.49917166666666668</v>
      </c>
      <c r="I22" s="468">
        <f t="shared" si="4"/>
        <v>0.51015972222222217</v>
      </c>
      <c r="J22" s="468">
        <f t="shared" si="5"/>
        <v>0.51800833333333329</v>
      </c>
      <c r="K22" s="468">
        <f t="shared" si="6"/>
        <v>0.52389479166666664</v>
      </c>
      <c r="L22" s="468">
        <f t="shared" si="7"/>
        <v>0.51800833333333329</v>
      </c>
      <c r="M22" s="468">
        <f t="shared" si="8"/>
        <v>0.52271749999999995</v>
      </c>
      <c r="N22" s="488"/>
      <c r="O22" s="488"/>
      <c r="P22" s="488"/>
      <c r="Q22" s="488"/>
      <c r="R22" s="488"/>
      <c r="S22" s="488"/>
      <c r="T22" s="488"/>
      <c r="U22" s="488"/>
      <c r="V22" s="488"/>
      <c r="W22" s="488"/>
      <c r="X22" s="76"/>
      <c r="Y22" s="46"/>
      <c r="AA22" s="61"/>
      <c r="AT22" s="3"/>
      <c r="AU22" s="13">
        <v>12</v>
      </c>
      <c r="AV22" s="11" t="str">
        <f t="shared" si="10"/>
        <v>(300)</v>
      </c>
      <c r="AW22" s="18"/>
      <c r="AX22" s="19">
        <f t="shared" si="11"/>
        <v>0.16454166666666667</v>
      </c>
      <c r="AY22" s="20" t="str">
        <f t="shared" si="12"/>
        <v>(0.02)</v>
      </c>
      <c r="AZ22" s="21">
        <v>2</v>
      </c>
      <c r="BA22" s="21">
        <f t="shared" si="13"/>
        <v>3.5</v>
      </c>
      <c r="BB22" s="21">
        <v>0</v>
      </c>
      <c r="BC22" s="21">
        <f t="shared" si="14"/>
        <v>0</v>
      </c>
      <c r="BD22" s="21">
        <v>0</v>
      </c>
      <c r="BE22" s="21">
        <f t="shared" si="15"/>
        <v>0</v>
      </c>
      <c r="BF22" s="21">
        <f t="shared" si="16"/>
        <v>3.5</v>
      </c>
      <c r="BG22" s="22">
        <f t="shared" si="17"/>
        <v>5.5</v>
      </c>
      <c r="BH22" s="205">
        <f t="shared" si="18"/>
        <v>0.25429166666666664</v>
      </c>
      <c r="BI22" s="206" t="str">
        <f t="shared" si="19"/>
        <v>(0.02)</v>
      </c>
      <c r="BJ22" s="207">
        <v>2</v>
      </c>
      <c r="BK22" s="207">
        <f t="shared" si="20"/>
        <v>3.5</v>
      </c>
      <c r="BL22" s="207">
        <v>0</v>
      </c>
      <c r="BM22" s="207">
        <f t="shared" si="21"/>
        <v>0</v>
      </c>
      <c r="BN22" s="207">
        <v>0</v>
      </c>
      <c r="BO22" s="207">
        <f t="shared" si="22"/>
        <v>0</v>
      </c>
      <c r="BP22" s="207">
        <f t="shared" si="23"/>
        <v>3.5</v>
      </c>
      <c r="BQ22" s="208">
        <f t="shared" si="24"/>
        <v>8.5</v>
      </c>
      <c r="BR22" s="205">
        <f t="shared" si="25"/>
        <v>0.43379166666666663</v>
      </c>
      <c r="BS22" s="206" t="str">
        <f t="shared" si="26"/>
        <v>(0.04)</v>
      </c>
      <c r="BT22" s="207">
        <v>2</v>
      </c>
      <c r="BU22" s="207">
        <f t="shared" si="27"/>
        <v>3.5</v>
      </c>
      <c r="BV22" s="207">
        <v>0</v>
      </c>
      <c r="BW22" s="207">
        <f t="shared" si="28"/>
        <v>0</v>
      </c>
      <c r="BX22" s="207">
        <v>0</v>
      </c>
      <c r="BY22" s="207">
        <f t="shared" si="29"/>
        <v>0</v>
      </c>
      <c r="BZ22" s="207">
        <f t="shared" si="30"/>
        <v>3.5</v>
      </c>
      <c r="CA22" s="208">
        <f t="shared" si="31"/>
        <v>14.5</v>
      </c>
      <c r="CB22" s="205">
        <f t="shared" si="32"/>
        <v>0.61329166666666657</v>
      </c>
      <c r="CC22" s="206" t="str">
        <f t="shared" si="33"/>
        <v>(0.06)</v>
      </c>
      <c r="CD22" s="207">
        <v>2</v>
      </c>
      <c r="CE22" s="207">
        <f t="shared" si="34"/>
        <v>3.5</v>
      </c>
      <c r="CF22" s="207">
        <v>0</v>
      </c>
      <c r="CG22" s="207">
        <f t="shared" si="35"/>
        <v>0</v>
      </c>
      <c r="CH22" s="207">
        <v>0</v>
      </c>
      <c r="CI22" s="207">
        <f t="shared" si="36"/>
        <v>0</v>
      </c>
      <c r="CJ22" s="207">
        <f t="shared" si="37"/>
        <v>3.5</v>
      </c>
      <c r="CK22" s="208">
        <f t="shared" si="38"/>
        <v>20.5</v>
      </c>
      <c r="CL22" s="205">
        <f t="shared" si="39"/>
        <v>0.79279166666666656</v>
      </c>
      <c r="CM22" s="206" t="str">
        <f t="shared" si="40"/>
        <v>(0.07)</v>
      </c>
      <c r="CN22" s="207">
        <v>2</v>
      </c>
      <c r="CO22" s="207">
        <f t="shared" si="41"/>
        <v>3.5</v>
      </c>
      <c r="CP22" s="207">
        <v>0</v>
      </c>
      <c r="CQ22" s="207">
        <f t="shared" si="42"/>
        <v>0</v>
      </c>
      <c r="CR22" s="207">
        <v>0</v>
      </c>
      <c r="CS22" s="207">
        <f t="shared" si="43"/>
        <v>0</v>
      </c>
      <c r="CT22" s="207">
        <f t="shared" si="44"/>
        <v>3.5</v>
      </c>
      <c r="CU22" s="208">
        <f t="shared" si="45"/>
        <v>26.5</v>
      </c>
      <c r="CV22" s="205">
        <f t="shared" si="46"/>
        <v>0.97229166666666655</v>
      </c>
      <c r="CW22" s="206" t="str">
        <f t="shared" si="47"/>
        <v>(0.09)</v>
      </c>
      <c r="CX22" s="207">
        <v>2</v>
      </c>
      <c r="CY22" s="207">
        <f t="shared" si="48"/>
        <v>3.5</v>
      </c>
      <c r="CZ22" s="207">
        <v>0</v>
      </c>
      <c r="DA22" s="207">
        <f t="shared" si="49"/>
        <v>0</v>
      </c>
      <c r="DB22" s="207">
        <v>0</v>
      </c>
      <c r="DC22" s="207">
        <f t="shared" si="50"/>
        <v>0</v>
      </c>
      <c r="DD22" s="207">
        <f t="shared" si="51"/>
        <v>3.5</v>
      </c>
      <c r="DE22" s="208">
        <f t="shared" si="52"/>
        <v>32.5</v>
      </c>
      <c r="DF22" s="205">
        <f t="shared" si="53"/>
        <v>1.1517916666666668</v>
      </c>
      <c r="DG22" s="206" t="str">
        <f t="shared" si="54"/>
        <v>(0.11)</v>
      </c>
      <c r="DH22" s="207">
        <v>2</v>
      </c>
      <c r="DI22" s="207">
        <f t="shared" si="55"/>
        <v>3.5</v>
      </c>
      <c r="DJ22" s="207">
        <v>0</v>
      </c>
      <c r="DK22" s="207">
        <f t="shared" si="56"/>
        <v>0</v>
      </c>
      <c r="DL22" s="207">
        <v>0</v>
      </c>
      <c r="DM22" s="207">
        <f t="shared" si="57"/>
        <v>0</v>
      </c>
      <c r="DN22" s="207">
        <f t="shared" si="58"/>
        <v>3.5</v>
      </c>
      <c r="DO22" s="208">
        <f t="shared" si="59"/>
        <v>38.5</v>
      </c>
      <c r="DP22" s="205">
        <f t="shared" si="60"/>
        <v>1.3312916666666665</v>
      </c>
      <c r="DQ22" s="206" t="str">
        <f t="shared" si="61"/>
        <v>(0.12)</v>
      </c>
      <c r="DR22" s="207">
        <v>2</v>
      </c>
      <c r="DS22" s="207">
        <f t="shared" si="62"/>
        <v>3.5</v>
      </c>
      <c r="DT22" s="207">
        <v>0</v>
      </c>
      <c r="DU22" s="207">
        <f t="shared" si="63"/>
        <v>0</v>
      </c>
      <c r="DV22" s="207">
        <v>0</v>
      </c>
      <c r="DW22" s="207">
        <f t="shared" si="64"/>
        <v>0</v>
      </c>
      <c r="DX22" s="207">
        <f t="shared" si="65"/>
        <v>3.5</v>
      </c>
      <c r="DY22" s="208">
        <f t="shared" si="66"/>
        <v>44.5</v>
      </c>
      <c r="DZ22" s="205">
        <f t="shared" si="67"/>
        <v>1.4808749999999999</v>
      </c>
      <c r="EA22" s="206" t="str">
        <f t="shared" si="68"/>
        <v>(0.14)</v>
      </c>
      <c r="EB22" s="207">
        <v>2</v>
      </c>
      <c r="EC22" s="207">
        <f t="shared" si="69"/>
        <v>3.5</v>
      </c>
      <c r="ED22" s="207">
        <v>0</v>
      </c>
      <c r="EE22" s="207">
        <f t="shared" si="70"/>
        <v>0</v>
      </c>
      <c r="EF22" s="207">
        <v>1</v>
      </c>
      <c r="EG22" s="207">
        <f t="shared" si="71"/>
        <v>1</v>
      </c>
      <c r="EH22" s="207">
        <f t="shared" si="72"/>
        <v>4.5</v>
      </c>
      <c r="EI22" s="208">
        <f t="shared" si="73"/>
        <v>49.5</v>
      </c>
      <c r="EJ22" s="205">
        <f t="shared" si="74"/>
        <v>1.6603749999999999</v>
      </c>
      <c r="EK22" s="206" t="str">
        <f t="shared" si="75"/>
        <v>(0.15)</v>
      </c>
      <c r="EL22" s="207">
        <v>2</v>
      </c>
      <c r="EM22" s="207">
        <f t="shared" si="76"/>
        <v>3.5</v>
      </c>
      <c r="EN22" s="207">
        <v>0</v>
      </c>
      <c r="EO22" s="207">
        <f t="shared" si="77"/>
        <v>0</v>
      </c>
      <c r="EP22" s="207">
        <v>1</v>
      </c>
      <c r="EQ22" s="207">
        <f t="shared" si="78"/>
        <v>1</v>
      </c>
      <c r="ER22" s="207">
        <f t="shared" si="79"/>
        <v>4.5</v>
      </c>
      <c r="ES22" s="208">
        <f t="shared" si="80"/>
        <v>55.5</v>
      </c>
      <c r="ET22" s="205">
        <f t="shared" si="81"/>
        <v>1.8398750000000001</v>
      </c>
      <c r="EU22" s="206" t="str">
        <f t="shared" si="82"/>
        <v>(0.17)</v>
      </c>
      <c r="EV22" s="207">
        <v>2</v>
      </c>
      <c r="EW22" s="207">
        <f t="shared" si="83"/>
        <v>3.5</v>
      </c>
      <c r="EX22" s="207">
        <v>0</v>
      </c>
      <c r="EY22" s="207">
        <f t="shared" si="84"/>
        <v>0</v>
      </c>
      <c r="EZ22" s="207">
        <v>1</v>
      </c>
      <c r="FA22" s="207">
        <f t="shared" si="85"/>
        <v>1</v>
      </c>
      <c r="FB22" s="207">
        <f t="shared" si="86"/>
        <v>4.5</v>
      </c>
      <c r="FC22" s="208">
        <f t="shared" si="87"/>
        <v>61.5</v>
      </c>
      <c r="FD22" s="205">
        <f t="shared" si="88"/>
        <v>2.049291666666667</v>
      </c>
      <c r="FE22" s="206" t="str">
        <f t="shared" si="89"/>
        <v>(0.19)</v>
      </c>
      <c r="FF22" s="207">
        <v>2</v>
      </c>
      <c r="FG22" s="207">
        <f t="shared" si="90"/>
        <v>3.5</v>
      </c>
      <c r="FH22" s="469">
        <v>0</v>
      </c>
      <c r="FI22" s="207">
        <f t="shared" si="91"/>
        <v>0</v>
      </c>
      <c r="FJ22" s="207">
        <v>0</v>
      </c>
      <c r="FK22" s="207">
        <f t="shared" si="92"/>
        <v>0</v>
      </c>
      <c r="FL22" s="207">
        <f t="shared" si="93"/>
        <v>3.5</v>
      </c>
      <c r="FM22" s="208">
        <f t="shared" si="94"/>
        <v>68.5</v>
      </c>
      <c r="FN22" s="205">
        <f t="shared" si="95"/>
        <v>2.1951354166666666</v>
      </c>
      <c r="FO22" s="206" t="str">
        <f t="shared" si="96"/>
        <v>(0.20)</v>
      </c>
      <c r="FP22" s="207">
        <v>2</v>
      </c>
      <c r="FQ22" s="207">
        <f t="shared" si="97"/>
        <v>3.5</v>
      </c>
      <c r="FR22" s="207">
        <v>1</v>
      </c>
      <c r="FS22" s="207">
        <f t="shared" si="98"/>
        <v>1.125</v>
      </c>
      <c r="FT22" s="207">
        <v>0</v>
      </c>
      <c r="FU22" s="207">
        <f t="shared" si="99"/>
        <v>0</v>
      </c>
      <c r="FV22" s="207">
        <f t="shared" si="100"/>
        <v>4.625</v>
      </c>
      <c r="FW22" s="208">
        <f t="shared" si="101"/>
        <v>73.375</v>
      </c>
      <c r="FX22" s="205">
        <f t="shared" si="102"/>
        <v>2.3746354166666666</v>
      </c>
      <c r="FY22" s="206" t="str">
        <f t="shared" si="103"/>
        <v>(0.22)</v>
      </c>
      <c r="FZ22" s="207">
        <v>2</v>
      </c>
      <c r="GA22" s="207">
        <f t="shared" si="104"/>
        <v>3.5</v>
      </c>
      <c r="GB22" s="207">
        <v>1</v>
      </c>
      <c r="GC22" s="207">
        <f t="shared" si="105"/>
        <v>1.125</v>
      </c>
      <c r="GD22" s="207">
        <v>0</v>
      </c>
      <c r="GE22" s="207">
        <f t="shared" si="106"/>
        <v>0</v>
      </c>
      <c r="GF22" s="207">
        <f t="shared" si="107"/>
        <v>4.625</v>
      </c>
      <c r="GG22" s="208">
        <f t="shared" si="108"/>
        <v>79.375</v>
      </c>
      <c r="GH22" s="205">
        <f t="shared" si="109"/>
        <v>2.5541354166666665</v>
      </c>
      <c r="GI22" s="206" t="str">
        <f t="shared" si="110"/>
        <v>(0.24)</v>
      </c>
      <c r="GJ22" s="207">
        <v>2</v>
      </c>
      <c r="GK22" s="207">
        <f t="shared" si="111"/>
        <v>3.5</v>
      </c>
      <c r="GL22" s="207">
        <v>1</v>
      </c>
      <c r="GM22" s="207">
        <f t="shared" si="112"/>
        <v>1.125</v>
      </c>
      <c r="GN22" s="207">
        <v>0</v>
      </c>
      <c r="GO22" s="207">
        <f t="shared" si="113"/>
        <v>0</v>
      </c>
      <c r="GP22" s="207">
        <f t="shared" si="114"/>
        <v>4.625</v>
      </c>
      <c r="GQ22" s="208">
        <f t="shared" si="115"/>
        <v>85.375</v>
      </c>
      <c r="GR22" s="205">
        <f t="shared" si="116"/>
        <v>2.7336354166666665</v>
      </c>
      <c r="GS22" s="206" t="str">
        <f t="shared" si="117"/>
        <v>(0.25)</v>
      </c>
      <c r="GT22" s="207">
        <v>2</v>
      </c>
      <c r="GU22" s="207">
        <f t="shared" si="118"/>
        <v>3.5</v>
      </c>
      <c r="GV22" s="207">
        <v>1</v>
      </c>
      <c r="GW22" s="207">
        <f t="shared" si="119"/>
        <v>1.125</v>
      </c>
      <c r="GX22" s="207">
        <v>0</v>
      </c>
      <c r="GY22" s="207">
        <f t="shared" si="120"/>
        <v>0</v>
      </c>
      <c r="GZ22" s="207">
        <f t="shared" si="121"/>
        <v>4.625</v>
      </c>
      <c r="HA22" s="208">
        <f t="shared" si="122"/>
        <v>91.375</v>
      </c>
      <c r="HB22" s="205">
        <f t="shared" si="123"/>
        <v>2.9131354166666665</v>
      </c>
      <c r="HC22" s="206" t="str">
        <f t="shared" si="124"/>
        <v>(0.27)</v>
      </c>
      <c r="HD22" s="207">
        <v>2</v>
      </c>
      <c r="HE22" s="207">
        <f t="shared" si="125"/>
        <v>3.5</v>
      </c>
      <c r="HF22" s="207">
        <v>1</v>
      </c>
      <c r="HG22" s="207">
        <f t="shared" si="126"/>
        <v>1.125</v>
      </c>
      <c r="HH22" s="207">
        <v>0</v>
      </c>
      <c r="HI22" s="207">
        <f t="shared" si="127"/>
        <v>0</v>
      </c>
      <c r="HJ22" s="207">
        <f t="shared" si="128"/>
        <v>4.625</v>
      </c>
      <c r="HK22" s="208">
        <f t="shared" si="129"/>
        <v>97.375</v>
      </c>
      <c r="HL22" s="205">
        <f t="shared" si="130"/>
        <v>3.0328020833333333</v>
      </c>
      <c r="HM22" s="206" t="str">
        <f t="shared" si="131"/>
        <v>(0.28)</v>
      </c>
      <c r="HN22" s="207">
        <v>2</v>
      </c>
      <c r="HO22" s="207">
        <f t="shared" si="132"/>
        <v>3.5</v>
      </c>
      <c r="HP22" s="207">
        <v>1</v>
      </c>
      <c r="HQ22" s="207">
        <f t="shared" si="133"/>
        <v>1.125</v>
      </c>
      <c r="HR22" s="207">
        <v>2</v>
      </c>
      <c r="HS22" s="207">
        <f t="shared" si="134"/>
        <v>2</v>
      </c>
      <c r="HT22" s="207">
        <f t="shared" si="135"/>
        <v>6.625</v>
      </c>
      <c r="HU22" s="208">
        <f t="shared" si="136"/>
        <v>101.375</v>
      </c>
      <c r="HV22" s="205">
        <f t="shared" si="137"/>
        <v>3.2123020833333329</v>
      </c>
      <c r="HW22" s="206" t="str">
        <f t="shared" si="138"/>
        <v>(0.30)</v>
      </c>
      <c r="HX22" s="207">
        <v>2</v>
      </c>
      <c r="HY22" s="207">
        <f t="shared" si="139"/>
        <v>3.5</v>
      </c>
      <c r="HZ22" s="207">
        <v>1</v>
      </c>
      <c r="IA22" s="207">
        <f t="shared" si="140"/>
        <v>1.125</v>
      </c>
      <c r="IB22" s="207">
        <v>2</v>
      </c>
      <c r="IC22" s="207">
        <f t="shared" si="141"/>
        <v>2</v>
      </c>
      <c r="ID22" s="207">
        <f t="shared" si="142"/>
        <v>6.625</v>
      </c>
      <c r="IE22" s="208">
        <f t="shared" si="143"/>
        <v>107.375</v>
      </c>
      <c r="IF22" s="205">
        <f t="shared" si="144"/>
        <v>3.3918020833333333</v>
      </c>
      <c r="IG22" s="206" t="str">
        <f t="shared" si="145"/>
        <v>(0.32)</v>
      </c>
      <c r="IH22" s="21">
        <v>2</v>
      </c>
      <c r="II22" s="21">
        <f t="shared" si="146"/>
        <v>3.5</v>
      </c>
      <c r="IJ22" s="21">
        <v>1</v>
      </c>
      <c r="IK22" s="21">
        <f t="shared" si="147"/>
        <v>1.125</v>
      </c>
      <c r="IL22" s="21">
        <v>2</v>
      </c>
      <c r="IM22" s="21">
        <f t="shared" si="148"/>
        <v>2</v>
      </c>
      <c r="IN22" s="21">
        <f t="shared" si="149"/>
        <v>6.625</v>
      </c>
      <c r="IO22" s="22">
        <f t="shared" si="150"/>
        <v>113.375</v>
      </c>
      <c r="IP22" s="23"/>
      <c r="IQ22" s="24">
        <f t="shared" ref="IQ22:IQ40" si="151">ROUNDDOWN(($AU22-5)/5,0)</f>
        <v>1</v>
      </c>
      <c r="IR22" s="25">
        <v>2.5</v>
      </c>
      <c r="IS22" s="25">
        <v>2.8780000000000001</v>
      </c>
      <c r="IT22" s="25">
        <v>1.8080000000000001</v>
      </c>
      <c r="IU22" s="25">
        <v>1.75</v>
      </c>
      <c r="IV22" s="25">
        <v>1</v>
      </c>
      <c r="IW22" s="25">
        <v>1.125</v>
      </c>
      <c r="IX22" s="7"/>
    </row>
    <row r="23" spans="2:258" ht="15.75" thickBot="1" x14ac:dyDescent="0.3">
      <c r="B23" s="79">
        <f t="shared" si="9"/>
        <v>36</v>
      </c>
      <c r="C23" s="148">
        <v>7</v>
      </c>
      <c r="D23" s="487"/>
      <c r="E23" s="468">
        <f t="shared" si="0"/>
        <v>0.34971990740740738</v>
      </c>
      <c r="F23" s="468">
        <f t="shared" si="1"/>
        <v>0.3977206790123457</v>
      </c>
      <c r="G23" s="468">
        <f t="shared" si="2"/>
        <v>0.42172106481481486</v>
      </c>
      <c r="H23" s="468">
        <f t="shared" si="3"/>
        <v>0.43612129629629631</v>
      </c>
      <c r="I23" s="468">
        <f t="shared" si="4"/>
        <v>0.44572145061728397</v>
      </c>
      <c r="J23" s="468">
        <f t="shared" si="5"/>
        <v>0.45257870370370368</v>
      </c>
      <c r="K23" s="468">
        <f t="shared" si="6"/>
        <v>0.45772164351851852</v>
      </c>
      <c r="L23" s="468">
        <f t="shared" si="7"/>
        <v>0.45257870370370373</v>
      </c>
      <c r="M23" s="468">
        <f t="shared" si="8"/>
        <v>0.45669305555555556</v>
      </c>
      <c r="N23" s="488"/>
      <c r="O23" s="488"/>
      <c r="P23" s="488"/>
      <c r="Q23" s="488"/>
      <c r="R23" s="488"/>
      <c r="S23" s="488"/>
      <c r="T23" s="488"/>
      <c r="U23" s="488"/>
      <c r="V23" s="488"/>
      <c r="W23" s="488"/>
      <c r="X23" s="76"/>
      <c r="Y23" s="46"/>
      <c r="AA23" s="61"/>
      <c r="AT23" s="3"/>
      <c r="AU23" s="13">
        <f t="shared" ref="AU23:AU40" si="152">AU22+6</f>
        <v>18</v>
      </c>
      <c r="AV23" s="11" t="str">
        <f t="shared" si="10"/>
        <v>(450)</v>
      </c>
      <c r="AW23" s="18"/>
      <c r="AX23" s="19">
        <f t="shared" si="11"/>
        <v>0.30574652777777778</v>
      </c>
      <c r="AY23" s="20" t="str">
        <f t="shared" si="12"/>
        <v>(0.03)</v>
      </c>
      <c r="AZ23" s="21">
        <v>2</v>
      </c>
      <c r="BA23" s="21">
        <f t="shared" si="13"/>
        <v>3.5</v>
      </c>
      <c r="BB23" s="21">
        <v>0</v>
      </c>
      <c r="BC23" s="21">
        <f t="shared" si="14"/>
        <v>0</v>
      </c>
      <c r="BD23" s="21">
        <v>0</v>
      </c>
      <c r="BE23" s="21">
        <f t="shared" si="15"/>
        <v>0</v>
      </c>
      <c r="BF23" s="21">
        <f t="shared" si="16"/>
        <v>3.5</v>
      </c>
      <c r="BG23" s="22">
        <f t="shared" si="17"/>
        <v>5.5</v>
      </c>
      <c r="BH23" s="205">
        <f t="shared" si="18"/>
        <v>0.47251736111111103</v>
      </c>
      <c r="BI23" s="206" t="str">
        <f t="shared" si="19"/>
        <v>(0.04)</v>
      </c>
      <c r="BJ23" s="207">
        <v>2</v>
      </c>
      <c r="BK23" s="207">
        <f t="shared" si="20"/>
        <v>3.5</v>
      </c>
      <c r="BL23" s="207">
        <v>0</v>
      </c>
      <c r="BM23" s="207">
        <f t="shared" si="21"/>
        <v>0</v>
      </c>
      <c r="BN23" s="207">
        <v>0</v>
      </c>
      <c r="BO23" s="207">
        <f t="shared" si="22"/>
        <v>0</v>
      </c>
      <c r="BP23" s="207">
        <f t="shared" si="23"/>
        <v>3.5</v>
      </c>
      <c r="BQ23" s="208">
        <f t="shared" si="24"/>
        <v>8.5</v>
      </c>
      <c r="BR23" s="205">
        <f t="shared" si="25"/>
        <v>0.80605902777777771</v>
      </c>
      <c r="BS23" s="206" t="str">
        <f t="shared" si="26"/>
        <v>(0.07)</v>
      </c>
      <c r="BT23" s="207">
        <v>2</v>
      </c>
      <c r="BU23" s="207">
        <f t="shared" si="27"/>
        <v>3.5</v>
      </c>
      <c r="BV23" s="207">
        <v>0</v>
      </c>
      <c r="BW23" s="207">
        <f t="shared" si="28"/>
        <v>0</v>
      </c>
      <c r="BX23" s="207">
        <v>0</v>
      </c>
      <c r="BY23" s="207">
        <f t="shared" si="29"/>
        <v>0</v>
      </c>
      <c r="BZ23" s="207">
        <f t="shared" si="30"/>
        <v>3.5</v>
      </c>
      <c r="CA23" s="208">
        <f t="shared" si="31"/>
        <v>14.5</v>
      </c>
      <c r="CB23" s="205">
        <f t="shared" si="32"/>
        <v>1.1396006944444443</v>
      </c>
      <c r="CC23" s="206" t="str">
        <f t="shared" si="33"/>
        <v>(0.11)</v>
      </c>
      <c r="CD23" s="207">
        <v>2</v>
      </c>
      <c r="CE23" s="207">
        <f t="shared" si="34"/>
        <v>3.5</v>
      </c>
      <c r="CF23" s="207">
        <v>0</v>
      </c>
      <c r="CG23" s="207">
        <f t="shared" si="35"/>
        <v>0</v>
      </c>
      <c r="CH23" s="207">
        <v>0</v>
      </c>
      <c r="CI23" s="207">
        <f t="shared" si="36"/>
        <v>0</v>
      </c>
      <c r="CJ23" s="207">
        <f t="shared" si="37"/>
        <v>3.5</v>
      </c>
      <c r="CK23" s="208">
        <f t="shared" si="38"/>
        <v>20.5</v>
      </c>
      <c r="CL23" s="205">
        <f t="shared" si="39"/>
        <v>1.473142361111111</v>
      </c>
      <c r="CM23" s="206" t="str">
        <f t="shared" si="40"/>
        <v>(0.14)</v>
      </c>
      <c r="CN23" s="207">
        <v>2</v>
      </c>
      <c r="CO23" s="207">
        <f t="shared" si="41"/>
        <v>3.5</v>
      </c>
      <c r="CP23" s="207">
        <v>0</v>
      </c>
      <c r="CQ23" s="207">
        <f t="shared" si="42"/>
        <v>0</v>
      </c>
      <c r="CR23" s="207">
        <v>0</v>
      </c>
      <c r="CS23" s="207">
        <f t="shared" si="43"/>
        <v>0</v>
      </c>
      <c r="CT23" s="207">
        <f t="shared" si="44"/>
        <v>3.5</v>
      </c>
      <c r="CU23" s="208">
        <f t="shared" si="45"/>
        <v>26.5</v>
      </c>
      <c r="CV23" s="205">
        <f t="shared" si="46"/>
        <v>1.8066840277777776</v>
      </c>
      <c r="CW23" s="206" t="str">
        <f t="shared" si="47"/>
        <v>(0.17)</v>
      </c>
      <c r="CX23" s="207">
        <v>2</v>
      </c>
      <c r="CY23" s="207">
        <f t="shared" si="48"/>
        <v>3.5</v>
      </c>
      <c r="CZ23" s="207">
        <v>0</v>
      </c>
      <c r="DA23" s="207">
        <f t="shared" si="49"/>
        <v>0</v>
      </c>
      <c r="DB23" s="207">
        <v>0</v>
      </c>
      <c r="DC23" s="207">
        <f t="shared" si="50"/>
        <v>0</v>
      </c>
      <c r="DD23" s="207">
        <f t="shared" si="51"/>
        <v>3.5</v>
      </c>
      <c r="DE23" s="208">
        <f t="shared" si="52"/>
        <v>32.5</v>
      </c>
      <c r="DF23" s="205">
        <f t="shared" si="53"/>
        <v>2.1402256944444442</v>
      </c>
      <c r="DG23" s="206" t="str">
        <f t="shared" si="54"/>
        <v>(0.2)</v>
      </c>
      <c r="DH23" s="207">
        <v>2</v>
      </c>
      <c r="DI23" s="207">
        <f t="shared" si="55"/>
        <v>3.5</v>
      </c>
      <c r="DJ23" s="207">
        <v>0</v>
      </c>
      <c r="DK23" s="207">
        <f t="shared" si="56"/>
        <v>0</v>
      </c>
      <c r="DL23" s="207">
        <v>0</v>
      </c>
      <c r="DM23" s="207">
        <f t="shared" si="57"/>
        <v>0</v>
      </c>
      <c r="DN23" s="207">
        <f t="shared" si="58"/>
        <v>3.5</v>
      </c>
      <c r="DO23" s="208">
        <f t="shared" si="59"/>
        <v>38.5</v>
      </c>
      <c r="DP23" s="205">
        <f t="shared" si="60"/>
        <v>2.4737673611111108</v>
      </c>
      <c r="DQ23" s="206" t="str">
        <f t="shared" si="61"/>
        <v>(0.23)</v>
      </c>
      <c r="DR23" s="207">
        <v>2</v>
      </c>
      <c r="DS23" s="207">
        <f t="shared" si="62"/>
        <v>3.5</v>
      </c>
      <c r="DT23" s="207">
        <v>0</v>
      </c>
      <c r="DU23" s="207">
        <f t="shared" si="63"/>
        <v>0</v>
      </c>
      <c r="DV23" s="207">
        <v>0</v>
      </c>
      <c r="DW23" s="207">
        <f t="shared" si="64"/>
        <v>0</v>
      </c>
      <c r="DX23" s="207">
        <f t="shared" si="65"/>
        <v>3.5</v>
      </c>
      <c r="DY23" s="208">
        <f t="shared" si="66"/>
        <v>44.5</v>
      </c>
      <c r="DZ23" s="205">
        <f t="shared" si="67"/>
        <v>2.7517187499999998</v>
      </c>
      <c r="EA23" s="206" t="str">
        <f t="shared" si="68"/>
        <v>(0.26)</v>
      </c>
      <c r="EB23" s="207">
        <v>2</v>
      </c>
      <c r="EC23" s="207">
        <f t="shared" si="69"/>
        <v>3.5</v>
      </c>
      <c r="ED23" s="207">
        <v>0</v>
      </c>
      <c r="EE23" s="207">
        <f t="shared" si="70"/>
        <v>0</v>
      </c>
      <c r="EF23" s="207">
        <v>1</v>
      </c>
      <c r="EG23" s="207">
        <f t="shared" si="71"/>
        <v>1</v>
      </c>
      <c r="EH23" s="207">
        <f t="shared" si="72"/>
        <v>4.5</v>
      </c>
      <c r="EI23" s="208">
        <f t="shared" si="73"/>
        <v>49.5</v>
      </c>
      <c r="EJ23" s="205">
        <f t="shared" si="74"/>
        <v>3.085260416666666</v>
      </c>
      <c r="EK23" s="206" t="str">
        <f t="shared" si="75"/>
        <v>(0.29)</v>
      </c>
      <c r="EL23" s="207">
        <v>2</v>
      </c>
      <c r="EM23" s="207">
        <f t="shared" si="76"/>
        <v>3.5</v>
      </c>
      <c r="EN23" s="207">
        <v>0</v>
      </c>
      <c r="EO23" s="207">
        <f t="shared" si="77"/>
        <v>0</v>
      </c>
      <c r="EP23" s="207">
        <v>1</v>
      </c>
      <c r="EQ23" s="207">
        <f t="shared" si="78"/>
        <v>1</v>
      </c>
      <c r="ER23" s="207">
        <f t="shared" si="79"/>
        <v>4.5</v>
      </c>
      <c r="ES23" s="208">
        <f t="shared" si="80"/>
        <v>55.5</v>
      </c>
      <c r="ET23" s="205">
        <f t="shared" si="81"/>
        <v>3.418802083333333</v>
      </c>
      <c r="EU23" s="206" t="str">
        <f t="shared" si="82"/>
        <v>(0.32)</v>
      </c>
      <c r="EV23" s="207">
        <v>2</v>
      </c>
      <c r="EW23" s="207">
        <f t="shared" si="83"/>
        <v>3.5</v>
      </c>
      <c r="EX23" s="207">
        <v>0</v>
      </c>
      <c r="EY23" s="207">
        <f t="shared" si="84"/>
        <v>0</v>
      </c>
      <c r="EZ23" s="207">
        <v>1</v>
      </c>
      <c r="FA23" s="207">
        <f t="shared" si="85"/>
        <v>1</v>
      </c>
      <c r="FB23" s="207">
        <f t="shared" si="86"/>
        <v>4.5</v>
      </c>
      <c r="FC23" s="208">
        <f t="shared" si="87"/>
        <v>61.5</v>
      </c>
      <c r="FD23" s="205">
        <f t="shared" si="88"/>
        <v>3.8079340277777778</v>
      </c>
      <c r="FE23" s="206" t="str">
        <f t="shared" si="89"/>
        <v>(0.35)</v>
      </c>
      <c r="FF23" s="207">
        <v>2</v>
      </c>
      <c r="FG23" s="207">
        <f t="shared" si="90"/>
        <v>3.5</v>
      </c>
      <c r="FH23" s="469">
        <v>0</v>
      </c>
      <c r="FI23" s="207">
        <f t="shared" si="91"/>
        <v>0</v>
      </c>
      <c r="FJ23" s="207">
        <v>0</v>
      </c>
      <c r="FK23" s="207">
        <f t="shared" si="92"/>
        <v>0</v>
      </c>
      <c r="FL23" s="207">
        <f t="shared" si="93"/>
        <v>3.5</v>
      </c>
      <c r="FM23" s="208">
        <f t="shared" si="94"/>
        <v>68.5</v>
      </c>
      <c r="FN23" s="205">
        <f t="shared" si="95"/>
        <v>4.078936631944444</v>
      </c>
      <c r="FO23" s="206" t="str">
        <f t="shared" si="96"/>
        <v>(0.38)</v>
      </c>
      <c r="FP23" s="207">
        <v>2</v>
      </c>
      <c r="FQ23" s="207">
        <f t="shared" si="97"/>
        <v>3.5</v>
      </c>
      <c r="FR23" s="207">
        <v>1</v>
      </c>
      <c r="FS23" s="207">
        <f t="shared" si="98"/>
        <v>1.125</v>
      </c>
      <c r="FT23" s="207">
        <v>0</v>
      </c>
      <c r="FU23" s="207">
        <f t="shared" si="99"/>
        <v>0</v>
      </c>
      <c r="FV23" s="207">
        <f t="shared" si="100"/>
        <v>4.625</v>
      </c>
      <c r="FW23" s="208">
        <f t="shared" si="101"/>
        <v>73.375</v>
      </c>
      <c r="FX23" s="205">
        <f t="shared" si="102"/>
        <v>4.4124782986111102</v>
      </c>
      <c r="FY23" s="206" t="str">
        <f t="shared" si="103"/>
        <v>(0.41)</v>
      </c>
      <c r="FZ23" s="207">
        <v>2</v>
      </c>
      <c r="GA23" s="207">
        <f t="shared" si="104"/>
        <v>3.5</v>
      </c>
      <c r="GB23" s="207">
        <v>1</v>
      </c>
      <c r="GC23" s="207">
        <f t="shared" si="105"/>
        <v>1.125</v>
      </c>
      <c r="GD23" s="207">
        <v>0</v>
      </c>
      <c r="GE23" s="207">
        <f t="shared" si="106"/>
        <v>0</v>
      </c>
      <c r="GF23" s="207">
        <f t="shared" si="107"/>
        <v>4.625</v>
      </c>
      <c r="GG23" s="208">
        <f t="shared" si="108"/>
        <v>79.375</v>
      </c>
      <c r="GH23" s="205">
        <f t="shared" si="109"/>
        <v>4.7460199652777773</v>
      </c>
      <c r="GI23" s="206" t="str">
        <f t="shared" si="110"/>
        <v>(0.44)</v>
      </c>
      <c r="GJ23" s="207">
        <v>2</v>
      </c>
      <c r="GK23" s="207">
        <f t="shared" si="111"/>
        <v>3.5</v>
      </c>
      <c r="GL23" s="207">
        <v>1</v>
      </c>
      <c r="GM23" s="207">
        <f t="shared" si="112"/>
        <v>1.125</v>
      </c>
      <c r="GN23" s="207">
        <v>0</v>
      </c>
      <c r="GO23" s="207">
        <f t="shared" si="113"/>
        <v>0</v>
      </c>
      <c r="GP23" s="207">
        <f t="shared" si="114"/>
        <v>4.625</v>
      </c>
      <c r="GQ23" s="208">
        <f t="shared" si="115"/>
        <v>85.375</v>
      </c>
      <c r="GR23" s="205">
        <f t="shared" si="116"/>
        <v>5.0795616319444434</v>
      </c>
      <c r="GS23" s="206" t="str">
        <f t="shared" si="117"/>
        <v>(0.47)</v>
      </c>
      <c r="GT23" s="207">
        <v>2</v>
      </c>
      <c r="GU23" s="207">
        <f t="shared" si="118"/>
        <v>3.5</v>
      </c>
      <c r="GV23" s="207">
        <v>1</v>
      </c>
      <c r="GW23" s="207">
        <f t="shared" si="119"/>
        <v>1.125</v>
      </c>
      <c r="GX23" s="207">
        <v>0</v>
      </c>
      <c r="GY23" s="207">
        <f t="shared" si="120"/>
        <v>0</v>
      </c>
      <c r="GZ23" s="207">
        <f t="shared" si="121"/>
        <v>4.625</v>
      </c>
      <c r="HA23" s="208">
        <f t="shared" si="122"/>
        <v>91.375</v>
      </c>
      <c r="HB23" s="205">
        <f t="shared" si="123"/>
        <v>5.4131032986111105</v>
      </c>
      <c r="HC23" s="206" t="str">
        <f t="shared" si="124"/>
        <v>(0.50)</v>
      </c>
      <c r="HD23" s="207">
        <v>2</v>
      </c>
      <c r="HE23" s="207">
        <f t="shared" si="125"/>
        <v>3.5</v>
      </c>
      <c r="HF23" s="207">
        <v>1</v>
      </c>
      <c r="HG23" s="207">
        <f t="shared" si="126"/>
        <v>1.125</v>
      </c>
      <c r="HH23" s="207">
        <v>0</v>
      </c>
      <c r="HI23" s="207">
        <f t="shared" si="127"/>
        <v>0</v>
      </c>
      <c r="HJ23" s="207">
        <f t="shared" si="128"/>
        <v>4.625</v>
      </c>
      <c r="HK23" s="208">
        <f t="shared" si="129"/>
        <v>97.375</v>
      </c>
      <c r="HL23" s="205">
        <f t="shared" si="130"/>
        <v>5.6354644097222213</v>
      </c>
      <c r="HM23" s="206" t="str">
        <f t="shared" si="131"/>
        <v>(0.52)</v>
      </c>
      <c r="HN23" s="207">
        <v>2</v>
      </c>
      <c r="HO23" s="207">
        <f t="shared" si="132"/>
        <v>3.5</v>
      </c>
      <c r="HP23" s="207">
        <v>1</v>
      </c>
      <c r="HQ23" s="207">
        <f t="shared" si="133"/>
        <v>1.125</v>
      </c>
      <c r="HR23" s="207">
        <v>2</v>
      </c>
      <c r="HS23" s="207">
        <f t="shared" si="134"/>
        <v>2</v>
      </c>
      <c r="HT23" s="207">
        <f t="shared" si="135"/>
        <v>6.625</v>
      </c>
      <c r="HU23" s="208">
        <f t="shared" si="136"/>
        <v>101.375</v>
      </c>
      <c r="HV23" s="205">
        <f t="shared" si="137"/>
        <v>5.9690060763888884</v>
      </c>
      <c r="HW23" s="206" t="str">
        <f t="shared" si="138"/>
        <v>(0.55)</v>
      </c>
      <c r="HX23" s="207">
        <v>2</v>
      </c>
      <c r="HY23" s="207">
        <f t="shared" si="139"/>
        <v>3.5</v>
      </c>
      <c r="HZ23" s="207">
        <v>1</v>
      </c>
      <c r="IA23" s="207">
        <f t="shared" si="140"/>
        <v>1.125</v>
      </c>
      <c r="IB23" s="207">
        <v>2</v>
      </c>
      <c r="IC23" s="207">
        <f t="shared" si="141"/>
        <v>2</v>
      </c>
      <c r="ID23" s="207">
        <f t="shared" si="142"/>
        <v>6.625</v>
      </c>
      <c r="IE23" s="208">
        <f t="shared" si="143"/>
        <v>107.375</v>
      </c>
      <c r="IF23" s="205">
        <f t="shared" si="144"/>
        <v>6.3025477430555545</v>
      </c>
      <c r="IG23" s="206" t="str">
        <f t="shared" si="145"/>
        <v>(0.59)</v>
      </c>
      <c r="IH23" s="21">
        <v>2</v>
      </c>
      <c r="II23" s="21">
        <f t="shared" si="146"/>
        <v>3.5</v>
      </c>
      <c r="IJ23" s="21">
        <v>1</v>
      </c>
      <c r="IK23" s="21">
        <f t="shared" si="147"/>
        <v>1.125</v>
      </c>
      <c r="IL23" s="21">
        <v>2</v>
      </c>
      <c r="IM23" s="21">
        <f t="shared" si="148"/>
        <v>2</v>
      </c>
      <c r="IN23" s="21">
        <f t="shared" si="149"/>
        <v>6.625</v>
      </c>
      <c r="IO23" s="22">
        <f t="shared" si="150"/>
        <v>113.375</v>
      </c>
      <c r="IP23" s="23"/>
      <c r="IQ23" s="24">
        <f t="shared" si="151"/>
        <v>2</v>
      </c>
      <c r="IR23" s="25">
        <v>2.5</v>
      </c>
      <c r="IS23" s="25">
        <v>2.8780000000000001</v>
      </c>
      <c r="IT23" s="25">
        <v>2.6269999999999998</v>
      </c>
      <c r="IU23" s="25">
        <v>1.75</v>
      </c>
      <c r="IV23" s="25">
        <v>1</v>
      </c>
      <c r="IW23" s="25">
        <v>1.125</v>
      </c>
      <c r="IX23" s="7"/>
    </row>
    <row r="24" spans="2:258" ht="15.75" thickBot="1" x14ac:dyDescent="0.3">
      <c r="B24" s="79">
        <f t="shared" si="9"/>
        <v>42</v>
      </c>
      <c r="C24" s="147">
        <v>8</v>
      </c>
      <c r="D24" s="487"/>
      <c r="E24" s="468">
        <f t="shared" si="0"/>
        <v>0.36388095238095242</v>
      </c>
      <c r="F24" s="468">
        <f t="shared" si="1"/>
        <v>0.41382539682539693</v>
      </c>
      <c r="G24" s="468">
        <f t="shared" si="2"/>
        <v>0.43879761904761905</v>
      </c>
      <c r="H24" s="468">
        <f t="shared" si="3"/>
        <v>0.4537809523809524</v>
      </c>
      <c r="I24" s="468">
        <f t="shared" si="4"/>
        <v>0.46376984126984133</v>
      </c>
      <c r="J24" s="468">
        <f t="shared" si="5"/>
        <v>0.47090476190476194</v>
      </c>
      <c r="K24" s="468">
        <f t="shared" si="6"/>
        <v>0.47625595238095242</v>
      </c>
      <c r="L24" s="468">
        <f t="shared" si="7"/>
        <v>0.47090476190476188</v>
      </c>
      <c r="M24" s="468">
        <f t="shared" si="8"/>
        <v>0.47518571428571438</v>
      </c>
      <c r="N24" s="488"/>
      <c r="O24" s="488"/>
      <c r="P24" s="488"/>
      <c r="Q24" s="488"/>
      <c r="R24" s="488"/>
      <c r="S24" s="488"/>
      <c r="T24" s="488"/>
      <c r="U24" s="488"/>
      <c r="V24" s="488"/>
      <c r="W24" s="488"/>
      <c r="X24" s="76"/>
      <c r="Y24" s="46"/>
      <c r="AA24" s="61"/>
      <c r="AT24" s="3"/>
      <c r="AU24" s="13">
        <f t="shared" si="152"/>
        <v>24</v>
      </c>
      <c r="AV24" s="11" t="str">
        <f t="shared" si="10"/>
        <v>(600)</v>
      </c>
      <c r="AW24" s="18"/>
      <c r="AX24" s="19">
        <f t="shared" si="11"/>
        <v>0.40520486111111109</v>
      </c>
      <c r="AY24" s="20" t="str">
        <f t="shared" si="12"/>
        <v>(0.04)</v>
      </c>
      <c r="AZ24" s="21">
        <v>2</v>
      </c>
      <c r="BA24" s="21">
        <f t="shared" si="13"/>
        <v>3.5</v>
      </c>
      <c r="BB24" s="21">
        <v>0</v>
      </c>
      <c r="BC24" s="21">
        <f t="shared" si="14"/>
        <v>0</v>
      </c>
      <c r="BD24" s="21">
        <v>0</v>
      </c>
      <c r="BE24" s="21">
        <f t="shared" si="15"/>
        <v>0</v>
      </c>
      <c r="BF24" s="21">
        <f t="shared" si="16"/>
        <v>3.5</v>
      </c>
      <c r="BG24" s="22">
        <f t="shared" si="17"/>
        <v>5.5</v>
      </c>
      <c r="BH24" s="205">
        <f>($IR24+(($IQ24-1)*$IS24)+$IT24)*BQ24/144</f>
        <v>0.62622569444444443</v>
      </c>
      <c r="BI24" s="206" t="str">
        <f t="shared" si="19"/>
        <v>(0.06)</v>
      </c>
      <c r="BJ24" s="207">
        <v>2</v>
      </c>
      <c r="BK24" s="207">
        <f t="shared" si="20"/>
        <v>3.5</v>
      </c>
      <c r="BL24" s="207">
        <v>0</v>
      </c>
      <c r="BM24" s="207">
        <f t="shared" si="21"/>
        <v>0</v>
      </c>
      <c r="BN24" s="207">
        <v>0</v>
      </c>
      <c r="BO24" s="207">
        <f t="shared" si="22"/>
        <v>0</v>
      </c>
      <c r="BP24" s="207">
        <f t="shared" si="23"/>
        <v>3.5</v>
      </c>
      <c r="BQ24" s="208">
        <f t="shared" si="24"/>
        <v>8.5</v>
      </c>
      <c r="BR24" s="205">
        <f t="shared" si="25"/>
        <v>1.0682673611111111</v>
      </c>
      <c r="BS24" s="206" t="str">
        <f t="shared" si="26"/>
        <v>(0.1)</v>
      </c>
      <c r="BT24" s="207">
        <v>2</v>
      </c>
      <c r="BU24" s="207">
        <f t="shared" si="27"/>
        <v>3.5</v>
      </c>
      <c r="BV24" s="207">
        <v>0</v>
      </c>
      <c r="BW24" s="207">
        <f t="shared" si="28"/>
        <v>0</v>
      </c>
      <c r="BX24" s="207">
        <v>0</v>
      </c>
      <c r="BY24" s="207">
        <f t="shared" si="29"/>
        <v>0</v>
      </c>
      <c r="BZ24" s="207">
        <f t="shared" si="30"/>
        <v>3.5</v>
      </c>
      <c r="CA24" s="208">
        <f t="shared" si="31"/>
        <v>14.5</v>
      </c>
      <c r="CB24" s="205">
        <f t="shared" si="32"/>
        <v>1.5103090277777778</v>
      </c>
      <c r="CC24" s="206" t="str">
        <f t="shared" si="33"/>
        <v>(0.14)</v>
      </c>
      <c r="CD24" s="207">
        <v>2</v>
      </c>
      <c r="CE24" s="207">
        <f t="shared" si="34"/>
        <v>3.5</v>
      </c>
      <c r="CF24" s="207">
        <v>0</v>
      </c>
      <c r="CG24" s="207">
        <f t="shared" si="35"/>
        <v>0</v>
      </c>
      <c r="CH24" s="207">
        <v>0</v>
      </c>
      <c r="CI24" s="207">
        <f t="shared" si="36"/>
        <v>0</v>
      </c>
      <c r="CJ24" s="207">
        <f t="shared" si="37"/>
        <v>3.5</v>
      </c>
      <c r="CK24" s="208">
        <f t="shared" si="38"/>
        <v>20.5</v>
      </c>
      <c r="CL24" s="205">
        <f t="shared" si="39"/>
        <v>1.9523506944444446</v>
      </c>
      <c r="CM24" s="206" t="str">
        <f t="shared" si="40"/>
        <v>(0.18)</v>
      </c>
      <c r="CN24" s="207">
        <v>2</v>
      </c>
      <c r="CO24" s="207">
        <f t="shared" si="41"/>
        <v>3.5</v>
      </c>
      <c r="CP24" s="207">
        <v>0</v>
      </c>
      <c r="CQ24" s="207">
        <f t="shared" si="42"/>
        <v>0</v>
      </c>
      <c r="CR24" s="207">
        <v>0</v>
      </c>
      <c r="CS24" s="207">
        <f t="shared" si="43"/>
        <v>0</v>
      </c>
      <c r="CT24" s="207">
        <f t="shared" si="44"/>
        <v>3.5</v>
      </c>
      <c r="CU24" s="208">
        <f t="shared" si="45"/>
        <v>26.5</v>
      </c>
      <c r="CV24" s="205">
        <f t="shared" si="46"/>
        <v>2.3943923611111111</v>
      </c>
      <c r="CW24" s="206" t="str">
        <f t="shared" si="47"/>
        <v>(0.22)</v>
      </c>
      <c r="CX24" s="207">
        <v>2</v>
      </c>
      <c r="CY24" s="207">
        <f t="shared" si="48"/>
        <v>3.5</v>
      </c>
      <c r="CZ24" s="207">
        <v>0</v>
      </c>
      <c r="DA24" s="207">
        <f t="shared" si="49"/>
        <v>0</v>
      </c>
      <c r="DB24" s="207">
        <v>0</v>
      </c>
      <c r="DC24" s="207">
        <f t="shared" si="50"/>
        <v>0</v>
      </c>
      <c r="DD24" s="207">
        <f t="shared" si="51"/>
        <v>3.5</v>
      </c>
      <c r="DE24" s="208">
        <f t="shared" si="52"/>
        <v>32.5</v>
      </c>
      <c r="DF24" s="205">
        <f t="shared" si="53"/>
        <v>2.836434027777778</v>
      </c>
      <c r="DG24" s="206" t="str">
        <f t="shared" si="54"/>
        <v>(0.26)</v>
      </c>
      <c r="DH24" s="207">
        <v>2</v>
      </c>
      <c r="DI24" s="207">
        <f t="shared" si="55"/>
        <v>3.5</v>
      </c>
      <c r="DJ24" s="207">
        <v>0</v>
      </c>
      <c r="DK24" s="207">
        <f t="shared" si="56"/>
        <v>0</v>
      </c>
      <c r="DL24" s="207">
        <v>0</v>
      </c>
      <c r="DM24" s="207">
        <f t="shared" si="57"/>
        <v>0</v>
      </c>
      <c r="DN24" s="207">
        <f t="shared" si="58"/>
        <v>3.5</v>
      </c>
      <c r="DO24" s="208">
        <f t="shared" si="59"/>
        <v>38.5</v>
      </c>
      <c r="DP24" s="205">
        <f t="shared" si="60"/>
        <v>3.2784756944444444</v>
      </c>
      <c r="DQ24" s="206" t="str">
        <f t="shared" si="61"/>
        <v>(0.3)</v>
      </c>
      <c r="DR24" s="207">
        <v>2</v>
      </c>
      <c r="DS24" s="207">
        <f t="shared" si="62"/>
        <v>3.5</v>
      </c>
      <c r="DT24" s="207">
        <v>0</v>
      </c>
      <c r="DU24" s="207">
        <f t="shared" si="63"/>
        <v>0</v>
      </c>
      <c r="DV24" s="207">
        <v>0</v>
      </c>
      <c r="DW24" s="207">
        <f t="shared" si="64"/>
        <v>0</v>
      </c>
      <c r="DX24" s="207">
        <f t="shared" si="65"/>
        <v>3.5</v>
      </c>
      <c r="DY24" s="208">
        <f t="shared" si="66"/>
        <v>44.5</v>
      </c>
      <c r="DZ24" s="205">
        <f t="shared" si="67"/>
        <v>3.6468437499999999</v>
      </c>
      <c r="EA24" s="206" t="str">
        <f t="shared" si="68"/>
        <v>(0.34)</v>
      </c>
      <c r="EB24" s="207">
        <v>2</v>
      </c>
      <c r="EC24" s="207">
        <f t="shared" si="69"/>
        <v>3.5</v>
      </c>
      <c r="ED24" s="207">
        <v>0</v>
      </c>
      <c r="EE24" s="207">
        <f t="shared" si="70"/>
        <v>0</v>
      </c>
      <c r="EF24" s="207">
        <v>1</v>
      </c>
      <c r="EG24" s="207">
        <f t="shared" si="71"/>
        <v>1</v>
      </c>
      <c r="EH24" s="207">
        <f t="shared" si="72"/>
        <v>4.5</v>
      </c>
      <c r="EI24" s="208">
        <f t="shared" si="73"/>
        <v>49.5</v>
      </c>
      <c r="EJ24" s="205">
        <f t="shared" si="74"/>
        <v>4.0888854166666668</v>
      </c>
      <c r="EK24" s="206" t="str">
        <f t="shared" si="75"/>
        <v>(0.38)</v>
      </c>
      <c r="EL24" s="207">
        <v>2</v>
      </c>
      <c r="EM24" s="207">
        <f t="shared" si="76"/>
        <v>3.5</v>
      </c>
      <c r="EN24" s="207">
        <v>0</v>
      </c>
      <c r="EO24" s="207">
        <f t="shared" si="77"/>
        <v>0</v>
      </c>
      <c r="EP24" s="207">
        <v>1</v>
      </c>
      <c r="EQ24" s="207">
        <f t="shared" si="78"/>
        <v>1</v>
      </c>
      <c r="ER24" s="207">
        <f t="shared" si="79"/>
        <v>4.5</v>
      </c>
      <c r="ES24" s="208">
        <f t="shared" si="80"/>
        <v>55.5</v>
      </c>
      <c r="ET24" s="205">
        <f t="shared" si="81"/>
        <v>4.5309270833333333</v>
      </c>
      <c r="EU24" s="206" t="str">
        <f t="shared" si="82"/>
        <v>(0.42)</v>
      </c>
      <c r="EV24" s="207">
        <v>2</v>
      </c>
      <c r="EW24" s="207">
        <f t="shared" si="83"/>
        <v>3.5</v>
      </c>
      <c r="EX24" s="207">
        <v>0</v>
      </c>
      <c r="EY24" s="207">
        <f t="shared" si="84"/>
        <v>0</v>
      </c>
      <c r="EZ24" s="207">
        <v>1</v>
      </c>
      <c r="FA24" s="207">
        <f t="shared" si="85"/>
        <v>1</v>
      </c>
      <c r="FB24" s="207">
        <f t="shared" si="86"/>
        <v>4.5</v>
      </c>
      <c r="FC24" s="208">
        <f t="shared" si="87"/>
        <v>61.5</v>
      </c>
      <c r="FD24" s="205">
        <f t="shared" si="88"/>
        <v>5.0466423611111111</v>
      </c>
      <c r="FE24" s="206" t="str">
        <f t="shared" si="89"/>
        <v>(0.47)</v>
      </c>
      <c r="FF24" s="207">
        <v>2</v>
      </c>
      <c r="FG24" s="207">
        <f t="shared" si="90"/>
        <v>3.5</v>
      </c>
      <c r="FH24" s="469">
        <v>0</v>
      </c>
      <c r="FI24" s="207">
        <f t="shared" si="91"/>
        <v>0</v>
      </c>
      <c r="FJ24" s="207">
        <v>0</v>
      </c>
      <c r="FK24" s="207">
        <f t="shared" si="92"/>
        <v>0</v>
      </c>
      <c r="FL24" s="207">
        <f t="shared" si="93"/>
        <v>3.5</v>
      </c>
      <c r="FM24" s="208">
        <f t="shared" si="94"/>
        <v>68.5</v>
      </c>
      <c r="FN24" s="205">
        <f t="shared" si="95"/>
        <v>5.4058012152777781</v>
      </c>
      <c r="FO24" s="206" t="str">
        <f t="shared" si="96"/>
        <v>(0.50)</v>
      </c>
      <c r="FP24" s="207">
        <v>2</v>
      </c>
      <c r="FQ24" s="207">
        <f t="shared" si="97"/>
        <v>3.5</v>
      </c>
      <c r="FR24" s="207">
        <v>1</v>
      </c>
      <c r="FS24" s="207">
        <f t="shared" si="98"/>
        <v>1.125</v>
      </c>
      <c r="FT24" s="207">
        <v>0</v>
      </c>
      <c r="FU24" s="207">
        <f t="shared" si="99"/>
        <v>0</v>
      </c>
      <c r="FV24" s="207">
        <f t="shared" si="100"/>
        <v>4.625</v>
      </c>
      <c r="FW24" s="208">
        <f t="shared" si="101"/>
        <v>73.375</v>
      </c>
      <c r="FX24" s="205">
        <f t="shared" si="102"/>
        <v>5.8478428819444446</v>
      </c>
      <c r="FY24" s="206" t="str">
        <f t="shared" si="103"/>
        <v>(0.54)</v>
      </c>
      <c r="FZ24" s="207">
        <v>2</v>
      </c>
      <c r="GA24" s="207">
        <f t="shared" si="104"/>
        <v>3.5</v>
      </c>
      <c r="GB24" s="207">
        <v>1</v>
      </c>
      <c r="GC24" s="207">
        <f t="shared" si="105"/>
        <v>1.125</v>
      </c>
      <c r="GD24" s="207">
        <v>0</v>
      </c>
      <c r="GE24" s="207">
        <f t="shared" si="106"/>
        <v>0</v>
      </c>
      <c r="GF24" s="207">
        <f t="shared" si="107"/>
        <v>4.625</v>
      </c>
      <c r="GG24" s="208">
        <f t="shared" si="108"/>
        <v>79.375</v>
      </c>
      <c r="GH24" s="205">
        <f t="shared" si="109"/>
        <v>6.289884548611111</v>
      </c>
      <c r="GI24" s="206" t="str">
        <f t="shared" si="110"/>
        <v>(0.58)</v>
      </c>
      <c r="GJ24" s="207">
        <v>2</v>
      </c>
      <c r="GK24" s="207">
        <f t="shared" si="111"/>
        <v>3.5</v>
      </c>
      <c r="GL24" s="207">
        <v>1</v>
      </c>
      <c r="GM24" s="207">
        <f t="shared" si="112"/>
        <v>1.125</v>
      </c>
      <c r="GN24" s="207">
        <v>0</v>
      </c>
      <c r="GO24" s="207">
        <f t="shared" si="113"/>
        <v>0</v>
      </c>
      <c r="GP24" s="207">
        <f t="shared" si="114"/>
        <v>4.625</v>
      </c>
      <c r="GQ24" s="208">
        <f t="shared" si="115"/>
        <v>85.375</v>
      </c>
      <c r="GR24" s="205">
        <f t="shared" si="116"/>
        <v>6.7319262152777775</v>
      </c>
      <c r="GS24" s="206" t="str">
        <f t="shared" si="117"/>
        <v>(0.63)</v>
      </c>
      <c r="GT24" s="207">
        <v>2</v>
      </c>
      <c r="GU24" s="207">
        <f t="shared" si="118"/>
        <v>3.5</v>
      </c>
      <c r="GV24" s="207">
        <v>1</v>
      </c>
      <c r="GW24" s="207">
        <f t="shared" si="119"/>
        <v>1.125</v>
      </c>
      <c r="GX24" s="207">
        <v>0</v>
      </c>
      <c r="GY24" s="207">
        <f t="shared" si="120"/>
        <v>0</v>
      </c>
      <c r="GZ24" s="207">
        <f t="shared" si="121"/>
        <v>4.625</v>
      </c>
      <c r="HA24" s="208">
        <f t="shared" si="122"/>
        <v>91.375</v>
      </c>
      <c r="HB24" s="205">
        <f t="shared" si="123"/>
        <v>7.1739678819444448</v>
      </c>
      <c r="HC24" s="206" t="str">
        <f t="shared" si="124"/>
        <v>(0.67)</v>
      </c>
      <c r="HD24" s="207">
        <v>2</v>
      </c>
      <c r="HE24" s="207">
        <f t="shared" si="125"/>
        <v>3.5</v>
      </c>
      <c r="HF24" s="207">
        <v>1</v>
      </c>
      <c r="HG24" s="207">
        <f t="shared" si="126"/>
        <v>1.125</v>
      </c>
      <c r="HH24" s="207">
        <v>0</v>
      </c>
      <c r="HI24" s="207">
        <f t="shared" si="127"/>
        <v>0</v>
      </c>
      <c r="HJ24" s="207">
        <f t="shared" si="128"/>
        <v>4.625</v>
      </c>
      <c r="HK24" s="208">
        <f t="shared" si="129"/>
        <v>97.375</v>
      </c>
      <c r="HL24" s="205">
        <f t="shared" si="130"/>
        <v>7.4686623263888885</v>
      </c>
      <c r="HM24" s="206" t="str">
        <f t="shared" si="131"/>
        <v>(0.69)</v>
      </c>
      <c r="HN24" s="207">
        <v>2</v>
      </c>
      <c r="HO24" s="207">
        <f t="shared" si="132"/>
        <v>3.5</v>
      </c>
      <c r="HP24" s="207">
        <v>1</v>
      </c>
      <c r="HQ24" s="207">
        <f t="shared" si="133"/>
        <v>1.125</v>
      </c>
      <c r="HR24" s="207">
        <v>2</v>
      </c>
      <c r="HS24" s="207">
        <f t="shared" si="134"/>
        <v>2</v>
      </c>
      <c r="HT24" s="207">
        <f t="shared" si="135"/>
        <v>6.625</v>
      </c>
      <c r="HU24" s="208">
        <f t="shared" si="136"/>
        <v>101.375</v>
      </c>
      <c r="HV24" s="205">
        <f t="shared" si="137"/>
        <v>7.9107039930555549</v>
      </c>
      <c r="HW24" s="206" t="str">
        <f t="shared" si="138"/>
        <v>(0.73)</v>
      </c>
      <c r="HX24" s="207">
        <v>2</v>
      </c>
      <c r="HY24" s="207">
        <f t="shared" si="139"/>
        <v>3.5</v>
      </c>
      <c r="HZ24" s="207">
        <v>1</v>
      </c>
      <c r="IA24" s="207">
        <f t="shared" si="140"/>
        <v>1.125</v>
      </c>
      <c r="IB24" s="207">
        <v>2</v>
      </c>
      <c r="IC24" s="207">
        <f t="shared" si="141"/>
        <v>2</v>
      </c>
      <c r="ID24" s="207">
        <f t="shared" si="142"/>
        <v>6.625</v>
      </c>
      <c r="IE24" s="208">
        <f t="shared" si="143"/>
        <v>107.375</v>
      </c>
      <c r="IF24" s="205">
        <f t="shared" si="144"/>
        <v>8.3527456597222223</v>
      </c>
      <c r="IG24" s="206" t="str">
        <f t="shared" si="145"/>
        <v>(0.78)</v>
      </c>
      <c r="IH24" s="21">
        <v>2</v>
      </c>
      <c r="II24" s="21">
        <f t="shared" si="146"/>
        <v>3.5</v>
      </c>
      <c r="IJ24" s="21">
        <v>1</v>
      </c>
      <c r="IK24" s="21">
        <f t="shared" si="147"/>
        <v>1.125</v>
      </c>
      <c r="IL24" s="21">
        <v>2</v>
      </c>
      <c r="IM24" s="21">
        <f t="shared" si="148"/>
        <v>2</v>
      </c>
      <c r="IN24" s="21">
        <f t="shared" si="149"/>
        <v>6.625</v>
      </c>
      <c r="IO24" s="22">
        <f t="shared" si="150"/>
        <v>113.375</v>
      </c>
      <c r="IP24" s="23"/>
      <c r="IQ24" s="24">
        <f t="shared" si="151"/>
        <v>3</v>
      </c>
      <c r="IR24" s="25">
        <v>2.5</v>
      </c>
      <c r="IS24" s="25">
        <v>2.8780000000000001</v>
      </c>
      <c r="IT24" s="25">
        <v>2.3530000000000002</v>
      </c>
      <c r="IU24" s="25">
        <v>1.75</v>
      </c>
      <c r="IV24" s="25">
        <v>1</v>
      </c>
      <c r="IW24" s="25">
        <v>1.125</v>
      </c>
      <c r="IX24" s="7"/>
    </row>
    <row r="25" spans="2:258" ht="15.75" thickBot="1" x14ac:dyDescent="0.3">
      <c r="B25" s="80">
        <f t="shared" si="9"/>
        <v>48</v>
      </c>
      <c r="C25" s="148">
        <v>9</v>
      </c>
      <c r="D25" s="487"/>
      <c r="E25" s="468">
        <f t="shared" si="0"/>
        <v>0.37295225694444445</v>
      </c>
      <c r="F25" s="468">
        <f t="shared" si="1"/>
        <v>0.42414178240740741</v>
      </c>
      <c r="G25" s="468">
        <f t="shared" si="2"/>
        <v>0.44973654513888889</v>
      </c>
      <c r="H25" s="468">
        <f>CL28/((H$16*$B25)/144)</f>
        <v>0.46509340277777778</v>
      </c>
      <c r="I25" s="468">
        <f t="shared" si="4"/>
        <v>0.47533130787037031</v>
      </c>
      <c r="J25" s="468">
        <f t="shared" si="5"/>
        <v>0.48264409722222223</v>
      </c>
      <c r="K25" s="468">
        <f t="shared" si="6"/>
        <v>0.48812868923611114</v>
      </c>
      <c r="L25" s="468">
        <f t="shared" si="7"/>
        <v>0.48264409722222218</v>
      </c>
      <c r="M25" s="468">
        <f t="shared" si="8"/>
        <v>0.48703177083333332</v>
      </c>
      <c r="N25" s="488"/>
      <c r="O25" s="488"/>
      <c r="P25" s="488"/>
      <c r="Q25" s="488"/>
      <c r="R25" s="488"/>
      <c r="S25" s="488"/>
      <c r="T25" s="488"/>
      <c r="U25" s="488"/>
      <c r="V25" s="488"/>
      <c r="W25" s="488"/>
      <c r="X25" s="76"/>
      <c r="Y25" s="46"/>
      <c r="AA25" s="61"/>
      <c r="AT25" s="3"/>
      <c r="AU25" s="26">
        <f t="shared" si="152"/>
        <v>30</v>
      </c>
      <c r="AV25" s="27" t="str">
        <f t="shared" si="10"/>
        <v>(750)</v>
      </c>
      <c r="AW25" s="18"/>
      <c r="AX25" s="19">
        <f t="shared" si="11"/>
        <v>0.64751041666666664</v>
      </c>
      <c r="AY25" s="28" t="str">
        <f t="shared" si="12"/>
        <v>(0.06)</v>
      </c>
      <c r="AZ25" s="21">
        <v>2</v>
      </c>
      <c r="BA25" s="21">
        <f t="shared" si="13"/>
        <v>3.5</v>
      </c>
      <c r="BB25" s="29">
        <v>0</v>
      </c>
      <c r="BC25" s="21">
        <f t="shared" si="14"/>
        <v>0</v>
      </c>
      <c r="BD25" s="29">
        <v>0</v>
      </c>
      <c r="BE25" s="21">
        <f t="shared" si="15"/>
        <v>0</v>
      </c>
      <c r="BF25" s="21">
        <f t="shared" si="16"/>
        <v>3.5</v>
      </c>
      <c r="BG25" s="22">
        <f t="shared" si="17"/>
        <v>5.5</v>
      </c>
      <c r="BH25" s="205">
        <f t="shared" si="18"/>
        <v>1.0006979166666665</v>
      </c>
      <c r="BI25" s="206" t="str">
        <f t="shared" si="19"/>
        <v>(0.09)</v>
      </c>
      <c r="BJ25" s="207">
        <v>2</v>
      </c>
      <c r="BK25" s="207">
        <f t="shared" si="20"/>
        <v>3.5</v>
      </c>
      <c r="BL25" s="207">
        <v>0</v>
      </c>
      <c r="BM25" s="207">
        <f t="shared" si="21"/>
        <v>0</v>
      </c>
      <c r="BN25" s="207">
        <v>0</v>
      </c>
      <c r="BO25" s="207">
        <f t="shared" si="22"/>
        <v>0</v>
      </c>
      <c r="BP25" s="207">
        <f t="shared" si="23"/>
        <v>3.5</v>
      </c>
      <c r="BQ25" s="208">
        <f t="shared" si="24"/>
        <v>8.5</v>
      </c>
      <c r="BR25" s="205">
        <f t="shared" si="25"/>
        <v>1.7070729166666667</v>
      </c>
      <c r="BS25" s="206" t="str">
        <f t="shared" si="26"/>
        <v>(0.16)</v>
      </c>
      <c r="BT25" s="207">
        <v>2</v>
      </c>
      <c r="BU25" s="207">
        <f t="shared" si="27"/>
        <v>3.5</v>
      </c>
      <c r="BV25" s="207">
        <v>0</v>
      </c>
      <c r="BW25" s="207">
        <f t="shared" si="28"/>
        <v>0</v>
      </c>
      <c r="BX25" s="207">
        <v>0</v>
      </c>
      <c r="BY25" s="207">
        <f t="shared" si="29"/>
        <v>0</v>
      </c>
      <c r="BZ25" s="207">
        <f t="shared" si="30"/>
        <v>3.5</v>
      </c>
      <c r="CA25" s="208">
        <f t="shared" si="31"/>
        <v>14.5</v>
      </c>
      <c r="CB25" s="205">
        <f t="shared" si="32"/>
        <v>2.4134479166666667</v>
      </c>
      <c r="CC25" s="206" t="str">
        <f t="shared" si="33"/>
        <v>(0.22)</v>
      </c>
      <c r="CD25" s="207">
        <v>2</v>
      </c>
      <c r="CE25" s="207">
        <f t="shared" si="34"/>
        <v>3.5</v>
      </c>
      <c r="CF25" s="207">
        <v>0</v>
      </c>
      <c r="CG25" s="207">
        <f t="shared" si="35"/>
        <v>0</v>
      </c>
      <c r="CH25" s="207">
        <v>0</v>
      </c>
      <c r="CI25" s="207">
        <f t="shared" si="36"/>
        <v>0</v>
      </c>
      <c r="CJ25" s="207">
        <f t="shared" si="37"/>
        <v>3.5</v>
      </c>
      <c r="CK25" s="208">
        <f t="shared" si="38"/>
        <v>20.5</v>
      </c>
      <c r="CL25" s="205">
        <f t="shared" si="39"/>
        <v>3.1198229166666667</v>
      </c>
      <c r="CM25" s="206" t="str">
        <f t="shared" si="40"/>
        <v>(0.29)</v>
      </c>
      <c r="CN25" s="207">
        <v>2</v>
      </c>
      <c r="CO25" s="207">
        <f t="shared" si="41"/>
        <v>3.5</v>
      </c>
      <c r="CP25" s="207">
        <v>0</v>
      </c>
      <c r="CQ25" s="207">
        <f t="shared" si="42"/>
        <v>0</v>
      </c>
      <c r="CR25" s="207">
        <v>0</v>
      </c>
      <c r="CS25" s="207">
        <f t="shared" si="43"/>
        <v>0</v>
      </c>
      <c r="CT25" s="207">
        <f t="shared" si="44"/>
        <v>3.5</v>
      </c>
      <c r="CU25" s="208">
        <f t="shared" si="45"/>
        <v>26.5</v>
      </c>
      <c r="CV25" s="205">
        <f t="shared" si="46"/>
        <v>3.8261979166666666</v>
      </c>
      <c r="CW25" s="206" t="str">
        <f t="shared" si="47"/>
        <v>(0.36)</v>
      </c>
      <c r="CX25" s="207">
        <v>2</v>
      </c>
      <c r="CY25" s="207">
        <f t="shared" si="48"/>
        <v>3.5</v>
      </c>
      <c r="CZ25" s="207">
        <v>0</v>
      </c>
      <c r="DA25" s="207">
        <f t="shared" si="49"/>
        <v>0</v>
      </c>
      <c r="DB25" s="207">
        <v>0</v>
      </c>
      <c r="DC25" s="207">
        <f t="shared" si="50"/>
        <v>0</v>
      </c>
      <c r="DD25" s="207">
        <f t="shared" si="51"/>
        <v>3.5</v>
      </c>
      <c r="DE25" s="208">
        <f t="shared" si="52"/>
        <v>32.5</v>
      </c>
      <c r="DF25" s="205">
        <f t="shared" si="53"/>
        <v>4.5325729166666662</v>
      </c>
      <c r="DG25" s="206" t="str">
        <f t="shared" si="54"/>
        <v>(0.42)</v>
      </c>
      <c r="DH25" s="207">
        <v>2</v>
      </c>
      <c r="DI25" s="207">
        <f t="shared" si="55"/>
        <v>3.5</v>
      </c>
      <c r="DJ25" s="207">
        <v>0</v>
      </c>
      <c r="DK25" s="207">
        <f t="shared" si="56"/>
        <v>0</v>
      </c>
      <c r="DL25" s="207">
        <v>0</v>
      </c>
      <c r="DM25" s="207">
        <f t="shared" si="57"/>
        <v>0</v>
      </c>
      <c r="DN25" s="207">
        <f t="shared" si="58"/>
        <v>3.5</v>
      </c>
      <c r="DO25" s="208">
        <f t="shared" si="59"/>
        <v>38.5</v>
      </c>
      <c r="DP25" s="205">
        <f t="shared" si="60"/>
        <v>5.2389479166666666</v>
      </c>
      <c r="DQ25" s="206" t="str">
        <f t="shared" si="61"/>
        <v>(0.49)</v>
      </c>
      <c r="DR25" s="207">
        <v>2</v>
      </c>
      <c r="DS25" s="207">
        <f t="shared" si="62"/>
        <v>3.5</v>
      </c>
      <c r="DT25" s="207">
        <v>0</v>
      </c>
      <c r="DU25" s="207">
        <f t="shared" si="63"/>
        <v>0</v>
      </c>
      <c r="DV25" s="207">
        <v>0</v>
      </c>
      <c r="DW25" s="207">
        <f t="shared" si="64"/>
        <v>0</v>
      </c>
      <c r="DX25" s="207">
        <f t="shared" si="65"/>
        <v>3.5</v>
      </c>
      <c r="DY25" s="208">
        <f t="shared" si="66"/>
        <v>44.5</v>
      </c>
      <c r="DZ25" s="205">
        <f t="shared" si="67"/>
        <v>5.8275937500000001</v>
      </c>
      <c r="EA25" s="206" t="str">
        <f t="shared" si="68"/>
        <v>(0.54)</v>
      </c>
      <c r="EB25" s="207">
        <v>2</v>
      </c>
      <c r="EC25" s="207">
        <f t="shared" si="69"/>
        <v>3.5</v>
      </c>
      <c r="ED25" s="207">
        <v>0</v>
      </c>
      <c r="EE25" s="207">
        <f t="shared" si="70"/>
        <v>0</v>
      </c>
      <c r="EF25" s="207">
        <v>1</v>
      </c>
      <c r="EG25" s="207">
        <f t="shared" si="71"/>
        <v>1</v>
      </c>
      <c r="EH25" s="207">
        <f t="shared" si="72"/>
        <v>4.5</v>
      </c>
      <c r="EI25" s="208">
        <f t="shared" si="73"/>
        <v>49.5</v>
      </c>
      <c r="EJ25" s="205">
        <f t="shared" si="74"/>
        <v>6.5339687499999997</v>
      </c>
      <c r="EK25" s="206" t="str">
        <f t="shared" si="75"/>
        <v>(0.61)</v>
      </c>
      <c r="EL25" s="207">
        <v>2</v>
      </c>
      <c r="EM25" s="207">
        <f t="shared" si="76"/>
        <v>3.5</v>
      </c>
      <c r="EN25" s="207">
        <v>0</v>
      </c>
      <c r="EO25" s="207">
        <f t="shared" si="77"/>
        <v>0</v>
      </c>
      <c r="EP25" s="207">
        <v>1</v>
      </c>
      <c r="EQ25" s="207">
        <f t="shared" si="78"/>
        <v>1</v>
      </c>
      <c r="ER25" s="207">
        <f t="shared" si="79"/>
        <v>4.5</v>
      </c>
      <c r="ES25" s="208">
        <f t="shared" si="80"/>
        <v>55.5</v>
      </c>
      <c r="ET25" s="205">
        <f t="shared" si="81"/>
        <v>7.2403437500000001</v>
      </c>
      <c r="EU25" s="206" t="str">
        <f t="shared" si="82"/>
        <v>(0.67)</v>
      </c>
      <c r="EV25" s="207">
        <v>2</v>
      </c>
      <c r="EW25" s="207">
        <f t="shared" si="83"/>
        <v>3.5</v>
      </c>
      <c r="EX25" s="207">
        <v>0</v>
      </c>
      <c r="EY25" s="207">
        <f t="shared" si="84"/>
        <v>0</v>
      </c>
      <c r="EZ25" s="207">
        <v>1</v>
      </c>
      <c r="FA25" s="207">
        <f t="shared" si="85"/>
        <v>1</v>
      </c>
      <c r="FB25" s="207">
        <f t="shared" si="86"/>
        <v>4.5</v>
      </c>
      <c r="FC25" s="208">
        <f t="shared" si="87"/>
        <v>61.5</v>
      </c>
      <c r="FD25" s="205">
        <f t="shared" si="88"/>
        <v>8.0644479166666656</v>
      </c>
      <c r="FE25" s="206" t="str">
        <f t="shared" si="89"/>
        <v>(0.75)</v>
      </c>
      <c r="FF25" s="207">
        <v>2</v>
      </c>
      <c r="FG25" s="207">
        <f t="shared" si="90"/>
        <v>3.5</v>
      </c>
      <c r="FH25" s="469">
        <v>0</v>
      </c>
      <c r="FI25" s="207">
        <f t="shared" si="91"/>
        <v>0</v>
      </c>
      <c r="FJ25" s="207">
        <v>0</v>
      </c>
      <c r="FK25" s="207">
        <f t="shared" si="92"/>
        <v>0</v>
      </c>
      <c r="FL25" s="207">
        <f t="shared" si="93"/>
        <v>3.5</v>
      </c>
      <c r="FM25" s="208">
        <f t="shared" si="94"/>
        <v>68.5</v>
      </c>
      <c r="FN25" s="205">
        <f t="shared" si="95"/>
        <v>8.6383776041666671</v>
      </c>
      <c r="FO25" s="206" t="str">
        <f t="shared" si="96"/>
        <v>(0.80)</v>
      </c>
      <c r="FP25" s="207">
        <v>2</v>
      </c>
      <c r="FQ25" s="207">
        <f t="shared" si="97"/>
        <v>3.5</v>
      </c>
      <c r="FR25" s="207">
        <v>1</v>
      </c>
      <c r="FS25" s="207">
        <f t="shared" si="98"/>
        <v>1.125</v>
      </c>
      <c r="FT25" s="207">
        <v>0</v>
      </c>
      <c r="FU25" s="207">
        <f t="shared" si="99"/>
        <v>0</v>
      </c>
      <c r="FV25" s="207">
        <f t="shared" si="100"/>
        <v>4.625</v>
      </c>
      <c r="FW25" s="208">
        <f t="shared" si="101"/>
        <v>73.375</v>
      </c>
      <c r="FX25" s="205">
        <f t="shared" si="102"/>
        <v>9.3447526041666649</v>
      </c>
      <c r="FY25" s="206" t="str">
        <f t="shared" si="103"/>
        <v>(0.87)</v>
      </c>
      <c r="FZ25" s="207">
        <v>2</v>
      </c>
      <c r="GA25" s="207">
        <f t="shared" si="104"/>
        <v>3.5</v>
      </c>
      <c r="GB25" s="207">
        <v>1</v>
      </c>
      <c r="GC25" s="207">
        <f t="shared" si="105"/>
        <v>1.125</v>
      </c>
      <c r="GD25" s="207">
        <v>0</v>
      </c>
      <c r="GE25" s="207">
        <f t="shared" si="106"/>
        <v>0</v>
      </c>
      <c r="GF25" s="207">
        <f t="shared" si="107"/>
        <v>4.625</v>
      </c>
      <c r="GG25" s="208">
        <f t="shared" si="108"/>
        <v>79.375</v>
      </c>
      <c r="GH25" s="205">
        <f t="shared" si="109"/>
        <v>10.051127604166666</v>
      </c>
      <c r="GI25" s="206" t="str">
        <f t="shared" si="110"/>
        <v>(0.93)</v>
      </c>
      <c r="GJ25" s="207">
        <v>2</v>
      </c>
      <c r="GK25" s="207">
        <f t="shared" si="111"/>
        <v>3.5</v>
      </c>
      <c r="GL25" s="207">
        <v>1</v>
      </c>
      <c r="GM25" s="207">
        <f t="shared" si="112"/>
        <v>1.125</v>
      </c>
      <c r="GN25" s="207">
        <v>0</v>
      </c>
      <c r="GO25" s="207">
        <f t="shared" si="113"/>
        <v>0</v>
      </c>
      <c r="GP25" s="207">
        <f t="shared" si="114"/>
        <v>4.625</v>
      </c>
      <c r="GQ25" s="208">
        <f t="shared" si="115"/>
        <v>85.375</v>
      </c>
      <c r="GR25" s="205">
        <f t="shared" si="116"/>
        <v>10.757502604166667</v>
      </c>
      <c r="GS25" s="206" t="str">
        <f t="shared" si="117"/>
        <v>(1.00)</v>
      </c>
      <c r="GT25" s="207">
        <v>2</v>
      </c>
      <c r="GU25" s="207">
        <f t="shared" si="118"/>
        <v>3.5</v>
      </c>
      <c r="GV25" s="207">
        <v>1</v>
      </c>
      <c r="GW25" s="207">
        <f t="shared" si="119"/>
        <v>1.125</v>
      </c>
      <c r="GX25" s="207">
        <v>0</v>
      </c>
      <c r="GY25" s="207">
        <f t="shared" si="120"/>
        <v>0</v>
      </c>
      <c r="GZ25" s="207">
        <f t="shared" si="121"/>
        <v>4.625</v>
      </c>
      <c r="HA25" s="208">
        <f t="shared" si="122"/>
        <v>91.375</v>
      </c>
      <c r="HB25" s="205">
        <f t="shared" si="123"/>
        <v>11.463877604166665</v>
      </c>
      <c r="HC25" s="206" t="str">
        <f t="shared" si="124"/>
        <v>(1.07)</v>
      </c>
      <c r="HD25" s="207">
        <v>2</v>
      </c>
      <c r="HE25" s="207">
        <f t="shared" si="125"/>
        <v>3.5</v>
      </c>
      <c r="HF25" s="207">
        <v>1</v>
      </c>
      <c r="HG25" s="207">
        <f t="shared" si="126"/>
        <v>1.125</v>
      </c>
      <c r="HH25" s="207">
        <v>0</v>
      </c>
      <c r="HI25" s="207">
        <f t="shared" si="127"/>
        <v>0</v>
      </c>
      <c r="HJ25" s="207">
        <f t="shared" si="128"/>
        <v>4.625</v>
      </c>
      <c r="HK25" s="208">
        <f t="shared" si="129"/>
        <v>97.375</v>
      </c>
      <c r="HL25" s="205">
        <f t="shared" si="130"/>
        <v>11.934794270833333</v>
      </c>
      <c r="HM25" s="206" t="str">
        <f t="shared" si="131"/>
        <v>(1.11)</v>
      </c>
      <c r="HN25" s="207">
        <v>2</v>
      </c>
      <c r="HO25" s="207">
        <f t="shared" si="132"/>
        <v>3.5</v>
      </c>
      <c r="HP25" s="207">
        <v>1</v>
      </c>
      <c r="HQ25" s="207">
        <f t="shared" si="133"/>
        <v>1.125</v>
      </c>
      <c r="HR25" s="207">
        <v>2</v>
      </c>
      <c r="HS25" s="207">
        <f t="shared" si="134"/>
        <v>2</v>
      </c>
      <c r="HT25" s="207">
        <f t="shared" si="135"/>
        <v>6.625</v>
      </c>
      <c r="HU25" s="208">
        <f t="shared" si="136"/>
        <v>101.375</v>
      </c>
      <c r="HV25" s="205">
        <f t="shared" si="137"/>
        <v>12.641169270833332</v>
      </c>
      <c r="HW25" s="206" t="str">
        <f t="shared" si="138"/>
        <v>(1.17)</v>
      </c>
      <c r="HX25" s="207">
        <v>2</v>
      </c>
      <c r="HY25" s="207">
        <f t="shared" si="139"/>
        <v>3.5</v>
      </c>
      <c r="HZ25" s="207">
        <v>1</v>
      </c>
      <c r="IA25" s="207">
        <f t="shared" si="140"/>
        <v>1.125</v>
      </c>
      <c r="IB25" s="207">
        <v>2</v>
      </c>
      <c r="IC25" s="207">
        <f t="shared" si="141"/>
        <v>2</v>
      </c>
      <c r="ID25" s="207">
        <f t="shared" si="142"/>
        <v>6.625</v>
      </c>
      <c r="IE25" s="208">
        <f t="shared" si="143"/>
        <v>107.375</v>
      </c>
      <c r="IF25" s="205">
        <f t="shared" si="144"/>
        <v>13.347544270833332</v>
      </c>
      <c r="IG25" s="206" t="str">
        <f t="shared" si="145"/>
        <v>(1.24)</v>
      </c>
      <c r="IH25" s="21">
        <v>2</v>
      </c>
      <c r="II25" s="21">
        <f t="shared" si="146"/>
        <v>3.5</v>
      </c>
      <c r="IJ25" s="29">
        <v>1</v>
      </c>
      <c r="IK25" s="21">
        <f t="shared" si="147"/>
        <v>1.125</v>
      </c>
      <c r="IL25" s="21">
        <v>2</v>
      </c>
      <c r="IM25" s="21">
        <f t="shared" si="148"/>
        <v>2</v>
      </c>
      <c r="IN25" s="21">
        <f t="shared" si="149"/>
        <v>6.625</v>
      </c>
      <c r="IO25" s="22">
        <f t="shared" si="150"/>
        <v>113.375</v>
      </c>
      <c r="IP25" s="23"/>
      <c r="IQ25" s="24">
        <f t="shared" si="151"/>
        <v>5</v>
      </c>
      <c r="IR25" s="25">
        <v>2.5</v>
      </c>
      <c r="IS25" s="25">
        <v>2.8780000000000001</v>
      </c>
      <c r="IT25" s="25">
        <f>0.458+2.483</f>
        <v>2.9410000000000003</v>
      </c>
      <c r="IU25" s="25">
        <v>1.75</v>
      </c>
      <c r="IV25" s="25">
        <v>1</v>
      </c>
      <c r="IW25" s="25">
        <v>1.125</v>
      </c>
      <c r="IX25" s="7"/>
    </row>
    <row r="26" spans="2:258" ht="15.75" thickBot="1" x14ac:dyDescent="0.3">
      <c r="B26" s="79">
        <f t="shared" si="9"/>
        <v>54</v>
      </c>
      <c r="C26" s="147">
        <v>10</v>
      </c>
      <c r="D26" s="487"/>
      <c r="E26" s="468">
        <f t="shared" si="0"/>
        <v>0.36567052469135808</v>
      </c>
      <c r="F26" s="468">
        <f t="shared" si="1"/>
        <v>0.415860596707819</v>
      </c>
      <c r="G26" s="468">
        <f t="shared" si="2"/>
        <v>0.44095563271604943</v>
      </c>
      <c r="H26" s="468">
        <f t="shared" si="3"/>
        <v>0.4560126543209877</v>
      </c>
      <c r="I26" s="468">
        <f t="shared" si="4"/>
        <v>0.46605066872427986</v>
      </c>
      <c r="J26" s="468">
        <f t="shared" si="5"/>
        <v>0.47322067901234571</v>
      </c>
      <c r="K26" s="468">
        <f t="shared" si="6"/>
        <v>0.47859818672839516</v>
      </c>
      <c r="L26" s="468">
        <f t="shared" si="7"/>
        <v>0.47322067901234577</v>
      </c>
      <c r="M26" s="468">
        <f t="shared" si="8"/>
        <v>0.47752268518518526</v>
      </c>
      <c r="N26" s="488"/>
      <c r="O26" s="488"/>
      <c r="P26" s="488"/>
      <c r="Q26" s="488"/>
      <c r="R26" s="488"/>
      <c r="S26" s="488"/>
      <c r="T26" s="488"/>
      <c r="U26" s="488"/>
      <c r="V26" s="488"/>
      <c r="W26" s="488"/>
      <c r="X26" s="76"/>
      <c r="Y26" s="46"/>
      <c r="AA26" s="61"/>
      <c r="AT26" s="3"/>
      <c r="AU26" s="13">
        <f t="shared" si="152"/>
        <v>36</v>
      </c>
      <c r="AV26" s="11" t="str">
        <f t="shared" si="10"/>
        <v>(900)</v>
      </c>
      <c r="AW26" s="18"/>
      <c r="AX26" s="19">
        <f t="shared" si="11"/>
        <v>0.67886805555555563</v>
      </c>
      <c r="AY26" s="20" t="str">
        <f t="shared" si="12"/>
        <v>(0.06)</v>
      </c>
      <c r="AZ26" s="21">
        <v>2</v>
      </c>
      <c r="BA26" s="21">
        <f t="shared" si="13"/>
        <v>3.5</v>
      </c>
      <c r="BB26" s="21">
        <v>0</v>
      </c>
      <c r="BC26" s="21">
        <f t="shared" si="14"/>
        <v>0</v>
      </c>
      <c r="BD26" s="21">
        <v>0</v>
      </c>
      <c r="BE26" s="21">
        <f t="shared" si="15"/>
        <v>0</v>
      </c>
      <c r="BF26" s="21">
        <f t="shared" si="16"/>
        <v>3.5</v>
      </c>
      <c r="BG26" s="22">
        <f t="shared" si="17"/>
        <v>5.5</v>
      </c>
      <c r="BH26" s="205">
        <f t="shared" si="18"/>
        <v>1.0491597222222222</v>
      </c>
      <c r="BI26" s="206" t="str">
        <f t="shared" si="19"/>
        <v>(0.10)</v>
      </c>
      <c r="BJ26" s="207">
        <v>2</v>
      </c>
      <c r="BK26" s="207">
        <f t="shared" si="20"/>
        <v>3.5</v>
      </c>
      <c r="BL26" s="207">
        <v>0</v>
      </c>
      <c r="BM26" s="207">
        <f t="shared" si="21"/>
        <v>0</v>
      </c>
      <c r="BN26" s="207">
        <v>0</v>
      </c>
      <c r="BO26" s="207">
        <f t="shared" si="22"/>
        <v>0</v>
      </c>
      <c r="BP26" s="207">
        <f t="shared" si="23"/>
        <v>3.5</v>
      </c>
      <c r="BQ26" s="208">
        <f t="shared" si="24"/>
        <v>8.5</v>
      </c>
      <c r="BR26" s="205">
        <f t="shared" si="25"/>
        <v>1.7897430555555556</v>
      </c>
      <c r="BS26" s="206" t="str">
        <f t="shared" si="26"/>
        <v>(0.17)</v>
      </c>
      <c r="BT26" s="207">
        <v>2</v>
      </c>
      <c r="BU26" s="207">
        <f t="shared" si="27"/>
        <v>3.5</v>
      </c>
      <c r="BV26" s="207">
        <v>0</v>
      </c>
      <c r="BW26" s="207">
        <f t="shared" si="28"/>
        <v>0</v>
      </c>
      <c r="BX26" s="207">
        <v>0</v>
      </c>
      <c r="BY26" s="207">
        <f t="shared" si="29"/>
        <v>0</v>
      </c>
      <c r="BZ26" s="207">
        <f t="shared" si="30"/>
        <v>3.5</v>
      </c>
      <c r="CA26" s="208">
        <f t="shared" si="31"/>
        <v>14.5</v>
      </c>
      <c r="CB26" s="205">
        <f t="shared" si="32"/>
        <v>2.5303263888888892</v>
      </c>
      <c r="CC26" s="206" t="str">
        <f t="shared" si="33"/>
        <v>(0.24)</v>
      </c>
      <c r="CD26" s="207">
        <v>2</v>
      </c>
      <c r="CE26" s="207">
        <f t="shared" si="34"/>
        <v>3.5</v>
      </c>
      <c r="CF26" s="207">
        <v>0</v>
      </c>
      <c r="CG26" s="207">
        <f t="shared" si="35"/>
        <v>0</v>
      </c>
      <c r="CH26" s="207">
        <v>0</v>
      </c>
      <c r="CI26" s="207">
        <f t="shared" si="36"/>
        <v>0</v>
      </c>
      <c r="CJ26" s="207">
        <f t="shared" si="37"/>
        <v>3.5</v>
      </c>
      <c r="CK26" s="208">
        <f t="shared" si="38"/>
        <v>20.5</v>
      </c>
      <c r="CL26" s="205">
        <f t="shared" si="39"/>
        <v>3.2709097222222225</v>
      </c>
      <c r="CM26" s="206" t="str">
        <f t="shared" si="40"/>
        <v>(0.3)</v>
      </c>
      <c r="CN26" s="207">
        <v>2</v>
      </c>
      <c r="CO26" s="207">
        <f t="shared" si="41"/>
        <v>3.5</v>
      </c>
      <c r="CP26" s="207">
        <v>0</v>
      </c>
      <c r="CQ26" s="207">
        <f t="shared" si="42"/>
        <v>0</v>
      </c>
      <c r="CR26" s="207">
        <v>0</v>
      </c>
      <c r="CS26" s="207">
        <f t="shared" si="43"/>
        <v>0</v>
      </c>
      <c r="CT26" s="207">
        <f t="shared" si="44"/>
        <v>3.5</v>
      </c>
      <c r="CU26" s="208">
        <f t="shared" si="45"/>
        <v>26.5</v>
      </c>
      <c r="CV26" s="205">
        <f t="shared" si="46"/>
        <v>4.0114930555555555</v>
      </c>
      <c r="CW26" s="206" t="str">
        <f t="shared" si="47"/>
        <v>(0.37)</v>
      </c>
      <c r="CX26" s="207">
        <v>2</v>
      </c>
      <c r="CY26" s="207">
        <f t="shared" si="48"/>
        <v>3.5</v>
      </c>
      <c r="CZ26" s="207">
        <v>0</v>
      </c>
      <c r="DA26" s="207">
        <f t="shared" si="49"/>
        <v>0</v>
      </c>
      <c r="DB26" s="207">
        <v>0</v>
      </c>
      <c r="DC26" s="207">
        <f t="shared" si="50"/>
        <v>0</v>
      </c>
      <c r="DD26" s="207">
        <f t="shared" si="51"/>
        <v>3.5</v>
      </c>
      <c r="DE26" s="208">
        <f t="shared" si="52"/>
        <v>32.5</v>
      </c>
      <c r="DF26" s="205">
        <f t="shared" si="53"/>
        <v>4.7520763888888888</v>
      </c>
      <c r="DG26" s="206" t="str">
        <f t="shared" si="54"/>
        <v>(0.44)</v>
      </c>
      <c r="DH26" s="207">
        <v>2</v>
      </c>
      <c r="DI26" s="207">
        <f t="shared" si="55"/>
        <v>3.5</v>
      </c>
      <c r="DJ26" s="207">
        <v>0</v>
      </c>
      <c r="DK26" s="207">
        <f t="shared" si="56"/>
        <v>0</v>
      </c>
      <c r="DL26" s="207">
        <v>0</v>
      </c>
      <c r="DM26" s="207">
        <f t="shared" si="57"/>
        <v>0</v>
      </c>
      <c r="DN26" s="207">
        <f t="shared" si="58"/>
        <v>3.5</v>
      </c>
      <c r="DO26" s="208">
        <f t="shared" si="59"/>
        <v>38.5</v>
      </c>
      <c r="DP26" s="205">
        <f t="shared" si="60"/>
        <v>5.4926597222222222</v>
      </c>
      <c r="DQ26" s="206" t="str">
        <f t="shared" si="61"/>
        <v>(0.51)</v>
      </c>
      <c r="DR26" s="207">
        <v>2</v>
      </c>
      <c r="DS26" s="207">
        <f t="shared" si="62"/>
        <v>3.5</v>
      </c>
      <c r="DT26" s="207">
        <v>0</v>
      </c>
      <c r="DU26" s="207">
        <f t="shared" si="63"/>
        <v>0</v>
      </c>
      <c r="DV26" s="207">
        <v>0</v>
      </c>
      <c r="DW26" s="207">
        <f t="shared" si="64"/>
        <v>0</v>
      </c>
      <c r="DX26" s="207">
        <f t="shared" si="65"/>
        <v>3.5</v>
      </c>
      <c r="DY26" s="208">
        <f t="shared" si="66"/>
        <v>44.5</v>
      </c>
      <c r="DZ26" s="205">
        <f t="shared" si="67"/>
        <v>6.1098125000000003</v>
      </c>
      <c r="EA26" s="206" t="str">
        <f t="shared" si="68"/>
        <v>(0.57)</v>
      </c>
      <c r="EB26" s="207">
        <v>2</v>
      </c>
      <c r="EC26" s="207">
        <f t="shared" si="69"/>
        <v>3.5</v>
      </c>
      <c r="ED26" s="207">
        <v>0</v>
      </c>
      <c r="EE26" s="207">
        <f t="shared" si="70"/>
        <v>0</v>
      </c>
      <c r="EF26" s="207">
        <v>1</v>
      </c>
      <c r="EG26" s="207">
        <f t="shared" si="71"/>
        <v>1</v>
      </c>
      <c r="EH26" s="207">
        <f t="shared" si="72"/>
        <v>4.5</v>
      </c>
      <c r="EI26" s="208">
        <f t="shared" si="73"/>
        <v>49.5</v>
      </c>
      <c r="EJ26" s="205">
        <f t="shared" si="74"/>
        <v>6.8503958333333337</v>
      </c>
      <c r="EK26" s="206" t="str">
        <f t="shared" si="75"/>
        <v>(0.64)</v>
      </c>
      <c r="EL26" s="207">
        <v>2</v>
      </c>
      <c r="EM26" s="207">
        <f t="shared" si="76"/>
        <v>3.5</v>
      </c>
      <c r="EN26" s="207">
        <v>0</v>
      </c>
      <c r="EO26" s="207">
        <f t="shared" si="77"/>
        <v>0</v>
      </c>
      <c r="EP26" s="207">
        <v>1</v>
      </c>
      <c r="EQ26" s="207">
        <f t="shared" si="78"/>
        <v>1</v>
      </c>
      <c r="ER26" s="207">
        <f t="shared" si="79"/>
        <v>4.5</v>
      </c>
      <c r="ES26" s="208">
        <f t="shared" si="80"/>
        <v>55.5</v>
      </c>
      <c r="ET26" s="205">
        <f t="shared" si="81"/>
        <v>7.5909791666666671</v>
      </c>
      <c r="EU26" s="206" t="str">
        <f t="shared" si="82"/>
        <v>(0.71)</v>
      </c>
      <c r="EV26" s="207">
        <v>2</v>
      </c>
      <c r="EW26" s="207">
        <f t="shared" si="83"/>
        <v>3.5</v>
      </c>
      <c r="EX26" s="207">
        <v>0</v>
      </c>
      <c r="EY26" s="207">
        <f t="shared" si="84"/>
        <v>0</v>
      </c>
      <c r="EZ26" s="207">
        <v>1</v>
      </c>
      <c r="FA26" s="207">
        <f t="shared" si="85"/>
        <v>1</v>
      </c>
      <c r="FB26" s="207">
        <f t="shared" si="86"/>
        <v>4.5</v>
      </c>
      <c r="FC26" s="208">
        <f t="shared" si="87"/>
        <v>61.5</v>
      </c>
      <c r="FD26" s="205">
        <f t="shared" si="88"/>
        <v>8.4549930555555548</v>
      </c>
      <c r="FE26" s="206" t="str">
        <f t="shared" si="89"/>
        <v>(0.79)</v>
      </c>
      <c r="FF26" s="207">
        <v>2</v>
      </c>
      <c r="FG26" s="207">
        <f t="shared" si="90"/>
        <v>3.5</v>
      </c>
      <c r="FH26" s="469">
        <v>0</v>
      </c>
      <c r="FI26" s="207">
        <f t="shared" si="91"/>
        <v>0</v>
      </c>
      <c r="FJ26" s="207">
        <v>0</v>
      </c>
      <c r="FK26" s="207">
        <f t="shared" si="92"/>
        <v>0</v>
      </c>
      <c r="FL26" s="207">
        <f t="shared" si="93"/>
        <v>3.5</v>
      </c>
      <c r="FM26" s="208">
        <f t="shared" si="94"/>
        <v>68.5</v>
      </c>
      <c r="FN26" s="205">
        <f t="shared" si="95"/>
        <v>9.0567170138888891</v>
      </c>
      <c r="FO26" s="206" t="str">
        <f t="shared" si="96"/>
        <v>(0.84)</v>
      </c>
      <c r="FP26" s="207">
        <v>2</v>
      </c>
      <c r="FQ26" s="207">
        <f t="shared" si="97"/>
        <v>3.5</v>
      </c>
      <c r="FR26" s="207">
        <v>1</v>
      </c>
      <c r="FS26" s="207">
        <f t="shared" si="98"/>
        <v>1.125</v>
      </c>
      <c r="FT26" s="207">
        <v>0</v>
      </c>
      <c r="FU26" s="207">
        <f t="shared" si="99"/>
        <v>0</v>
      </c>
      <c r="FV26" s="207">
        <f t="shared" si="100"/>
        <v>4.625</v>
      </c>
      <c r="FW26" s="208">
        <f t="shared" si="101"/>
        <v>73.375</v>
      </c>
      <c r="FX26" s="205">
        <f t="shared" si="102"/>
        <v>9.7973003472222224</v>
      </c>
      <c r="FY26" s="206" t="str">
        <f t="shared" si="103"/>
        <v>(0.91)</v>
      </c>
      <c r="FZ26" s="207">
        <v>2</v>
      </c>
      <c r="GA26" s="207">
        <f t="shared" si="104"/>
        <v>3.5</v>
      </c>
      <c r="GB26" s="207">
        <v>1</v>
      </c>
      <c r="GC26" s="207">
        <f t="shared" si="105"/>
        <v>1.125</v>
      </c>
      <c r="GD26" s="207">
        <v>0</v>
      </c>
      <c r="GE26" s="207">
        <f t="shared" si="106"/>
        <v>0</v>
      </c>
      <c r="GF26" s="207">
        <f t="shared" si="107"/>
        <v>4.625</v>
      </c>
      <c r="GG26" s="208">
        <f t="shared" si="108"/>
        <v>79.375</v>
      </c>
      <c r="GH26" s="205">
        <f t="shared" si="109"/>
        <v>10.537883680555556</v>
      </c>
      <c r="GI26" s="206" t="str">
        <f t="shared" si="110"/>
        <v>(0.98)</v>
      </c>
      <c r="GJ26" s="207">
        <v>2</v>
      </c>
      <c r="GK26" s="207">
        <f t="shared" si="111"/>
        <v>3.5</v>
      </c>
      <c r="GL26" s="207">
        <v>1</v>
      </c>
      <c r="GM26" s="207">
        <f t="shared" si="112"/>
        <v>1.125</v>
      </c>
      <c r="GN26" s="207">
        <v>0</v>
      </c>
      <c r="GO26" s="207">
        <f t="shared" si="113"/>
        <v>0</v>
      </c>
      <c r="GP26" s="207">
        <f t="shared" si="114"/>
        <v>4.625</v>
      </c>
      <c r="GQ26" s="208">
        <f t="shared" si="115"/>
        <v>85.375</v>
      </c>
      <c r="GR26" s="205">
        <f t="shared" si="116"/>
        <v>11.278467013888889</v>
      </c>
      <c r="GS26" s="206" t="str">
        <f t="shared" si="117"/>
        <v>(1.05)</v>
      </c>
      <c r="GT26" s="207">
        <v>2</v>
      </c>
      <c r="GU26" s="207">
        <f t="shared" si="118"/>
        <v>3.5</v>
      </c>
      <c r="GV26" s="207">
        <v>1</v>
      </c>
      <c r="GW26" s="207">
        <f t="shared" si="119"/>
        <v>1.125</v>
      </c>
      <c r="GX26" s="207">
        <v>0</v>
      </c>
      <c r="GY26" s="207">
        <f t="shared" si="120"/>
        <v>0</v>
      </c>
      <c r="GZ26" s="207">
        <f t="shared" si="121"/>
        <v>4.625</v>
      </c>
      <c r="HA26" s="208">
        <f t="shared" si="122"/>
        <v>91.375</v>
      </c>
      <c r="HB26" s="205">
        <f t="shared" si="123"/>
        <v>12.019050347222223</v>
      </c>
      <c r="HC26" s="206" t="str">
        <f t="shared" si="124"/>
        <v>(1.12)</v>
      </c>
      <c r="HD26" s="207">
        <v>2</v>
      </c>
      <c r="HE26" s="207">
        <f t="shared" si="125"/>
        <v>3.5</v>
      </c>
      <c r="HF26" s="207">
        <v>1</v>
      </c>
      <c r="HG26" s="207">
        <f t="shared" si="126"/>
        <v>1.125</v>
      </c>
      <c r="HH26" s="207">
        <v>0</v>
      </c>
      <c r="HI26" s="207">
        <f t="shared" si="127"/>
        <v>0</v>
      </c>
      <c r="HJ26" s="207">
        <f t="shared" si="128"/>
        <v>4.625</v>
      </c>
      <c r="HK26" s="208">
        <f t="shared" si="129"/>
        <v>97.375</v>
      </c>
      <c r="HL26" s="205">
        <f t="shared" si="130"/>
        <v>12.512772569444444</v>
      </c>
      <c r="HM26" s="206" t="str">
        <f t="shared" si="131"/>
        <v>(1.16)</v>
      </c>
      <c r="HN26" s="207">
        <v>2</v>
      </c>
      <c r="HO26" s="207">
        <f t="shared" si="132"/>
        <v>3.5</v>
      </c>
      <c r="HP26" s="207">
        <v>1</v>
      </c>
      <c r="HQ26" s="207">
        <f t="shared" si="133"/>
        <v>1.125</v>
      </c>
      <c r="HR26" s="207">
        <v>2</v>
      </c>
      <c r="HS26" s="207">
        <f t="shared" si="134"/>
        <v>2</v>
      </c>
      <c r="HT26" s="207">
        <f t="shared" si="135"/>
        <v>6.625</v>
      </c>
      <c r="HU26" s="208">
        <f t="shared" si="136"/>
        <v>101.375</v>
      </c>
      <c r="HV26" s="205">
        <f t="shared" si="137"/>
        <v>13.253355902777777</v>
      </c>
      <c r="HW26" s="206" t="str">
        <f t="shared" si="138"/>
        <v>(1.23)</v>
      </c>
      <c r="HX26" s="207">
        <v>2</v>
      </c>
      <c r="HY26" s="207">
        <f t="shared" si="139"/>
        <v>3.5</v>
      </c>
      <c r="HZ26" s="207">
        <v>1</v>
      </c>
      <c r="IA26" s="207">
        <f t="shared" si="140"/>
        <v>1.125</v>
      </c>
      <c r="IB26" s="207">
        <v>2</v>
      </c>
      <c r="IC26" s="207">
        <f t="shared" si="141"/>
        <v>2</v>
      </c>
      <c r="ID26" s="207">
        <f t="shared" si="142"/>
        <v>6.625</v>
      </c>
      <c r="IE26" s="208">
        <f t="shared" si="143"/>
        <v>107.375</v>
      </c>
      <c r="IF26" s="205">
        <f t="shared" si="144"/>
        <v>13.99393923611111</v>
      </c>
      <c r="IG26" s="206" t="str">
        <f t="shared" si="145"/>
        <v>(1.30)</v>
      </c>
      <c r="IH26" s="21">
        <v>2</v>
      </c>
      <c r="II26" s="21">
        <f t="shared" si="146"/>
        <v>3.5</v>
      </c>
      <c r="IJ26" s="21">
        <v>1</v>
      </c>
      <c r="IK26" s="21">
        <f t="shared" si="147"/>
        <v>1.125</v>
      </c>
      <c r="IL26" s="21">
        <v>2</v>
      </c>
      <c r="IM26" s="21">
        <f t="shared" si="148"/>
        <v>2</v>
      </c>
      <c r="IN26" s="21">
        <f t="shared" si="149"/>
        <v>6.625</v>
      </c>
      <c r="IO26" s="22">
        <f t="shared" si="150"/>
        <v>113.375</v>
      </c>
      <c r="IP26" s="23"/>
      <c r="IQ26" s="24">
        <f t="shared" si="151"/>
        <v>6</v>
      </c>
      <c r="IR26" s="25">
        <v>2.5</v>
      </c>
      <c r="IS26" s="25">
        <v>2.8780000000000001</v>
      </c>
      <c r="IT26" s="25">
        <v>0.88400000000000001</v>
      </c>
      <c r="IU26" s="25">
        <v>1.75</v>
      </c>
      <c r="IV26" s="25">
        <v>1</v>
      </c>
      <c r="IW26" s="25">
        <v>1.125</v>
      </c>
      <c r="IX26" s="7"/>
    </row>
    <row r="27" spans="2:258" ht="15.75" thickBot="1" x14ac:dyDescent="0.3">
      <c r="B27" s="79">
        <f t="shared" si="9"/>
        <v>60</v>
      </c>
      <c r="C27" s="148">
        <v>11</v>
      </c>
      <c r="D27" s="487"/>
      <c r="E27" s="468">
        <f t="shared" si="0"/>
        <v>0.40399791666666668</v>
      </c>
      <c r="F27" s="468">
        <f t="shared" si="1"/>
        <v>0.45944861111111118</v>
      </c>
      <c r="G27" s="468">
        <f t="shared" si="2"/>
        <v>0.48717395833333332</v>
      </c>
      <c r="H27" s="468">
        <f t="shared" si="3"/>
        <v>0.50380916666666675</v>
      </c>
      <c r="I27" s="468">
        <f t="shared" si="4"/>
        <v>0.51489930555555563</v>
      </c>
      <c r="J27" s="468">
        <f t="shared" si="5"/>
        <v>0.5228208333333334</v>
      </c>
      <c r="K27" s="468">
        <f t="shared" si="6"/>
        <v>0.52876197916666678</v>
      </c>
      <c r="L27" s="468">
        <f t="shared" si="7"/>
        <v>0.5228208333333334</v>
      </c>
      <c r="M27" s="468">
        <f t="shared" si="8"/>
        <v>0.52757375000000006</v>
      </c>
      <c r="N27" s="488"/>
      <c r="O27" s="488"/>
      <c r="P27" s="488"/>
      <c r="Q27" s="488"/>
      <c r="R27" s="488"/>
      <c r="S27" s="488"/>
      <c r="T27" s="488"/>
      <c r="U27" s="488"/>
      <c r="V27" s="488"/>
      <c r="W27" s="488"/>
      <c r="X27" s="76"/>
      <c r="Y27" s="46"/>
      <c r="AA27" s="61"/>
      <c r="AT27" s="3"/>
      <c r="AU27" s="13">
        <f t="shared" si="152"/>
        <v>42</v>
      </c>
      <c r="AV27" s="11" t="str">
        <f t="shared" si="10"/>
        <v>(1050)</v>
      </c>
      <c r="AW27" s="18"/>
      <c r="AX27" s="19">
        <f t="shared" si="11"/>
        <v>0.82408333333333339</v>
      </c>
      <c r="AY27" s="20" t="str">
        <f t="shared" si="12"/>
        <v>(0.08)</v>
      </c>
      <c r="AZ27" s="21">
        <v>2</v>
      </c>
      <c r="BA27" s="21">
        <f t="shared" si="13"/>
        <v>3.5</v>
      </c>
      <c r="BB27" s="21">
        <v>0</v>
      </c>
      <c r="BC27" s="21">
        <f t="shared" si="14"/>
        <v>0</v>
      </c>
      <c r="BD27" s="21">
        <v>0</v>
      </c>
      <c r="BE27" s="21">
        <f t="shared" si="15"/>
        <v>0</v>
      </c>
      <c r="BF27" s="21">
        <f t="shared" si="16"/>
        <v>3.5</v>
      </c>
      <c r="BG27" s="22">
        <f t="shared" si="17"/>
        <v>5.5</v>
      </c>
      <c r="BH27" s="205">
        <f t="shared" si="18"/>
        <v>1.2735833333333335</v>
      </c>
      <c r="BI27" s="206" t="str">
        <f t="shared" si="19"/>
        <v>(0.12)</v>
      </c>
      <c r="BJ27" s="207">
        <v>2</v>
      </c>
      <c r="BK27" s="207">
        <f t="shared" si="20"/>
        <v>3.5</v>
      </c>
      <c r="BL27" s="207">
        <v>0</v>
      </c>
      <c r="BM27" s="207">
        <f t="shared" si="21"/>
        <v>0</v>
      </c>
      <c r="BN27" s="207">
        <v>0</v>
      </c>
      <c r="BO27" s="207">
        <f t="shared" si="22"/>
        <v>0</v>
      </c>
      <c r="BP27" s="207">
        <f t="shared" si="23"/>
        <v>3.5</v>
      </c>
      <c r="BQ27" s="208">
        <f t="shared" si="24"/>
        <v>8.5</v>
      </c>
      <c r="BR27" s="205">
        <f t="shared" si="25"/>
        <v>2.1725833333333338</v>
      </c>
      <c r="BS27" s="206" t="str">
        <f t="shared" si="26"/>
        <v>(0.2)</v>
      </c>
      <c r="BT27" s="207">
        <v>2</v>
      </c>
      <c r="BU27" s="207">
        <f t="shared" si="27"/>
        <v>3.5</v>
      </c>
      <c r="BV27" s="207">
        <v>0</v>
      </c>
      <c r="BW27" s="207">
        <f t="shared" si="28"/>
        <v>0</v>
      </c>
      <c r="BX27" s="207">
        <v>0</v>
      </c>
      <c r="BY27" s="207">
        <f t="shared" si="29"/>
        <v>0</v>
      </c>
      <c r="BZ27" s="207">
        <f t="shared" si="30"/>
        <v>3.5</v>
      </c>
      <c r="CA27" s="208">
        <f t="shared" si="31"/>
        <v>14.5</v>
      </c>
      <c r="CB27" s="205">
        <f t="shared" si="32"/>
        <v>3.0715833333333333</v>
      </c>
      <c r="CC27" s="206" t="str">
        <f t="shared" si="33"/>
        <v>(0.29)</v>
      </c>
      <c r="CD27" s="207">
        <v>2</v>
      </c>
      <c r="CE27" s="207">
        <f t="shared" si="34"/>
        <v>3.5</v>
      </c>
      <c r="CF27" s="207">
        <v>0</v>
      </c>
      <c r="CG27" s="207">
        <f t="shared" si="35"/>
        <v>0</v>
      </c>
      <c r="CH27" s="207">
        <v>0</v>
      </c>
      <c r="CI27" s="207">
        <f t="shared" si="36"/>
        <v>0</v>
      </c>
      <c r="CJ27" s="207">
        <f t="shared" si="37"/>
        <v>3.5</v>
      </c>
      <c r="CK27" s="208">
        <f t="shared" si="38"/>
        <v>20.5</v>
      </c>
      <c r="CL27" s="205">
        <f t="shared" si="39"/>
        <v>3.9705833333333334</v>
      </c>
      <c r="CM27" s="206" t="str">
        <f t="shared" si="40"/>
        <v>(0.37)</v>
      </c>
      <c r="CN27" s="207">
        <v>2</v>
      </c>
      <c r="CO27" s="207">
        <f t="shared" si="41"/>
        <v>3.5</v>
      </c>
      <c r="CP27" s="207">
        <v>0</v>
      </c>
      <c r="CQ27" s="207">
        <f t="shared" si="42"/>
        <v>0</v>
      </c>
      <c r="CR27" s="207">
        <v>0</v>
      </c>
      <c r="CS27" s="207">
        <f t="shared" si="43"/>
        <v>0</v>
      </c>
      <c r="CT27" s="207">
        <f t="shared" si="44"/>
        <v>3.5</v>
      </c>
      <c r="CU27" s="208">
        <f t="shared" si="45"/>
        <v>26.5</v>
      </c>
      <c r="CV27" s="205">
        <f t="shared" si="46"/>
        <v>4.8695833333333338</v>
      </c>
      <c r="CW27" s="206" t="str">
        <f t="shared" si="47"/>
        <v>(0.45)</v>
      </c>
      <c r="CX27" s="207">
        <v>2</v>
      </c>
      <c r="CY27" s="207">
        <f t="shared" si="48"/>
        <v>3.5</v>
      </c>
      <c r="CZ27" s="207">
        <v>0</v>
      </c>
      <c r="DA27" s="207">
        <f t="shared" si="49"/>
        <v>0</v>
      </c>
      <c r="DB27" s="207">
        <v>0</v>
      </c>
      <c r="DC27" s="207">
        <f t="shared" si="50"/>
        <v>0</v>
      </c>
      <c r="DD27" s="207">
        <f t="shared" si="51"/>
        <v>3.5</v>
      </c>
      <c r="DE27" s="208">
        <f t="shared" si="52"/>
        <v>32.5</v>
      </c>
      <c r="DF27" s="205">
        <f t="shared" si="53"/>
        <v>5.7685833333333338</v>
      </c>
      <c r="DG27" s="206" t="str">
        <f t="shared" si="54"/>
        <v>(0.54)</v>
      </c>
      <c r="DH27" s="207">
        <v>2</v>
      </c>
      <c r="DI27" s="207">
        <f t="shared" si="55"/>
        <v>3.5</v>
      </c>
      <c r="DJ27" s="207">
        <v>0</v>
      </c>
      <c r="DK27" s="207">
        <f t="shared" si="56"/>
        <v>0</v>
      </c>
      <c r="DL27" s="207">
        <v>0</v>
      </c>
      <c r="DM27" s="207">
        <f t="shared" si="57"/>
        <v>0</v>
      </c>
      <c r="DN27" s="207">
        <f t="shared" si="58"/>
        <v>3.5</v>
      </c>
      <c r="DO27" s="208">
        <f t="shared" si="59"/>
        <v>38.5</v>
      </c>
      <c r="DP27" s="205">
        <f t="shared" si="60"/>
        <v>6.6675833333333339</v>
      </c>
      <c r="DQ27" s="206" t="str">
        <f t="shared" si="61"/>
        <v>(0.62)</v>
      </c>
      <c r="DR27" s="207">
        <v>2</v>
      </c>
      <c r="DS27" s="207">
        <f t="shared" si="62"/>
        <v>3.5</v>
      </c>
      <c r="DT27" s="207">
        <v>0</v>
      </c>
      <c r="DU27" s="207">
        <f t="shared" si="63"/>
        <v>0</v>
      </c>
      <c r="DV27" s="207">
        <v>0</v>
      </c>
      <c r="DW27" s="207">
        <f t="shared" si="64"/>
        <v>0</v>
      </c>
      <c r="DX27" s="207">
        <f t="shared" si="65"/>
        <v>3.5</v>
      </c>
      <c r="DY27" s="208">
        <f t="shared" si="66"/>
        <v>44.5</v>
      </c>
      <c r="DZ27" s="205">
        <f t="shared" si="67"/>
        <v>7.4167499999999995</v>
      </c>
      <c r="EA27" s="206" t="str">
        <f t="shared" si="68"/>
        <v>(0.69)</v>
      </c>
      <c r="EB27" s="207">
        <v>2</v>
      </c>
      <c r="EC27" s="207">
        <f t="shared" si="69"/>
        <v>3.5</v>
      </c>
      <c r="ED27" s="207">
        <v>0</v>
      </c>
      <c r="EE27" s="207">
        <f t="shared" si="70"/>
        <v>0</v>
      </c>
      <c r="EF27" s="207">
        <v>1</v>
      </c>
      <c r="EG27" s="207">
        <f t="shared" si="71"/>
        <v>1</v>
      </c>
      <c r="EH27" s="207">
        <f t="shared" si="72"/>
        <v>4.5</v>
      </c>
      <c r="EI27" s="208">
        <f t="shared" si="73"/>
        <v>49.5</v>
      </c>
      <c r="EJ27" s="205">
        <f t="shared" si="74"/>
        <v>8.3157500000000013</v>
      </c>
      <c r="EK27" s="206" t="str">
        <f t="shared" si="75"/>
        <v>(0.77)</v>
      </c>
      <c r="EL27" s="207">
        <v>2</v>
      </c>
      <c r="EM27" s="207">
        <f t="shared" si="76"/>
        <v>3.5</v>
      </c>
      <c r="EN27" s="207">
        <v>0</v>
      </c>
      <c r="EO27" s="207">
        <f t="shared" si="77"/>
        <v>0</v>
      </c>
      <c r="EP27" s="207">
        <v>1</v>
      </c>
      <c r="EQ27" s="207">
        <f t="shared" si="78"/>
        <v>1</v>
      </c>
      <c r="ER27" s="207">
        <f t="shared" si="79"/>
        <v>4.5</v>
      </c>
      <c r="ES27" s="208">
        <f t="shared" si="80"/>
        <v>55.5</v>
      </c>
      <c r="ET27" s="205">
        <f t="shared" si="81"/>
        <v>9.2147500000000004</v>
      </c>
      <c r="EU27" s="206" t="str">
        <f t="shared" si="82"/>
        <v>(0.86)</v>
      </c>
      <c r="EV27" s="207">
        <v>2</v>
      </c>
      <c r="EW27" s="207">
        <f t="shared" si="83"/>
        <v>3.5</v>
      </c>
      <c r="EX27" s="207">
        <v>0</v>
      </c>
      <c r="EY27" s="207">
        <f t="shared" si="84"/>
        <v>0</v>
      </c>
      <c r="EZ27" s="207">
        <v>1</v>
      </c>
      <c r="FA27" s="207">
        <f t="shared" si="85"/>
        <v>1</v>
      </c>
      <c r="FB27" s="207">
        <f t="shared" si="86"/>
        <v>4.5</v>
      </c>
      <c r="FC27" s="208">
        <f t="shared" si="87"/>
        <v>61.5</v>
      </c>
      <c r="FD27" s="205">
        <f t="shared" si="88"/>
        <v>10.263583333333335</v>
      </c>
      <c r="FE27" s="206" t="str">
        <f t="shared" si="89"/>
        <v>(0.95)</v>
      </c>
      <c r="FF27" s="207">
        <v>2</v>
      </c>
      <c r="FG27" s="207">
        <f t="shared" si="90"/>
        <v>3.5</v>
      </c>
      <c r="FH27" s="469">
        <v>0</v>
      </c>
      <c r="FI27" s="207">
        <f t="shared" si="91"/>
        <v>0</v>
      </c>
      <c r="FJ27" s="207">
        <v>0</v>
      </c>
      <c r="FK27" s="207">
        <f t="shared" si="92"/>
        <v>0</v>
      </c>
      <c r="FL27" s="207">
        <f t="shared" si="93"/>
        <v>3.5</v>
      </c>
      <c r="FM27" s="208">
        <f t="shared" si="94"/>
        <v>68.5</v>
      </c>
      <c r="FN27" s="205">
        <f t="shared" si="95"/>
        <v>10.994020833333334</v>
      </c>
      <c r="FO27" s="206" t="str">
        <f t="shared" si="96"/>
        <v>(1.02)</v>
      </c>
      <c r="FP27" s="207">
        <v>2</v>
      </c>
      <c r="FQ27" s="207">
        <f t="shared" si="97"/>
        <v>3.5</v>
      </c>
      <c r="FR27" s="207">
        <v>1</v>
      </c>
      <c r="FS27" s="207">
        <f t="shared" si="98"/>
        <v>1.125</v>
      </c>
      <c r="FT27" s="207">
        <v>0</v>
      </c>
      <c r="FU27" s="207">
        <f t="shared" si="99"/>
        <v>0</v>
      </c>
      <c r="FV27" s="207">
        <f t="shared" si="100"/>
        <v>4.625</v>
      </c>
      <c r="FW27" s="208">
        <f t="shared" si="101"/>
        <v>73.375</v>
      </c>
      <c r="FX27" s="205">
        <f t="shared" si="102"/>
        <v>11.893020833333333</v>
      </c>
      <c r="FY27" s="206" t="str">
        <f t="shared" si="103"/>
        <v>(1.10)</v>
      </c>
      <c r="FZ27" s="207">
        <v>2</v>
      </c>
      <c r="GA27" s="207">
        <f t="shared" si="104"/>
        <v>3.5</v>
      </c>
      <c r="GB27" s="207">
        <v>1</v>
      </c>
      <c r="GC27" s="207">
        <f t="shared" si="105"/>
        <v>1.125</v>
      </c>
      <c r="GD27" s="207">
        <v>0</v>
      </c>
      <c r="GE27" s="207">
        <f t="shared" si="106"/>
        <v>0</v>
      </c>
      <c r="GF27" s="207">
        <f t="shared" si="107"/>
        <v>4.625</v>
      </c>
      <c r="GG27" s="208">
        <f t="shared" si="108"/>
        <v>79.375</v>
      </c>
      <c r="GH27" s="205">
        <f t="shared" si="109"/>
        <v>12.792020833333332</v>
      </c>
      <c r="GI27" s="206" t="str">
        <f t="shared" si="110"/>
        <v>(1.19)</v>
      </c>
      <c r="GJ27" s="207">
        <v>2</v>
      </c>
      <c r="GK27" s="207">
        <f t="shared" si="111"/>
        <v>3.5</v>
      </c>
      <c r="GL27" s="207">
        <v>1</v>
      </c>
      <c r="GM27" s="207">
        <f t="shared" si="112"/>
        <v>1.125</v>
      </c>
      <c r="GN27" s="207">
        <v>0</v>
      </c>
      <c r="GO27" s="207">
        <f t="shared" si="113"/>
        <v>0</v>
      </c>
      <c r="GP27" s="207">
        <f t="shared" si="114"/>
        <v>4.625</v>
      </c>
      <c r="GQ27" s="208">
        <f t="shared" si="115"/>
        <v>85.375</v>
      </c>
      <c r="GR27" s="205">
        <f t="shared" si="116"/>
        <v>13.691020833333333</v>
      </c>
      <c r="GS27" s="206" t="str">
        <f t="shared" si="117"/>
        <v>(1.27)</v>
      </c>
      <c r="GT27" s="207">
        <v>2</v>
      </c>
      <c r="GU27" s="207">
        <f t="shared" si="118"/>
        <v>3.5</v>
      </c>
      <c r="GV27" s="207">
        <v>1</v>
      </c>
      <c r="GW27" s="207">
        <f t="shared" si="119"/>
        <v>1.125</v>
      </c>
      <c r="GX27" s="207">
        <v>0</v>
      </c>
      <c r="GY27" s="207">
        <f t="shared" si="120"/>
        <v>0</v>
      </c>
      <c r="GZ27" s="207">
        <f t="shared" si="121"/>
        <v>4.625</v>
      </c>
      <c r="HA27" s="208">
        <f t="shared" si="122"/>
        <v>91.375</v>
      </c>
      <c r="HB27" s="205">
        <f t="shared" si="123"/>
        <v>14.590020833333334</v>
      </c>
      <c r="HC27" s="206" t="str">
        <f t="shared" si="124"/>
        <v>(1.36)</v>
      </c>
      <c r="HD27" s="207">
        <v>2</v>
      </c>
      <c r="HE27" s="207">
        <f t="shared" si="125"/>
        <v>3.5</v>
      </c>
      <c r="HF27" s="207">
        <v>1</v>
      </c>
      <c r="HG27" s="207">
        <f t="shared" si="126"/>
        <v>1.125</v>
      </c>
      <c r="HH27" s="207">
        <v>0</v>
      </c>
      <c r="HI27" s="207">
        <f t="shared" si="127"/>
        <v>0</v>
      </c>
      <c r="HJ27" s="207">
        <f t="shared" si="128"/>
        <v>4.625</v>
      </c>
      <c r="HK27" s="208">
        <f t="shared" si="129"/>
        <v>97.375</v>
      </c>
      <c r="HL27" s="205">
        <f t="shared" si="130"/>
        <v>15.189354166666666</v>
      </c>
      <c r="HM27" s="206" t="str">
        <f t="shared" si="131"/>
        <v>(1.41)</v>
      </c>
      <c r="HN27" s="207">
        <v>2</v>
      </c>
      <c r="HO27" s="207">
        <f t="shared" si="132"/>
        <v>3.5</v>
      </c>
      <c r="HP27" s="207">
        <v>1</v>
      </c>
      <c r="HQ27" s="207">
        <f t="shared" si="133"/>
        <v>1.125</v>
      </c>
      <c r="HR27" s="207">
        <v>2</v>
      </c>
      <c r="HS27" s="207">
        <f t="shared" si="134"/>
        <v>2</v>
      </c>
      <c r="HT27" s="207">
        <f t="shared" si="135"/>
        <v>6.625</v>
      </c>
      <c r="HU27" s="208">
        <f t="shared" si="136"/>
        <v>101.375</v>
      </c>
      <c r="HV27" s="205">
        <f t="shared" si="137"/>
        <v>16.088354166666665</v>
      </c>
      <c r="HW27" s="206" t="str">
        <f t="shared" si="138"/>
        <v>(1.49)</v>
      </c>
      <c r="HX27" s="207">
        <v>2</v>
      </c>
      <c r="HY27" s="207">
        <f t="shared" si="139"/>
        <v>3.5</v>
      </c>
      <c r="HZ27" s="207">
        <v>1</v>
      </c>
      <c r="IA27" s="207">
        <f t="shared" si="140"/>
        <v>1.125</v>
      </c>
      <c r="IB27" s="207">
        <v>2</v>
      </c>
      <c r="IC27" s="207">
        <f t="shared" si="141"/>
        <v>2</v>
      </c>
      <c r="ID27" s="207">
        <f t="shared" si="142"/>
        <v>6.625</v>
      </c>
      <c r="IE27" s="208">
        <f t="shared" si="143"/>
        <v>107.375</v>
      </c>
      <c r="IF27" s="205">
        <f t="shared" si="144"/>
        <v>16.987354166666666</v>
      </c>
      <c r="IG27" s="206" t="str">
        <f t="shared" si="145"/>
        <v>(1.58)</v>
      </c>
      <c r="IH27" s="21">
        <v>2</v>
      </c>
      <c r="II27" s="21">
        <f t="shared" si="146"/>
        <v>3.5</v>
      </c>
      <c r="IJ27" s="21">
        <v>1</v>
      </c>
      <c r="IK27" s="21">
        <f t="shared" si="147"/>
        <v>1.125</v>
      </c>
      <c r="IL27" s="21">
        <v>2</v>
      </c>
      <c r="IM27" s="21">
        <f t="shared" si="148"/>
        <v>2</v>
      </c>
      <c r="IN27" s="21">
        <f t="shared" si="149"/>
        <v>6.625</v>
      </c>
      <c r="IO27" s="22">
        <f t="shared" si="150"/>
        <v>113.375</v>
      </c>
      <c r="IP27" s="23"/>
      <c r="IQ27" s="24">
        <f t="shared" si="151"/>
        <v>7</v>
      </c>
      <c r="IR27" s="25">
        <v>2.5</v>
      </c>
      <c r="IS27" s="25">
        <v>2.8780000000000001</v>
      </c>
      <c r="IT27" s="25">
        <v>1.8080000000000001</v>
      </c>
      <c r="IU27" s="25">
        <v>1.75</v>
      </c>
      <c r="IV27" s="25">
        <v>1</v>
      </c>
      <c r="IW27" s="25">
        <v>1.125</v>
      </c>
      <c r="IX27" s="7"/>
    </row>
    <row r="28" spans="2:258" ht="15.75" thickBot="1" x14ac:dyDescent="0.3">
      <c r="B28" s="79">
        <f t="shared" si="9"/>
        <v>66</v>
      </c>
      <c r="C28" s="147">
        <v>12</v>
      </c>
      <c r="D28" s="487"/>
      <c r="E28" s="468">
        <f t="shared" si="0"/>
        <v>0.37608207070707073</v>
      </c>
      <c r="F28" s="468">
        <f t="shared" si="1"/>
        <v>0.4277011784511785</v>
      </c>
      <c r="G28" s="468">
        <f t="shared" si="2"/>
        <v>0.4535107323232323</v>
      </c>
      <c r="H28" s="468">
        <f t="shared" si="3"/>
        <v>0.46899646464646466</v>
      </c>
      <c r="I28" s="468">
        <f t="shared" si="4"/>
        <v>0.47932028619528622</v>
      </c>
      <c r="J28" s="468">
        <f t="shared" si="5"/>
        <v>0.48669444444444443</v>
      </c>
      <c r="K28" s="468">
        <f t="shared" si="6"/>
        <v>0.49222506313131315</v>
      </c>
      <c r="L28" s="468">
        <f t="shared" si="7"/>
        <v>0.48669444444444449</v>
      </c>
      <c r="M28" s="468">
        <f t="shared" si="8"/>
        <v>0.49111893939393947</v>
      </c>
      <c r="N28" s="488"/>
      <c r="O28" s="488"/>
      <c r="P28" s="488"/>
      <c r="Q28" s="488"/>
      <c r="R28" s="488"/>
      <c r="S28" s="488"/>
      <c r="T28" s="488"/>
      <c r="U28" s="488"/>
      <c r="V28" s="488"/>
      <c r="W28" s="488"/>
      <c r="X28" s="76"/>
      <c r="Y28" s="46"/>
      <c r="AA28" s="61"/>
      <c r="AT28" s="3"/>
      <c r="AU28" s="13">
        <f t="shared" si="152"/>
        <v>48</v>
      </c>
      <c r="AV28" s="11" t="str">
        <f t="shared" si="10"/>
        <v>(1200)</v>
      </c>
      <c r="AW28" s="18"/>
      <c r="AX28" s="19">
        <f t="shared" si="11"/>
        <v>0.96528819444444436</v>
      </c>
      <c r="AY28" s="20" t="str">
        <f t="shared" si="12"/>
        <v>(0.09)</v>
      </c>
      <c r="AZ28" s="21">
        <v>2</v>
      </c>
      <c r="BA28" s="21">
        <f t="shared" si="13"/>
        <v>3.5</v>
      </c>
      <c r="BB28" s="21">
        <v>0</v>
      </c>
      <c r="BC28" s="21">
        <f t="shared" si="14"/>
        <v>0</v>
      </c>
      <c r="BD28" s="21">
        <v>0</v>
      </c>
      <c r="BE28" s="21">
        <f t="shared" si="15"/>
        <v>0</v>
      </c>
      <c r="BF28" s="21">
        <f t="shared" si="16"/>
        <v>3.5</v>
      </c>
      <c r="BG28" s="22">
        <f t="shared" si="17"/>
        <v>5.5</v>
      </c>
      <c r="BH28" s="205">
        <f t="shared" si="18"/>
        <v>1.4918090277777778</v>
      </c>
      <c r="BI28" s="206" t="str">
        <f t="shared" si="19"/>
        <v>(0.14)</v>
      </c>
      <c r="BJ28" s="207">
        <v>2</v>
      </c>
      <c r="BK28" s="207">
        <f t="shared" si="20"/>
        <v>3.5</v>
      </c>
      <c r="BL28" s="207">
        <v>0</v>
      </c>
      <c r="BM28" s="207">
        <f t="shared" si="21"/>
        <v>0</v>
      </c>
      <c r="BN28" s="207">
        <v>0</v>
      </c>
      <c r="BO28" s="207">
        <f t="shared" si="22"/>
        <v>0</v>
      </c>
      <c r="BP28" s="207">
        <f t="shared" si="23"/>
        <v>3.5</v>
      </c>
      <c r="BQ28" s="208">
        <f t="shared" si="24"/>
        <v>8.5</v>
      </c>
      <c r="BR28" s="205">
        <f t="shared" si="25"/>
        <v>2.5448506944444444</v>
      </c>
      <c r="BS28" s="206" t="str">
        <f t="shared" si="26"/>
        <v>(0.24)</v>
      </c>
      <c r="BT28" s="207">
        <v>2</v>
      </c>
      <c r="BU28" s="207">
        <f t="shared" si="27"/>
        <v>3.5</v>
      </c>
      <c r="BV28" s="207">
        <v>0</v>
      </c>
      <c r="BW28" s="207">
        <f t="shared" si="28"/>
        <v>0</v>
      </c>
      <c r="BX28" s="207">
        <v>0</v>
      </c>
      <c r="BY28" s="207">
        <f t="shared" si="29"/>
        <v>0</v>
      </c>
      <c r="BZ28" s="207">
        <f t="shared" si="30"/>
        <v>3.5</v>
      </c>
      <c r="CA28" s="208">
        <f t="shared" si="31"/>
        <v>14.5</v>
      </c>
      <c r="CB28" s="205">
        <f t="shared" si="32"/>
        <v>3.5978923611111111</v>
      </c>
      <c r="CC28" s="206" t="str">
        <f t="shared" si="33"/>
        <v>(0.33)</v>
      </c>
      <c r="CD28" s="207">
        <v>2</v>
      </c>
      <c r="CE28" s="207">
        <f t="shared" si="34"/>
        <v>3.5</v>
      </c>
      <c r="CF28" s="207">
        <v>0</v>
      </c>
      <c r="CG28" s="207">
        <f t="shared" si="35"/>
        <v>0</v>
      </c>
      <c r="CH28" s="207">
        <v>0</v>
      </c>
      <c r="CI28" s="207">
        <f t="shared" si="36"/>
        <v>0</v>
      </c>
      <c r="CJ28" s="207">
        <f t="shared" si="37"/>
        <v>3.5</v>
      </c>
      <c r="CK28" s="208">
        <f t="shared" si="38"/>
        <v>20.5</v>
      </c>
      <c r="CL28" s="205">
        <f t="shared" si="39"/>
        <v>4.6509340277777778</v>
      </c>
      <c r="CM28" s="206" t="str">
        <f t="shared" si="40"/>
        <v>(0.43)</v>
      </c>
      <c r="CN28" s="207">
        <v>2</v>
      </c>
      <c r="CO28" s="207">
        <f t="shared" si="41"/>
        <v>3.5</v>
      </c>
      <c r="CP28" s="207">
        <v>0</v>
      </c>
      <c r="CQ28" s="207">
        <f t="shared" si="42"/>
        <v>0</v>
      </c>
      <c r="CR28" s="207">
        <v>0</v>
      </c>
      <c r="CS28" s="207">
        <f t="shared" si="43"/>
        <v>0</v>
      </c>
      <c r="CT28" s="207">
        <f t="shared" si="44"/>
        <v>3.5</v>
      </c>
      <c r="CU28" s="208">
        <f t="shared" si="45"/>
        <v>26.5</v>
      </c>
      <c r="CV28" s="205">
        <f t="shared" si="46"/>
        <v>5.703975694444444</v>
      </c>
      <c r="CW28" s="206" t="str">
        <f t="shared" si="47"/>
        <v>(0.53)</v>
      </c>
      <c r="CX28" s="207">
        <v>2</v>
      </c>
      <c r="CY28" s="207">
        <f t="shared" si="48"/>
        <v>3.5</v>
      </c>
      <c r="CZ28" s="207">
        <v>0</v>
      </c>
      <c r="DA28" s="207">
        <f t="shared" si="49"/>
        <v>0</v>
      </c>
      <c r="DB28" s="207">
        <v>0</v>
      </c>
      <c r="DC28" s="207">
        <f t="shared" si="50"/>
        <v>0</v>
      </c>
      <c r="DD28" s="207">
        <f t="shared" si="51"/>
        <v>3.5</v>
      </c>
      <c r="DE28" s="208">
        <f t="shared" si="52"/>
        <v>32.5</v>
      </c>
      <c r="DF28" s="205">
        <f t="shared" si="53"/>
        <v>6.7570173611111111</v>
      </c>
      <c r="DG28" s="206" t="str">
        <f t="shared" si="54"/>
        <v>(0.63)</v>
      </c>
      <c r="DH28" s="207">
        <v>2</v>
      </c>
      <c r="DI28" s="207">
        <f t="shared" si="55"/>
        <v>3.5</v>
      </c>
      <c r="DJ28" s="207">
        <v>0</v>
      </c>
      <c r="DK28" s="207">
        <f t="shared" si="56"/>
        <v>0</v>
      </c>
      <c r="DL28" s="207">
        <v>0</v>
      </c>
      <c r="DM28" s="207">
        <f t="shared" si="57"/>
        <v>0</v>
      </c>
      <c r="DN28" s="207">
        <f t="shared" si="58"/>
        <v>3.5</v>
      </c>
      <c r="DO28" s="208">
        <f t="shared" si="59"/>
        <v>38.5</v>
      </c>
      <c r="DP28" s="209">
        <f t="shared" si="60"/>
        <v>7.8100590277777782</v>
      </c>
      <c r="DQ28" s="210" t="str">
        <f t="shared" si="61"/>
        <v>(0.73)</v>
      </c>
      <c r="DR28" s="207">
        <v>2</v>
      </c>
      <c r="DS28" s="207">
        <f t="shared" si="62"/>
        <v>3.5</v>
      </c>
      <c r="DT28" s="207">
        <v>0</v>
      </c>
      <c r="DU28" s="207">
        <f t="shared" si="63"/>
        <v>0</v>
      </c>
      <c r="DV28" s="207">
        <v>0</v>
      </c>
      <c r="DW28" s="207">
        <f t="shared" si="64"/>
        <v>0</v>
      </c>
      <c r="DX28" s="207">
        <f t="shared" si="65"/>
        <v>3.5</v>
      </c>
      <c r="DY28" s="208">
        <f t="shared" si="66"/>
        <v>44.5</v>
      </c>
      <c r="DZ28" s="205">
        <f t="shared" si="67"/>
        <v>8.6875937499999996</v>
      </c>
      <c r="EA28" s="206" t="str">
        <f t="shared" si="68"/>
        <v>(0.81)</v>
      </c>
      <c r="EB28" s="207">
        <v>2</v>
      </c>
      <c r="EC28" s="207">
        <f t="shared" si="69"/>
        <v>3.5</v>
      </c>
      <c r="ED28" s="207">
        <v>0</v>
      </c>
      <c r="EE28" s="207">
        <f t="shared" si="70"/>
        <v>0</v>
      </c>
      <c r="EF28" s="207">
        <v>1</v>
      </c>
      <c r="EG28" s="207">
        <f t="shared" si="71"/>
        <v>1</v>
      </c>
      <c r="EH28" s="207">
        <f t="shared" si="72"/>
        <v>4.5</v>
      </c>
      <c r="EI28" s="208">
        <f t="shared" si="73"/>
        <v>49.5</v>
      </c>
      <c r="EJ28" s="205">
        <f t="shared" si="74"/>
        <v>9.7406354166666667</v>
      </c>
      <c r="EK28" s="206" t="str">
        <f t="shared" si="75"/>
        <v>(0.90)</v>
      </c>
      <c r="EL28" s="207">
        <v>2</v>
      </c>
      <c r="EM28" s="207">
        <f t="shared" si="76"/>
        <v>3.5</v>
      </c>
      <c r="EN28" s="207">
        <v>0</v>
      </c>
      <c r="EO28" s="207">
        <f t="shared" si="77"/>
        <v>0</v>
      </c>
      <c r="EP28" s="207">
        <v>1</v>
      </c>
      <c r="EQ28" s="207">
        <f t="shared" si="78"/>
        <v>1</v>
      </c>
      <c r="ER28" s="207">
        <f t="shared" si="79"/>
        <v>4.5</v>
      </c>
      <c r="ES28" s="208">
        <f t="shared" si="80"/>
        <v>55.5</v>
      </c>
      <c r="ET28" s="205">
        <f t="shared" si="81"/>
        <v>10.793677083333334</v>
      </c>
      <c r="EU28" s="206" t="str">
        <f t="shared" si="82"/>
        <v>(1.00)</v>
      </c>
      <c r="EV28" s="207">
        <v>2</v>
      </c>
      <c r="EW28" s="207">
        <f t="shared" si="83"/>
        <v>3.5</v>
      </c>
      <c r="EX28" s="207">
        <v>0</v>
      </c>
      <c r="EY28" s="207">
        <f t="shared" si="84"/>
        <v>0</v>
      </c>
      <c r="EZ28" s="207">
        <v>1</v>
      </c>
      <c r="FA28" s="207">
        <f t="shared" si="85"/>
        <v>1</v>
      </c>
      <c r="FB28" s="207">
        <f t="shared" si="86"/>
        <v>4.5</v>
      </c>
      <c r="FC28" s="208">
        <f t="shared" si="87"/>
        <v>61.5</v>
      </c>
      <c r="FD28" s="205">
        <f t="shared" si="88"/>
        <v>12.022225694444444</v>
      </c>
      <c r="FE28" s="206" t="str">
        <f t="shared" si="89"/>
        <v>(1.12)</v>
      </c>
      <c r="FF28" s="207">
        <v>2</v>
      </c>
      <c r="FG28" s="207">
        <f t="shared" si="90"/>
        <v>3.5</v>
      </c>
      <c r="FH28" s="469">
        <v>0</v>
      </c>
      <c r="FI28" s="207">
        <f t="shared" si="91"/>
        <v>0</v>
      </c>
      <c r="FJ28" s="207">
        <v>0</v>
      </c>
      <c r="FK28" s="207">
        <f t="shared" si="92"/>
        <v>0</v>
      </c>
      <c r="FL28" s="207">
        <f t="shared" si="93"/>
        <v>3.5</v>
      </c>
      <c r="FM28" s="208">
        <f t="shared" si="94"/>
        <v>68.5</v>
      </c>
      <c r="FN28" s="205">
        <f t="shared" si="95"/>
        <v>12.877822048611112</v>
      </c>
      <c r="FO28" s="206" t="str">
        <f t="shared" si="96"/>
        <v>(1.20)</v>
      </c>
      <c r="FP28" s="207">
        <v>2</v>
      </c>
      <c r="FQ28" s="207">
        <f t="shared" si="97"/>
        <v>3.5</v>
      </c>
      <c r="FR28" s="207">
        <v>1</v>
      </c>
      <c r="FS28" s="207">
        <f t="shared" si="98"/>
        <v>1.125</v>
      </c>
      <c r="FT28" s="207">
        <v>0</v>
      </c>
      <c r="FU28" s="207">
        <f t="shared" si="99"/>
        <v>0</v>
      </c>
      <c r="FV28" s="207">
        <f t="shared" si="100"/>
        <v>4.625</v>
      </c>
      <c r="FW28" s="208">
        <f t="shared" si="101"/>
        <v>73.375</v>
      </c>
      <c r="FX28" s="205">
        <f t="shared" si="102"/>
        <v>13.930863715277777</v>
      </c>
      <c r="FY28" s="206" t="str">
        <f t="shared" si="103"/>
        <v>(1.29)</v>
      </c>
      <c r="FZ28" s="207">
        <v>2</v>
      </c>
      <c r="GA28" s="207">
        <f t="shared" si="104"/>
        <v>3.5</v>
      </c>
      <c r="GB28" s="207">
        <v>1</v>
      </c>
      <c r="GC28" s="207">
        <f t="shared" si="105"/>
        <v>1.125</v>
      </c>
      <c r="GD28" s="207">
        <v>0</v>
      </c>
      <c r="GE28" s="207">
        <f t="shared" si="106"/>
        <v>0</v>
      </c>
      <c r="GF28" s="207">
        <f t="shared" si="107"/>
        <v>4.625</v>
      </c>
      <c r="GG28" s="208">
        <f t="shared" si="108"/>
        <v>79.375</v>
      </c>
      <c r="GH28" s="205">
        <f t="shared" si="109"/>
        <v>14.983905381944444</v>
      </c>
      <c r="GI28" s="206" t="str">
        <f t="shared" si="110"/>
        <v>(1.39)</v>
      </c>
      <c r="GJ28" s="207">
        <v>2</v>
      </c>
      <c r="GK28" s="207">
        <f t="shared" si="111"/>
        <v>3.5</v>
      </c>
      <c r="GL28" s="207">
        <v>1</v>
      </c>
      <c r="GM28" s="207">
        <f t="shared" si="112"/>
        <v>1.125</v>
      </c>
      <c r="GN28" s="207">
        <v>0</v>
      </c>
      <c r="GO28" s="207">
        <f t="shared" si="113"/>
        <v>0</v>
      </c>
      <c r="GP28" s="207">
        <f t="shared" si="114"/>
        <v>4.625</v>
      </c>
      <c r="GQ28" s="208">
        <f t="shared" si="115"/>
        <v>85.375</v>
      </c>
      <c r="GR28" s="205">
        <f t="shared" si="116"/>
        <v>16.036947048611111</v>
      </c>
      <c r="GS28" s="206" t="str">
        <f t="shared" si="117"/>
        <v>(1.49)</v>
      </c>
      <c r="GT28" s="207">
        <v>2</v>
      </c>
      <c r="GU28" s="207">
        <f t="shared" si="118"/>
        <v>3.5</v>
      </c>
      <c r="GV28" s="207">
        <v>1</v>
      </c>
      <c r="GW28" s="207">
        <f t="shared" si="119"/>
        <v>1.125</v>
      </c>
      <c r="GX28" s="207">
        <v>0</v>
      </c>
      <c r="GY28" s="207">
        <f t="shared" si="120"/>
        <v>0</v>
      </c>
      <c r="GZ28" s="207">
        <f t="shared" si="121"/>
        <v>4.625</v>
      </c>
      <c r="HA28" s="208">
        <f t="shared" si="122"/>
        <v>91.375</v>
      </c>
      <c r="HB28" s="205">
        <f t="shared" si="123"/>
        <v>17.08998871527778</v>
      </c>
      <c r="HC28" s="206" t="str">
        <f t="shared" si="124"/>
        <v>(1.59)</v>
      </c>
      <c r="HD28" s="207">
        <v>2</v>
      </c>
      <c r="HE28" s="207">
        <f t="shared" si="125"/>
        <v>3.5</v>
      </c>
      <c r="HF28" s="207">
        <v>1</v>
      </c>
      <c r="HG28" s="207">
        <f t="shared" si="126"/>
        <v>1.125</v>
      </c>
      <c r="HH28" s="207">
        <v>0</v>
      </c>
      <c r="HI28" s="207">
        <f t="shared" si="127"/>
        <v>0</v>
      </c>
      <c r="HJ28" s="207">
        <f t="shared" si="128"/>
        <v>4.625</v>
      </c>
      <c r="HK28" s="208">
        <f t="shared" si="129"/>
        <v>97.375</v>
      </c>
      <c r="HL28" s="205">
        <f t="shared" si="130"/>
        <v>17.792016493055556</v>
      </c>
      <c r="HM28" s="206" t="str">
        <f t="shared" si="131"/>
        <v>(1.65)</v>
      </c>
      <c r="HN28" s="207">
        <v>2</v>
      </c>
      <c r="HO28" s="207">
        <f t="shared" si="132"/>
        <v>3.5</v>
      </c>
      <c r="HP28" s="207">
        <v>1</v>
      </c>
      <c r="HQ28" s="207">
        <f t="shared" si="133"/>
        <v>1.125</v>
      </c>
      <c r="HR28" s="207">
        <v>2</v>
      </c>
      <c r="HS28" s="207">
        <f t="shared" si="134"/>
        <v>2</v>
      </c>
      <c r="HT28" s="207">
        <f t="shared" si="135"/>
        <v>6.625</v>
      </c>
      <c r="HU28" s="208">
        <f t="shared" si="136"/>
        <v>101.375</v>
      </c>
      <c r="HV28" s="205">
        <f t="shared" si="137"/>
        <v>18.845058159722225</v>
      </c>
      <c r="HW28" s="206" t="str">
        <f t="shared" si="138"/>
        <v>(1.75)</v>
      </c>
      <c r="HX28" s="207">
        <v>2</v>
      </c>
      <c r="HY28" s="207">
        <f t="shared" si="139"/>
        <v>3.5</v>
      </c>
      <c r="HZ28" s="207">
        <v>1</v>
      </c>
      <c r="IA28" s="207">
        <f t="shared" si="140"/>
        <v>1.125</v>
      </c>
      <c r="IB28" s="207">
        <v>2</v>
      </c>
      <c r="IC28" s="207">
        <f t="shared" si="141"/>
        <v>2</v>
      </c>
      <c r="ID28" s="207">
        <f t="shared" si="142"/>
        <v>6.625</v>
      </c>
      <c r="IE28" s="208">
        <f t="shared" si="143"/>
        <v>107.375</v>
      </c>
      <c r="IF28" s="205">
        <f t="shared" si="144"/>
        <v>19.89809982638889</v>
      </c>
      <c r="IG28" s="206" t="str">
        <f t="shared" si="145"/>
        <v>(1.85)</v>
      </c>
      <c r="IH28" s="21">
        <v>2</v>
      </c>
      <c r="II28" s="21">
        <f t="shared" si="146"/>
        <v>3.5</v>
      </c>
      <c r="IJ28" s="21">
        <v>1</v>
      </c>
      <c r="IK28" s="21">
        <f t="shared" si="147"/>
        <v>1.125</v>
      </c>
      <c r="IL28" s="21">
        <v>2</v>
      </c>
      <c r="IM28" s="21">
        <f t="shared" si="148"/>
        <v>2</v>
      </c>
      <c r="IN28" s="21">
        <f t="shared" si="149"/>
        <v>6.625</v>
      </c>
      <c r="IO28" s="22">
        <f t="shared" si="150"/>
        <v>113.375</v>
      </c>
      <c r="IP28" s="23"/>
      <c r="IQ28" s="24">
        <f t="shared" si="151"/>
        <v>8</v>
      </c>
      <c r="IR28" s="25">
        <v>2.5</v>
      </c>
      <c r="IS28" s="25">
        <v>2.8780000000000001</v>
      </c>
      <c r="IT28" s="25">
        <v>2.6269999999999998</v>
      </c>
      <c r="IU28" s="25">
        <v>1.75</v>
      </c>
      <c r="IV28" s="25">
        <v>1</v>
      </c>
      <c r="IW28" s="25">
        <v>1.125</v>
      </c>
      <c r="IX28" s="7"/>
    </row>
    <row r="29" spans="2:258" ht="15.75" thickBot="1" x14ac:dyDescent="0.3">
      <c r="B29" s="79">
        <f t="shared" si="9"/>
        <v>72</v>
      </c>
      <c r="C29" s="148">
        <v>13</v>
      </c>
      <c r="D29" s="487"/>
      <c r="E29" s="468">
        <f t="shared" si="0"/>
        <v>0.38214583333333341</v>
      </c>
      <c r="F29" s="468">
        <f t="shared" si="1"/>
        <v>0.4345972222222223</v>
      </c>
      <c r="G29" s="468">
        <f t="shared" si="2"/>
        <v>0.46082291666666669</v>
      </c>
      <c r="H29" s="468">
        <f t="shared" si="3"/>
        <v>0.47655833333333331</v>
      </c>
      <c r="I29" s="468">
        <f t="shared" si="4"/>
        <v>0.48704861111111114</v>
      </c>
      <c r="J29" s="468">
        <f t="shared" si="5"/>
        <v>0.49454166666666677</v>
      </c>
      <c r="K29" s="468">
        <f t="shared" si="6"/>
        <v>0.50016145833333336</v>
      </c>
      <c r="L29" s="468">
        <f t="shared" si="7"/>
        <v>0.49454166666666666</v>
      </c>
      <c r="M29" s="468">
        <f t="shared" si="8"/>
        <v>0.49903750000000002</v>
      </c>
      <c r="N29" s="488"/>
      <c r="O29" s="488"/>
      <c r="P29" s="488"/>
      <c r="Q29" s="488"/>
      <c r="R29" s="488"/>
      <c r="S29" s="488"/>
      <c r="T29" s="488"/>
      <c r="U29" s="488"/>
      <c r="V29" s="488"/>
      <c r="W29" s="488"/>
      <c r="X29" s="76"/>
      <c r="Y29" s="46"/>
      <c r="AA29" s="61"/>
      <c r="AT29" s="3"/>
      <c r="AU29" s="13">
        <f t="shared" si="152"/>
        <v>54</v>
      </c>
      <c r="AV29" s="11" t="str">
        <f t="shared" si="10"/>
        <v>(1350)</v>
      </c>
      <c r="AW29" s="18"/>
      <c r="AX29" s="19">
        <f t="shared" si="11"/>
        <v>1.0647465277777779</v>
      </c>
      <c r="AY29" s="20" t="str">
        <f t="shared" si="12"/>
        <v>(0.10)</v>
      </c>
      <c r="AZ29" s="21">
        <v>2</v>
      </c>
      <c r="BA29" s="21">
        <f t="shared" si="13"/>
        <v>3.5</v>
      </c>
      <c r="BB29" s="21">
        <v>0</v>
      </c>
      <c r="BC29" s="21">
        <f t="shared" si="14"/>
        <v>0</v>
      </c>
      <c r="BD29" s="21">
        <v>0</v>
      </c>
      <c r="BE29" s="21">
        <f t="shared" si="15"/>
        <v>0</v>
      </c>
      <c r="BF29" s="21">
        <f t="shared" si="16"/>
        <v>3.5</v>
      </c>
      <c r="BG29" s="22">
        <f t="shared" si="17"/>
        <v>5.5</v>
      </c>
      <c r="BH29" s="205">
        <f t="shared" si="18"/>
        <v>1.6455173611111114</v>
      </c>
      <c r="BI29" s="206" t="str">
        <f t="shared" si="19"/>
        <v>(0.15)</v>
      </c>
      <c r="BJ29" s="207">
        <v>2</v>
      </c>
      <c r="BK29" s="207">
        <f t="shared" si="20"/>
        <v>3.5</v>
      </c>
      <c r="BL29" s="207">
        <v>0</v>
      </c>
      <c r="BM29" s="207">
        <f t="shared" si="21"/>
        <v>0</v>
      </c>
      <c r="BN29" s="207">
        <v>0</v>
      </c>
      <c r="BO29" s="207">
        <f t="shared" si="22"/>
        <v>0</v>
      </c>
      <c r="BP29" s="207">
        <f t="shared" si="23"/>
        <v>3.5</v>
      </c>
      <c r="BQ29" s="208">
        <f t="shared" si="24"/>
        <v>8.5</v>
      </c>
      <c r="BR29" s="205">
        <f t="shared" si="25"/>
        <v>2.807059027777778</v>
      </c>
      <c r="BS29" s="206" t="str">
        <f t="shared" si="26"/>
        <v>(0.26)</v>
      </c>
      <c r="BT29" s="207">
        <v>2</v>
      </c>
      <c r="BU29" s="207">
        <f t="shared" si="27"/>
        <v>3.5</v>
      </c>
      <c r="BV29" s="207">
        <v>0</v>
      </c>
      <c r="BW29" s="207">
        <f t="shared" si="28"/>
        <v>0</v>
      </c>
      <c r="BX29" s="207">
        <v>0</v>
      </c>
      <c r="BY29" s="207">
        <f t="shared" si="29"/>
        <v>0</v>
      </c>
      <c r="BZ29" s="207">
        <f t="shared" si="30"/>
        <v>3.5</v>
      </c>
      <c r="CA29" s="208">
        <f t="shared" si="31"/>
        <v>14.5</v>
      </c>
      <c r="CB29" s="205">
        <f t="shared" si="32"/>
        <v>3.968600694444445</v>
      </c>
      <c r="CC29" s="206" t="str">
        <f t="shared" si="33"/>
        <v>(0.37)</v>
      </c>
      <c r="CD29" s="207">
        <v>2</v>
      </c>
      <c r="CE29" s="207">
        <f t="shared" si="34"/>
        <v>3.5</v>
      </c>
      <c r="CF29" s="207">
        <v>0</v>
      </c>
      <c r="CG29" s="207">
        <f t="shared" si="35"/>
        <v>0</v>
      </c>
      <c r="CH29" s="207">
        <v>0</v>
      </c>
      <c r="CI29" s="207">
        <f t="shared" si="36"/>
        <v>0</v>
      </c>
      <c r="CJ29" s="207">
        <f t="shared" si="37"/>
        <v>3.5</v>
      </c>
      <c r="CK29" s="208">
        <f t="shared" si="38"/>
        <v>20.5</v>
      </c>
      <c r="CL29" s="205">
        <f t="shared" si="39"/>
        <v>5.1301423611111119</v>
      </c>
      <c r="CM29" s="206" t="str">
        <f t="shared" si="40"/>
        <v>(0.48)</v>
      </c>
      <c r="CN29" s="207">
        <v>2</v>
      </c>
      <c r="CO29" s="207">
        <f t="shared" si="41"/>
        <v>3.5</v>
      </c>
      <c r="CP29" s="207">
        <v>0</v>
      </c>
      <c r="CQ29" s="207">
        <f t="shared" si="42"/>
        <v>0</v>
      </c>
      <c r="CR29" s="207">
        <v>0</v>
      </c>
      <c r="CS29" s="207">
        <f t="shared" si="43"/>
        <v>0</v>
      </c>
      <c r="CT29" s="207">
        <f t="shared" si="44"/>
        <v>3.5</v>
      </c>
      <c r="CU29" s="208">
        <f t="shared" si="45"/>
        <v>26.5</v>
      </c>
      <c r="CV29" s="205">
        <f t="shared" si="46"/>
        <v>6.2916840277777784</v>
      </c>
      <c r="CW29" s="206" t="str">
        <f t="shared" si="47"/>
        <v>(0.58)</v>
      </c>
      <c r="CX29" s="207">
        <v>2</v>
      </c>
      <c r="CY29" s="207">
        <f t="shared" si="48"/>
        <v>3.5</v>
      </c>
      <c r="CZ29" s="207">
        <v>0</v>
      </c>
      <c r="DA29" s="207">
        <f t="shared" si="49"/>
        <v>0</v>
      </c>
      <c r="DB29" s="207">
        <v>0</v>
      </c>
      <c r="DC29" s="207">
        <f t="shared" si="50"/>
        <v>0</v>
      </c>
      <c r="DD29" s="207">
        <f t="shared" si="51"/>
        <v>3.5</v>
      </c>
      <c r="DE29" s="208">
        <f t="shared" si="52"/>
        <v>32.5</v>
      </c>
      <c r="DF29" s="205">
        <f t="shared" si="53"/>
        <v>7.4532256944444448</v>
      </c>
      <c r="DG29" s="206" t="str">
        <f t="shared" si="54"/>
        <v>(0.69)</v>
      </c>
      <c r="DH29" s="207">
        <v>2</v>
      </c>
      <c r="DI29" s="207">
        <f t="shared" si="55"/>
        <v>3.5</v>
      </c>
      <c r="DJ29" s="207">
        <v>0</v>
      </c>
      <c r="DK29" s="207">
        <f t="shared" si="56"/>
        <v>0</v>
      </c>
      <c r="DL29" s="207">
        <v>0</v>
      </c>
      <c r="DM29" s="207">
        <f t="shared" si="57"/>
        <v>0</v>
      </c>
      <c r="DN29" s="207">
        <f t="shared" si="58"/>
        <v>3.5</v>
      </c>
      <c r="DO29" s="208">
        <f t="shared" si="59"/>
        <v>38.5</v>
      </c>
      <c r="DP29" s="205">
        <f t="shared" si="60"/>
        <v>8.6147673611111131</v>
      </c>
      <c r="DQ29" s="206" t="str">
        <f t="shared" si="61"/>
        <v>(0.8)</v>
      </c>
      <c r="DR29" s="207">
        <v>2</v>
      </c>
      <c r="DS29" s="207">
        <f t="shared" si="62"/>
        <v>3.5</v>
      </c>
      <c r="DT29" s="207">
        <v>0</v>
      </c>
      <c r="DU29" s="207">
        <f t="shared" si="63"/>
        <v>0</v>
      </c>
      <c r="DV29" s="207">
        <v>0</v>
      </c>
      <c r="DW29" s="207">
        <f t="shared" si="64"/>
        <v>0</v>
      </c>
      <c r="DX29" s="207">
        <f t="shared" si="65"/>
        <v>3.5</v>
      </c>
      <c r="DY29" s="208">
        <f t="shared" si="66"/>
        <v>44.5</v>
      </c>
      <c r="DZ29" s="205">
        <f t="shared" si="67"/>
        <v>9.5827187500000015</v>
      </c>
      <c r="EA29" s="206" t="str">
        <f t="shared" si="68"/>
        <v>(0.89)</v>
      </c>
      <c r="EB29" s="207">
        <v>2</v>
      </c>
      <c r="EC29" s="207">
        <f t="shared" si="69"/>
        <v>3.5</v>
      </c>
      <c r="ED29" s="207">
        <v>0</v>
      </c>
      <c r="EE29" s="207">
        <f t="shared" si="70"/>
        <v>0</v>
      </c>
      <c r="EF29" s="207">
        <v>1</v>
      </c>
      <c r="EG29" s="207">
        <f t="shared" si="71"/>
        <v>1</v>
      </c>
      <c r="EH29" s="207">
        <f t="shared" si="72"/>
        <v>4.5</v>
      </c>
      <c r="EI29" s="208">
        <f t="shared" si="73"/>
        <v>49.5</v>
      </c>
      <c r="EJ29" s="205">
        <f t="shared" si="74"/>
        <v>10.744260416666668</v>
      </c>
      <c r="EK29" s="206" t="str">
        <f t="shared" si="75"/>
        <v>(1.00)</v>
      </c>
      <c r="EL29" s="207">
        <v>2</v>
      </c>
      <c r="EM29" s="207">
        <f t="shared" si="76"/>
        <v>3.5</v>
      </c>
      <c r="EN29" s="207">
        <v>0</v>
      </c>
      <c r="EO29" s="207">
        <f t="shared" si="77"/>
        <v>0</v>
      </c>
      <c r="EP29" s="207">
        <v>1</v>
      </c>
      <c r="EQ29" s="207">
        <f t="shared" si="78"/>
        <v>1</v>
      </c>
      <c r="ER29" s="207">
        <f t="shared" si="79"/>
        <v>4.5</v>
      </c>
      <c r="ES29" s="208">
        <f t="shared" si="80"/>
        <v>55.5</v>
      </c>
      <c r="ET29" s="205">
        <f t="shared" si="81"/>
        <v>11.905802083333334</v>
      </c>
      <c r="EU29" s="206" t="str">
        <f t="shared" si="82"/>
        <v>(1.11)</v>
      </c>
      <c r="EV29" s="207">
        <v>2</v>
      </c>
      <c r="EW29" s="207">
        <f t="shared" si="83"/>
        <v>3.5</v>
      </c>
      <c r="EX29" s="207">
        <v>0</v>
      </c>
      <c r="EY29" s="207">
        <f t="shared" si="84"/>
        <v>0</v>
      </c>
      <c r="EZ29" s="207">
        <v>1</v>
      </c>
      <c r="FA29" s="207">
        <f t="shared" si="85"/>
        <v>1</v>
      </c>
      <c r="FB29" s="207">
        <f t="shared" si="86"/>
        <v>4.5</v>
      </c>
      <c r="FC29" s="208">
        <f t="shared" si="87"/>
        <v>61.5</v>
      </c>
      <c r="FD29" s="205">
        <f t="shared" si="88"/>
        <v>13.260934027777779</v>
      </c>
      <c r="FE29" s="206" t="str">
        <f t="shared" si="89"/>
        <v>(1.23)</v>
      </c>
      <c r="FF29" s="207">
        <v>2</v>
      </c>
      <c r="FG29" s="207">
        <f t="shared" si="90"/>
        <v>3.5</v>
      </c>
      <c r="FH29" s="469">
        <v>0</v>
      </c>
      <c r="FI29" s="207">
        <f t="shared" si="91"/>
        <v>0</v>
      </c>
      <c r="FJ29" s="207">
        <v>0</v>
      </c>
      <c r="FK29" s="207">
        <f t="shared" si="92"/>
        <v>0</v>
      </c>
      <c r="FL29" s="207">
        <f t="shared" si="93"/>
        <v>3.5</v>
      </c>
      <c r="FM29" s="208">
        <f t="shared" si="94"/>
        <v>68.5</v>
      </c>
      <c r="FN29" s="205">
        <f t="shared" si="95"/>
        <v>14.204686631944446</v>
      </c>
      <c r="FO29" s="206" t="str">
        <f t="shared" si="96"/>
        <v>(1.32)</v>
      </c>
      <c r="FP29" s="207">
        <v>2</v>
      </c>
      <c r="FQ29" s="207">
        <f t="shared" si="97"/>
        <v>3.5</v>
      </c>
      <c r="FR29" s="207">
        <v>1</v>
      </c>
      <c r="FS29" s="207">
        <f t="shared" si="98"/>
        <v>1.125</v>
      </c>
      <c r="FT29" s="207">
        <v>0</v>
      </c>
      <c r="FU29" s="207">
        <f t="shared" si="99"/>
        <v>0</v>
      </c>
      <c r="FV29" s="207">
        <f t="shared" si="100"/>
        <v>4.625</v>
      </c>
      <c r="FW29" s="208">
        <f t="shared" si="101"/>
        <v>73.375</v>
      </c>
      <c r="FX29" s="205">
        <f t="shared" si="102"/>
        <v>15.366228298611112</v>
      </c>
      <c r="FY29" s="206" t="str">
        <f t="shared" si="103"/>
        <v>(1.43)</v>
      </c>
      <c r="FZ29" s="207">
        <v>2</v>
      </c>
      <c r="GA29" s="207">
        <f t="shared" si="104"/>
        <v>3.5</v>
      </c>
      <c r="GB29" s="207">
        <v>1</v>
      </c>
      <c r="GC29" s="207">
        <f t="shared" si="105"/>
        <v>1.125</v>
      </c>
      <c r="GD29" s="207">
        <v>0</v>
      </c>
      <c r="GE29" s="207">
        <f t="shared" si="106"/>
        <v>0</v>
      </c>
      <c r="GF29" s="207">
        <f t="shared" si="107"/>
        <v>4.625</v>
      </c>
      <c r="GG29" s="208">
        <f t="shared" si="108"/>
        <v>79.375</v>
      </c>
      <c r="GH29" s="205">
        <f t="shared" si="109"/>
        <v>16.527769965277781</v>
      </c>
      <c r="GI29" s="206" t="str">
        <f t="shared" si="110"/>
        <v>(1.54)</v>
      </c>
      <c r="GJ29" s="207">
        <v>2</v>
      </c>
      <c r="GK29" s="207">
        <f t="shared" si="111"/>
        <v>3.5</v>
      </c>
      <c r="GL29" s="207">
        <v>1</v>
      </c>
      <c r="GM29" s="207">
        <f t="shared" si="112"/>
        <v>1.125</v>
      </c>
      <c r="GN29" s="207">
        <v>0</v>
      </c>
      <c r="GO29" s="207">
        <f t="shared" si="113"/>
        <v>0</v>
      </c>
      <c r="GP29" s="207">
        <f t="shared" si="114"/>
        <v>4.625</v>
      </c>
      <c r="GQ29" s="208">
        <f t="shared" si="115"/>
        <v>85.375</v>
      </c>
      <c r="GR29" s="205">
        <f t="shared" si="116"/>
        <v>17.689311631944449</v>
      </c>
      <c r="GS29" s="206" t="str">
        <f t="shared" si="117"/>
        <v>(1.64)</v>
      </c>
      <c r="GT29" s="207">
        <v>2</v>
      </c>
      <c r="GU29" s="207">
        <f t="shared" si="118"/>
        <v>3.5</v>
      </c>
      <c r="GV29" s="207">
        <v>1</v>
      </c>
      <c r="GW29" s="207">
        <f t="shared" si="119"/>
        <v>1.125</v>
      </c>
      <c r="GX29" s="207">
        <v>0</v>
      </c>
      <c r="GY29" s="207">
        <f t="shared" si="120"/>
        <v>0</v>
      </c>
      <c r="GZ29" s="207">
        <f t="shared" si="121"/>
        <v>4.625</v>
      </c>
      <c r="HA29" s="208">
        <f t="shared" si="122"/>
        <v>91.375</v>
      </c>
      <c r="HB29" s="205">
        <f t="shared" si="123"/>
        <v>18.850853298611113</v>
      </c>
      <c r="HC29" s="206" t="str">
        <f t="shared" si="124"/>
        <v>(1.75)</v>
      </c>
      <c r="HD29" s="207">
        <v>2</v>
      </c>
      <c r="HE29" s="207">
        <f t="shared" si="125"/>
        <v>3.5</v>
      </c>
      <c r="HF29" s="207">
        <v>1</v>
      </c>
      <c r="HG29" s="207">
        <f t="shared" si="126"/>
        <v>1.125</v>
      </c>
      <c r="HH29" s="207">
        <v>0</v>
      </c>
      <c r="HI29" s="207">
        <f t="shared" si="127"/>
        <v>0</v>
      </c>
      <c r="HJ29" s="207">
        <f t="shared" si="128"/>
        <v>4.625</v>
      </c>
      <c r="HK29" s="208">
        <f t="shared" si="129"/>
        <v>97.375</v>
      </c>
      <c r="HL29" s="205">
        <f t="shared" si="130"/>
        <v>19.625214409722226</v>
      </c>
      <c r="HM29" s="206" t="str">
        <f t="shared" si="131"/>
        <v>(1.82)</v>
      </c>
      <c r="HN29" s="207">
        <v>2</v>
      </c>
      <c r="HO29" s="207">
        <f t="shared" si="132"/>
        <v>3.5</v>
      </c>
      <c r="HP29" s="207">
        <v>1</v>
      </c>
      <c r="HQ29" s="207">
        <f t="shared" si="133"/>
        <v>1.125</v>
      </c>
      <c r="HR29" s="207">
        <v>2</v>
      </c>
      <c r="HS29" s="207">
        <f t="shared" si="134"/>
        <v>2</v>
      </c>
      <c r="HT29" s="207">
        <f t="shared" si="135"/>
        <v>6.625</v>
      </c>
      <c r="HU29" s="208">
        <f t="shared" si="136"/>
        <v>101.375</v>
      </c>
      <c r="HV29" s="205">
        <f t="shared" si="137"/>
        <v>20.78675607638889</v>
      </c>
      <c r="HW29" s="206" t="str">
        <f t="shared" si="138"/>
        <v>(1.93)</v>
      </c>
      <c r="HX29" s="207">
        <v>2</v>
      </c>
      <c r="HY29" s="207">
        <f t="shared" si="139"/>
        <v>3.5</v>
      </c>
      <c r="HZ29" s="207">
        <v>1</v>
      </c>
      <c r="IA29" s="207">
        <f t="shared" si="140"/>
        <v>1.125</v>
      </c>
      <c r="IB29" s="207">
        <v>2</v>
      </c>
      <c r="IC29" s="207">
        <f t="shared" si="141"/>
        <v>2</v>
      </c>
      <c r="ID29" s="207">
        <f t="shared" si="142"/>
        <v>6.625</v>
      </c>
      <c r="IE29" s="208">
        <f t="shared" si="143"/>
        <v>107.375</v>
      </c>
      <c r="IF29" s="205">
        <f t="shared" si="144"/>
        <v>21.948297743055559</v>
      </c>
      <c r="IG29" s="206" t="str">
        <f t="shared" si="145"/>
        <v>(2.04)</v>
      </c>
      <c r="IH29" s="21">
        <v>2</v>
      </c>
      <c r="II29" s="21">
        <f t="shared" si="146"/>
        <v>3.5</v>
      </c>
      <c r="IJ29" s="21">
        <v>1</v>
      </c>
      <c r="IK29" s="21">
        <f t="shared" si="147"/>
        <v>1.125</v>
      </c>
      <c r="IL29" s="21">
        <v>2</v>
      </c>
      <c r="IM29" s="21">
        <f t="shared" si="148"/>
        <v>2</v>
      </c>
      <c r="IN29" s="21">
        <f t="shared" si="149"/>
        <v>6.625</v>
      </c>
      <c r="IO29" s="22">
        <f t="shared" si="150"/>
        <v>113.375</v>
      </c>
      <c r="IP29" s="23"/>
      <c r="IQ29" s="24">
        <f t="shared" si="151"/>
        <v>9</v>
      </c>
      <c r="IR29" s="25">
        <v>2.5</v>
      </c>
      <c r="IS29" s="25">
        <v>2.8780000000000001</v>
      </c>
      <c r="IT29" s="25">
        <v>2.3530000000000002</v>
      </c>
      <c r="IU29" s="25">
        <v>1.75</v>
      </c>
      <c r="IV29" s="25">
        <v>1</v>
      </c>
      <c r="IW29" s="25">
        <v>1.125</v>
      </c>
      <c r="IX29" s="7"/>
    </row>
    <row r="30" spans="2:258" ht="15.75" thickBot="1" x14ac:dyDescent="0.3">
      <c r="B30" s="79">
        <f t="shared" si="9"/>
        <v>78</v>
      </c>
      <c r="C30" s="147">
        <v>14</v>
      </c>
      <c r="D30" s="487"/>
      <c r="E30" s="488"/>
      <c r="F30" s="488"/>
      <c r="G30" s="488"/>
      <c r="H30" s="488"/>
      <c r="I30" s="488"/>
      <c r="J30" s="488"/>
      <c r="K30" s="488"/>
      <c r="L30" s="488"/>
      <c r="M30" s="488"/>
      <c r="N30" s="488"/>
      <c r="O30" s="488"/>
      <c r="P30" s="488"/>
      <c r="Q30" s="488"/>
      <c r="R30" s="488"/>
      <c r="S30" s="488"/>
      <c r="T30" s="488"/>
      <c r="U30" s="488"/>
      <c r="V30" s="488"/>
      <c r="W30" s="488"/>
      <c r="X30" s="76"/>
      <c r="Y30" s="46"/>
      <c r="AT30" s="3"/>
      <c r="AU30" s="26">
        <f t="shared" si="152"/>
        <v>60</v>
      </c>
      <c r="AV30" s="27" t="str">
        <f t="shared" si="10"/>
        <v>(1500)</v>
      </c>
      <c r="AW30" s="18"/>
      <c r="AX30" s="19">
        <f t="shared" si="11"/>
        <v>1.3070520833333334</v>
      </c>
      <c r="AY30" s="28" t="str">
        <f t="shared" si="12"/>
        <v>(0.12)</v>
      </c>
      <c r="AZ30" s="21">
        <v>2</v>
      </c>
      <c r="BA30" s="21">
        <f t="shared" si="13"/>
        <v>3.5</v>
      </c>
      <c r="BB30" s="29">
        <v>0</v>
      </c>
      <c r="BC30" s="21">
        <f t="shared" si="14"/>
        <v>0</v>
      </c>
      <c r="BD30" s="29">
        <v>0</v>
      </c>
      <c r="BE30" s="21">
        <f t="shared" si="15"/>
        <v>0</v>
      </c>
      <c r="BF30" s="21">
        <f t="shared" si="16"/>
        <v>3.5</v>
      </c>
      <c r="BG30" s="22">
        <f t="shared" si="17"/>
        <v>5.5</v>
      </c>
      <c r="BH30" s="205">
        <f t="shared" si="18"/>
        <v>2.0199895833333334</v>
      </c>
      <c r="BI30" s="206" t="str">
        <f t="shared" si="19"/>
        <v>(0.19)</v>
      </c>
      <c r="BJ30" s="207">
        <v>2</v>
      </c>
      <c r="BK30" s="207">
        <f t="shared" si="20"/>
        <v>3.5</v>
      </c>
      <c r="BL30" s="207">
        <v>0</v>
      </c>
      <c r="BM30" s="207">
        <f t="shared" si="21"/>
        <v>0</v>
      </c>
      <c r="BN30" s="207">
        <v>0</v>
      </c>
      <c r="BO30" s="207">
        <f t="shared" si="22"/>
        <v>0</v>
      </c>
      <c r="BP30" s="207">
        <f t="shared" si="23"/>
        <v>3.5</v>
      </c>
      <c r="BQ30" s="208">
        <f t="shared" si="24"/>
        <v>8.5</v>
      </c>
      <c r="BR30" s="205">
        <f t="shared" si="25"/>
        <v>3.4458645833333339</v>
      </c>
      <c r="BS30" s="206" t="str">
        <f t="shared" si="26"/>
        <v>(0.32)</v>
      </c>
      <c r="BT30" s="207">
        <v>2</v>
      </c>
      <c r="BU30" s="207">
        <f t="shared" si="27"/>
        <v>3.5</v>
      </c>
      <c r="BV30" s="207">
        <v>0</v>
      </c>
      <c r="BW30" s="207">
        <f t="shared" si="28"/>
        <v>0</v>
      </c>
      <c r="BX30" s="207">
        <v>0</v>
      </c>
      <c r="BY30" s="207">
        <f t="shared" si="29"/>
        <v>0</v>
      </c>
      <c r="BZ30" s="207">
        <f t="shared" si="30"/>
        <v>3.5</v>
      </c>
      <c r="CA30" s="208">
        <f t="shared" si="31"/>
        <v>14.5</v>
      </c>
      <c r="CB30" s="205">
        <f t="shared" si="32"/>
        <v>4.8717395833333335</v>
      </c>
      <c r="CC30" s="206" t="str">
        <f t="shared" si="33"/>
        <v>(0.45)</v>
      </c>
      <c r="CD30" s="207">
        <v>2</v>
      </c>
      <c r="CE30" s="207">
        <f t="shared" si="34"/>
        <v>3.5</v>
      </c>
      <c r="CF30" s="207">
        <v>0</v>
      </c>
      <c r="CG30" s="207">
        <f t="shared" si="35"/>
        <v>0</v>
      </c>
      <c r="CH30" s="207">
        <v>0</v>
      </c>
      <c r="CI30" s="207">
        <f t="shared" si="36"/>
        <v>0</v>
      </c>
      <c r="CJ30" s="207">
        <f t="shared" si="37"/>
        <v>3.5</v>
      </c>
      <c r="CK30" s="208">
        <f t="shared" si="38"/>
        <v>20.5</v>
      </c>
      <c r="CL30" s="205">
        <f t="shared" si="39"/>
        <v>6.2976145833333339</v>
      </c>
      <c r="CM30" s="206" t="str">
        <f t="shared" si="40"/>
        <v>(0.59)</v>
      </c>
      <c r="CN30" s="207">
        <v>2</v>
      </c>
      <c r="CO30" s="207">
        <f t="shared" si="41"/>
        <v>3.5</v>
      </c>
      <c r="CP30" s="207">
        <v>0</v>
      </c>
      <c r="CQ30" s="207">
        <f t="shared" si="42"/>
        <v>0</v>
      </c>
      <c r="CR30" s="207">
        <v>0</v>
      </c>
      <c r="CS30" s="207">
        <f t="shared" si="43"/>
        <v>0</v>
      </c>
      <c r="CT30" s="207">
        <f t="shared" si="44"/>
        <v>3.5</v>
      </c>
      <c r="CU30" s="208">
        <f t="shared" si="45"/>
        <v>26.5</v>
      </c>
      <c r="CV30" s="205">
        <f t="shared" si="46"/>
        <v>7.7234895833333344</v>
      </c>
      <c r="CW30" s="206" t="str">
        <f t="shared" si="47"/>
        <v>(0.72)</v>
      </c>
      <c r="CX30" s="207">
        <v>2</v>
      </c>
      <c r="CY30" s="207">
        <f t="shared" si="48"/>
        <v>3.5</v>
      </c>
      <c r="CZ30" s="207">
        <v>0</v>
      </c>
      <c r="DA30" s="207">
        <f t="shared" si="49"/>
        <v>0</v>
      </c>
      <c r="DB30" s="207">
        <v>0</v>
      </c>
      <c r="DC30" s="207">
        <f t="shared" si="50"/>
        <v>0</v>
      </c>
      <c r="DD30" s="207">
        <f t="shared" si="51"/>
        <v>3.5</v>
      </c>
      <c r="DE30" s="208">
        <f t="shared" si="52"/>
        <v>32.5</v>
      </c>
      <c r="DF30" s="205">
        <f t="shared" si="53"/>
        <v>9.1493645833333339</v>
      </c>
      <c r="DG30" s="206" t="str">
        <f t="shared" si="54"/>
        <v>(0.85)</v>
      </c>
      <c r="DH30" s="207">
        <v>2</v>
      </c>
      <c r="DI30" s="207">
        <f t="shared" si="55"/>
        <v>3.5</v>
      </c>
      <c r="DJ30" s="207">
        <v>0</v>
      </c>
      <c r="DK30" s="207">
        <f t="shared" si="56"/>
        <v>0</v>
      </c>
      <c r="DL30" s="207">
        <v>0</v>
      </c>
      <c r="DM30" s="207">
        <f t="shared" si="57"/>
        <v>0</v>
      </c>
      <c r="DN30" s="207">
        <f t="shared" si="58"/>
        <v>3.5</v>
      </c>
      <c r="DO30" s="208">
        <f t="shared" si="59"/>
        <v>38.5</v>
      </c>
      <c r="DP30" s="205">
        <f t="shared" si="60"/>
        <v>10.575239583333335</v>
      </c>
      <c r="DQ30" s="206" t="str">
        <f t="shared" si="61"/>
        <v>(0.98)</v>
      </c>
      <c r="DR30" s="207">
        <v>2</v>
      </c>
      <c r="DS30" s="207">
        <f t="shared" si="62"/>
        <v>3.5</v>
      </c>
      <c r="DT30" s="207">
        <v>0</v>
      </c>
      <c r="DU30" s="207">
        <f t="shared" si="63"/>
        <v>0</v>
      </c>
      <c r="DV30" s="207">
        <v>0</v>
      </c>
      <c r="DW30" s="207">
        <f t="shared" si="64"/>
        <v>0</v>
      </c>
      <c r="DX30" s="207">
        <f t="shared" si="65"/>
        <v>3.5</v>
      </c>
      <c r="DY30" s="208">
        <f t="shared" si="66"/>
        <v>44.5</v>
      </c>
      <c r="DZ30" s="205">
        <f t="shared" si="67"/>
        <v>11.763468750000001</v>
      </c>
      <c r="EA30" s="206" t="str">
        <f t="shared" si="68"/>
        <v>(1.09)</v>
      </c>
      <c r="EB30" s="207">
        <v>2</v>
      </c>
      <c r="EC30" s="207">
        <f t="shared" si="69"/>
        <v>3.5</v>
      </c>
      <c r="ED30" s="207">
        <v>0</v>
      </c>
      <c r="EE30" s="207">
        <f t="shared" si="70"/>
        <v>0</v>
      </c>
      <c r="EF30" s="207">
        <v>1</v>
      </c>
      <c r="EG30" s="207">
        <f t="shared" si="71"/>
        <v>1</v>
      </c>
      <c r="EH30" s="207">
        <f t="shared" si="72"/>
        <v>4.5</v>
      </c>
      <c r="EI30" s="208">
        <f t="shared" si="73"/>
        <v>49.5</v>
      </c>
      <c r="EJ30" s="205">
        <f t="shared" si="74"/>
        <v>13.189343750000001</v>
      </c>
      <c r="EK30" s="206" t="str">
        <f t="shared" si="75"/>
        <v>(1.23)</v>
      </c>
      <c r="EL30" s="207">
        <v>2</v>
      </c>
      <c r="EM30" s="207">
        <f t="shared" si="76"/>
        <v>3.5</v>
      </c>
      <c r="EN30" s="207">
        <v>0</v>
      </c>
      <c r="EO30" s="207">
        <f t="shared" si="77"/>
        <v>0</v>
      </c>
      <c r="EP30" s="207">
        <v>1</v>
      </c>
      <c r="EQ30" s="207">
        <f t="shared" si="78"/>
        <v>1</v>
      </c>
      <c r="ER30" s="207">
        <f t="shared" si="79"/>
        <v>4.5</v>
      </c>
      <c r="ES30" s="208">
        <f t="shared" si="80"/>
        <v>55.5</v>
      </c>
      <c r="ET30" s="205">
        <f t="shared" si="81"/>
        <v>14.615218750000004</v>
      </c>
      <c r="EU30" s="206" t="str">
        <f t="shared" si="82"/>
        <v>(1.36)</v>
      </c>
      <c r="EV30" s="207">
        <v>2</v>
      </c>
      <c r="EW30" s="207">
        <f t="shared" si="83"/>
        <v>3.5</v>
      </c>
      <c r="EX30" s="207">
        <v>0</v>
      </c>
      <c r="EY30" s="207">
        <f t="shared" si="84"/>
        <v>0</v>
      </c>
      <c r="EZ30" s="207">
        <v>1</v>
      </c>
      <c r="FA30" s="207">
        <f t="shared" si="85"/>
        <v>1</v>
      </c>
      <c r="FB30" s="207">
        <f t="shared" si="86"/>
        <v>4.5</v>
      </c>
      <c r="FC30" s="208">
        <f t="shared" si="87"/>
        <v>61.5</v>
      </c>
      <c r="FD30" s="205">
        <f t="shared" si="88"/>
        <v>16.278739583333333</v>
      </c>
      <c r="FE30" s="206" t="str">
        <f t="shared" si="89"/>
        <v>(1.51)</v>
      </c>
      <c r="FF30" s="207">
        <v>2</v>
      </c>
      <c r="FG30" s="207">
        <f t="shared" si="90"/>
        <v>3.5</v>
      </c>
      <c r="FH30" s="469">
        <v>0</v>
      </c>
      <c r="FI30" s="207">
        <f t="shared" si="91"/>
        <v>0</v>
      </c>
      <c r="FJ30" s="207">
        <v>0</v>
      </c>
      <c r="FK30" s="207">
        <f t="shared" si="92"/>
        <v>0</v>
      </c>
      <c r="FL30" s="207">
        <f t="shared" si="93"/>
        <v>3.5</v>
      </c>
      <c r="FM30" s="208">
        <f t="shared" si="94"/>
        <v>68.5</v>
      </c>
      <c r="FN30" s="205">
        <f t="shared" si="95"/>
        <v>17.437263020833335</v>
      </c>
      <c r="FO30" s="206" t="str">
        <f t="shared" si="96"/>
        <v>(1.62)</v>
      </c>
      <c r="FP30" s="207">
        <v>2</v>
      </c>
      <c r="FQ30" s="207">
        <f t="shared" si="97"/>
        <v>3.5</v>
      </c>
      <c r="FR30" s="207">
        <v>1</v>
      </c>
      <c r="FS30" s="207">
        <f t="shared" si="98"/>
        <v>1.125</v>
      </c>
      <c r="FT30" s="207">
        <v>0</v>
      </c>
      <c r="FU30" s="207">
        <f t="shared" si="99"/>
        <v>0</v>
      </c>
      <c r="FV30" s="207">
        <f t="shared" si="100"/>
        <v>4.625</v>
      </c>
      <c r="FW30" s="208">
        <f t="shared" si="101"/>
        <v>73.375</v>
      </c>
      <c r="FX30" s="205">
        <f t="shared" si="102"/>
        <v>18.863138020833336</v>
      </c>
      <c r="FY30" s="206" t="str">
        <f t="shared" si="103"/>
        <v>(1.75)</v>
      </c>
      <c r="FZ30" s="207">
        <v>2</v>
      </c>
      <c r="GA30" s="207">
        <f t="shared" si="104"/>
        <v>3.5</v>
      </c>
      <c r="GB30" s="207">
        <v>1</v>
      </c>
      <c r="GC30" s="207">
        <f t="shared" si="105"/>
        <v>1.125</v>
      </c>
      <c r="GD30" s="207">
        <v>0</v>
      </c>
      <c r="GE30" s="207">
        <f t="shared" si="106"/>
        <v>0</v>
      </c>
      <c r="GF30" s="207">
        <f t="shared" si="107"/>
        <v>4.625</v>
      </c>
      <c r="GG30" s="208">
        <f t="shared" si="108"/>
        <v>79.375</v>
      </c>
      <c r="GH30" s="205">
        <f t="shared" si="109"/>
        <v>20.289013020833337</v>
      </c>
      <c r="GI30" s="206" t="str">
        <f t="shared" si="110"/>
        <v>(1.88)</v>
      </c>
      <c r="GJ30" s="207">
        <v>2</v>
      </c>
      <c r="GK30" s="207">
        <f t="shared" si="111"/>
        <v>3.5</v>
      </c>
      <c r="GL30" s="207">
        <v>1</v>
      </c>
      <c r="GM30" s="207">
        <f t="shared" si="112"/>
        <v>1.125</v>
      </c>
      <c r="GN30" s="207">
        <v>0</v>
      </c>
      <c r="GO30" s="207">
        <f t="shared" si="113"/>
        <v>0</v>
      </c>
      <c r="GP30" s="207">
        <f t="shared" si="114"/>
        <v>4.625</v>
      </c>
      <c r="GQ30" s="208">
        <f t="shared" si="115"/>
        <v>85.375</v>
      </c>
      <c r="GR30" s="205">
        <f t="shared" si="116"/>
        <v>21.714888020833335</v>
      </c>
      <c r="GS30" s="206" t="str">
        <f t="shared" si="117"/>
        <v>(2.02)</v>
      </c>
      <c r="GT30" s="207">
        <v>2</v>
      </c>
      <c r="GU30" s="207">
        <f t="shared" si="118"/>
        <v>3.5</v>
      </c>
      <c r="GV30" s="207">
        <v>1</v>
      </c>
      <c r="GW30" s="207">
        <f t="shared" si="119"/>
        <v>1.125</v>
      </c>
      <c r="GX30" s="207">
        <v>0</v>
      </c>
      <c r="GY30" s="207">
        <f t="shared" si="120"/>
        <v>0</v>
      </c>
      <c r="GZ30" s="207">
        <f t="shared" si="121"/>
        <v>4.625</v>
      </c>
      <c r="HA30" s="208">
        <f t="shared" si="122"/>
        <v>91.375</v>
      </c>
      <c r="HB30" s="205">
        <f t="shared" si="123"/>
        <v>23.140763020833337</v>
      </c>
      <c r="HC30" s="206" t="str">
        <f t="shared" si="124"/>
        <v>(2.15)</v>
      </c>
      <c r="HD30" s="207">
        <v>2</v>
      </c>
      <c r="HE30" s="207">
        <f t="shared" si="125"/>
        <v>3.5</v>
      </c>
      <c r="HF30" s="207">
        <v>1</v>
      </c>
      <c r="HG30" s="207">
        <f t="shared" si="126"/>
        <v>1.125</v>
      </c>
      <c r="HH30" s="207">
        <v>0</v>
      </c>
      <c r="HI30" s="207">
        <f t="shared" si="127"/>
        <v>0</v>
      </c>
      <c r="HJ30" s="207">
        <f t="shared" si="128"/>
        <v>4.625</v>
      </c>
      <c r="HK30" s="208">
        <f t="shared" si="129"/>
        <v>97.375</v>
      </c>
      <c r="HL30" s="205">
        <f t="shared" si="130"/>
        <v>24.091346354166671</v>
      </c>
      <c r="HM30" s="206" t="str">
        <f t="shared" si="131"/>
        <v>(2.24)</v>
      </c>
      <c r="HN30" s="207">
        <v>2</v>
      </c>
      <c r="HO30" s="207">
        <f t="shared" si="132"/>
        <v>3.5</v>
      </c>
      <c r="HP30" s="207">
        <v>1</v>
      </c>
      <c r="HQ30" s="207">
        <f t="shared" si="133"/>
        <v>1.125</v>
      </c>
      <c r="HR30" s="207">
        <v>2</v>
      </c>
      <c r="HS30" s="207">
        <f t="shared" si="134"/>
        <v>2</v>
      </c>
      <c r="HT30" s="207">
        <f t="shared" si="135"/>
        <v>6.625</v>
      </c>
      <c r="HU30" s="208">
        <f t="shared" si="136"/>
        <v>101.375</v>
      </c>
      <c r="HV30" s="205">
        <f t="shared" si="137"/>
        <v>25.517221354166669</v>
      </c>
      <c r="HW30" s="206" t="str">
        <f t="shared" si="138"/>
        <v>(2.37)</v>
      </c>
      <c r="HX30" s="207">
        <v>2</v>
      </c>
      <c r="HY30" s="207">
        <f t="shared" si="139"/>
        <v>3.5</v>
      </c>
      <c r="HZ30" s="207">
        <v>1</v>
      </c>
      <c r="IA30" s="207">
        <f t="shared" si="140"/>
        <v>1.125</v>
      </c>
      <c r="IB30" s="207">
        <v>2</v>
      </c>
      <c r="IC30" s="207">
        <f t="shared" si="141"/>
        <v>2</v>
      </c>
      <c r="ID30" s="207">
        <f t="shared" si="142"/>
        <v>6.625</v>
      </c>
      <c r="IE30" s="208">
        <f t="shared" si="143"/>
        <v>107.375</v>
      </c>
      <c r="IF30" s="205">
        <f t="shared" si="144"/>
        <v>26.94309635416667</v>
      </c>
      <c r="IG30" s="206" t="str">
        <f t="shared" si="145"/>
        <v>(2.50)</v>
      </c>
      <c r="IH30" s="21">
        <v>2</v>
      </c>
      <c r="II30" s="21">
        <f t="shared" si="146"/>
        <v>3.5</v>
      </c>
      <c r="IJ30" s="29">
        <v>1</v>
      </c>
      <c r="IK30" s="21">
        <f t="shared" si="147"/>
        <v>1.125</v>
      </c>
      <c r="IL30" s="21">
        <v>2</v>
      </c>
      <c r="IM30" s="21">
        <f t="shared" si="148"/>
        <v>2</v>
      </c>
      <c r="IN30" s="21">
        <f t="shared" si="149"/>
        <v>6.625</v>
      </c>
      <c r="IO30" s="22">
        <f t="shared" si="150"/>
        <v>113.375</v>
      </c>
      <c r="IP30" s="23"/>
      <c r="IQ30" s="24">
        <f t="shared" si="151"/>
        <v>11</v>
      </c>
      <c r="IR30" s="25">
        <v>2.5</v>
      </c>
      <c r="IS30" s="25">
        <v>2.8780000000000001</v>
      </c>
      <c r="IT30" s="25">
        <f>0.458+2.483</f>
        <v>2.9410000000000003</v>
      </c>
      <c r="IU30" s="25">
        <v>1.75</v>
      </c>
      <c r="IV30" s="25">
        <v>1</v>
      </c>
      <c r="IW30" s="25">
        <v>1.125</v>
      </c>
      <c r="IX30" s="7"/>
    </row>
    <row r="31" spans="2:258" ht="15.75" thickBot="1" x14ac:dyDescent="0.3">
      <c r="B31" s="79">
        <f t="shared" si="9"/>
        <v>84</v>
      </c>
      <c r="C31" s="148">
        <v>15</v>
      </c>
      <c r="D31" s="487"/>
      <c r="E31" s="488"/>
      <c r="F31" s="488"/>
      <c r="G31" s="488"/>
      <c r="H31" s="488"/>
      <c r="I31" s="488"/>
      <c r="J31" s="488"/>
      <c r="K31" s="488"/>
      <c r="L31" s="488"/>
      <c r="M31" s="488"/>
      <c r="N31" s="488"/>
      <c r="O31" s="488"/>
      <c r="P31" s="488"/>
      <c r="Q31" s="488"/>
      <c r="R31" s="488"/>
      <c r="S31" s="488"/>
      <c r="T31" s="488"/>
      <c r="U31" s="488"/>
      <c r="V31" s="488"/>
      <c r="W31" s="488"/>
      <c r="X31" s="76"/>
      <c r="Y31" s="46"/>
      <c r="AT31" s="3"/>
      <c r="AU31" s="13">
        <f t="shared" si="152"/>
        <v>66</v>
      </c>
      <c r="AV31" s="11" t="str">
        <f t="shared" si="10"/>
        <v>(1700)</v>
      </c>
      <c r="AW31" s="18"/>
      <c r="AX31" s="19">
        <f t="shared" si="11"/>
        <v>1.3384097222222222</v>
      </c>
      <c r="AY31" s="20" t="str">
        <f t="shared" si="12"/>
        <v>(0.12)</v>
      </c>
      <c r="AZ31" s="21">
        <v>2</v>
      </c>
      <c r="BA31" s="21">
        <f t="shared" si="13"/>
        <v>3.5</v>
      </c>
      <c r="BB31" s="21">
        <v>0</v>
      </c>
      <c r="BC31" s="21">
        <f t="shared" si="14"/>
        <v>0</v>
      </c>
      <c r="BD31" s="21">
        <v>0</v>
      </c>
      <c r="BE31" s="21">
        <f t="shared" si="15"/>
        <v>0</v>
      </c>
      <c r="BF31" s="21">
        <f t="shared" si="16"/>
        <v>3.5</v>
      </c>
      <c r="BG31" s="22">
        <f t="shared" si="17"/>
        <v>5.5</v>
      </c>
      <c r="BH31" s="205">
        <f t="shared" si="18"/>
        <v>2.0684513888888891</v>
      </c>
      <c r="BI31" s="206" t="str">
        <f t="shared" si="19"/>
        <v>(0.19)</v>
      </c>
      <c r="BJ31" s="207">
        <v>2</v>
      </c>
      <c r="BK31" s="207">
        <f t="shared" si="20"/>
        <v>3.5</v>
      </c>
      <c r="BL31" s="207">
        <v>0</v>
      </c>
      <c r="BM31" s="207">
        <f t="shared" si="21"/>
        <v>0</v>
      </c>
      <c r="BN31" s="207">
        <v>0</v>
      </c>
      <c r="BO31" s="207">
        <f t="shared" si="22"/>
        <v>0</v>
      </c>
      <c r="BP31" s="207">
        <f t="shared" si="23"/>
        <v>3.5</v>
      </c>
      <c r="BQ31" s="208">
        <f t="shared" si="24"/>
        <v>8.5</v>
      </c>
      <c r="BR31" s="205">
        <f t="shared" si="25"/>
        <v>3.5285347222222225</v>
      </c>
      <c r="BS31" s="206" t="str">
        <f t="shared" si="26"/>
        <v>(0.33)</v>
      </c>
      <c r="BT31" s="207">
        <v>2</v>
      </c>
      <c r="BU31" s="207">
        <f t="shared" si="27"/>
        <v>3.5</v>
      </c>
      <c r="BV31" s="207">
        <v>0</v>
      </c>
      <c r="BW31" s="207">
        <f t="shared" si="28"/>
        <v>0</v>
      </c>
      <c r="BX31" s="207">
        <v>0</v>
      </c>
      <c r="BY31" s="207">
        <f t="shared" si="29"/>
        <v>0</v>
      </c>
      <c r="BZ31" s="207">
        <f t="shared" si="30"/>
        <v>3.5</v>
      </c>
      <c r="CA31" s="208">
        <f t="shared" si="31"/>
        <v>14.5</v>
      </c>
      <c r="CB31" s="205">
        <f t="shared" si="32"/>
        <v>4.9886180555555555</v>
      </c>
      <c r="CC31" s="206" t="str">
        <f t="shared" si="33"/>
        <v>(0.46)</v>
      </c>
      <c r="CD31" s="207">
        <v>2</v>
      </c>
      <c r="CE31" s="207">
        <f t="shared" si="34"/>
        <v>3.5</v>
      </c>
      <c r="CF31" s="207">
        <v>0</v>
      </c>
      <c r="CG31" s="207">
        <f t="shared" si="35"/>
        <v>0</v>
      </c>
      <c r="CH31" s="207">
        <v>0</v>
      </c>
      <c r="CI31" s="207">
        <f t="shared" si="36"/>
        <v>0</v>
      </c>
      <c r="CJ31" s="207">
        <f t="shared" si="37"/>
        <v>3.5</v>
      </c>
      <c r="CK31" s="208">
        <f t="shared" si="38"/>
        <v>20.5</v>
      </c>
      <c r="CL31" s="205">
        <f t="shared" si="39"/>
        <v>6.4487013888888889</v>
      </c>
      <c r="CM31" s="206" t="str">
        <f t="shared" si="40"/>
        <v>(0.6)</v>
      </c>
      <c r="CN31" s="207">
        <v>2</v>
      </c>
      <c r="CO31" s="207">
        <f t="shared" si="41"/>
        <v>3.5</v>
      </c>
      <c r="CP31" s="207">
        <v>0</v>
      </c>
      <c r="CQ31" s="207">
        <f t="shared" si="42"/>
        <v>0</v>
      </c>
      <c r="CR31" s="207">
        <v>0</v>
      </c>
      <c r="CS31" s="207">
        <f t="shared" si="43"/>
        <v>0</v>
      </c>
      <c r="CT31" s="207">
        <f t="shared" si="44"/>
        <v>3.5</v>
      </c>
      <c r="CU31" s="208">
        <f t="shared" si="45"/>
        <v>26.5</v>
      </c>
      <c r="CV31" s="205">
        <f t="shared" si="46"/>
        <v>7.9087847222222223</v>
      </c>
      <c r="CW31" s="206" t="str">
        <f t="shared" si="47"/>
        <v>(0.73)</v>
      </c>
      <c r="CX31" s="207">
        <v>2</v>
      </c>
      <c r="CY31" s="207">
        <f t="shared" si="48"/>
        <v>3.5</v>
      </c>
      <c r="CZ31" s="207">
        <v>0</v>
      </c>
      <c r="DA31" s="207">
        <f t="shared" si="49"/>
        <v>0</v>
      </c>
      <c r="DB31" s="207">
        <v>0</v>
      </c>
      <c r="DC31" s="207">
        <f t="shared" si="50"/>
        <v>0</v>
      </c>
      <c r="DD31" s="207">
        <f t="shared" si="51"/>
        <v>3.5</v>
      </c>
      <c r="DE31" s="208">
        <f t="shared" si="52"/>
        <v>32.5</v>
      </c>
      <c r="DF31" s="205">
        <f t="shared" si="53"/>
        <v>9.3688680555555557</v>
      </c>
      <c r="DG31" s="206" t="str">
        <f t="shared" si="54"/>
        <v>(0.87)</v>
      </c>
      <c r="DH31" s="207">
        <v>2</v>
      </c>
      <c r="DI31" s="207">
        <f t="shared" si="55"/>
        <v>3.5</v>
      </c>
      <c r="DJ31" s="207">
        <v>0</v>
      </c>
      <c r="DK31" s="207">
        <f t="shared" si="56"/>
        <v>0</v>
      </c>
      <c r="DL31" s="207">
        <v>0</v>
      </c>
      <c r="DM31" s="207">
        <f t="shared" si="57"/>
        <v>0</v>
      </c>
      <c r="DN31" s="207">
        <f t="shared" si="58"/>
        <v>3.5</v>
      </c>
      <c r="DO31" s="208">
        <f t="shared" si="59"/>
        <v>38.5</v>
      </c>
      <c r="DP31" s="205">
        <f t="shared" si="60"/>
        <v>10.828951388888889</v>
      </c>
      <c r="DQ31" s="206" t="str">
        <f t="shared" si="61"/>
        <v>(1.01)</v>
      </c>
      <c r="DR31" s="207">
        <v>2</v>
      </c>
      <c r="DS31" s="207">
        <f t="shared" si="62"/>
        <v>3.5</v>
      </c>
      <c r="DT31" s="207">
        <v>0</v>
      </c>
      <c r="DU31" s="207">
        <f t="shared" si="63"/>
        <v>0</v>
      </c>
      <c r="DV31" s="207">
        <v>0</v>
      </c>
      <c r="DW31" s="207">
        <f t="shared" si="64"/>
        <v>0</v>
      </c>
      <c r="DX31" s="207">
        <f t="shared" si="65"/>
        <v>3.5</v>
      </c>
      <c r="DY31" s="208">
        <f t="shared" si="66"/>
        <v>44.5</v>
      </c>
      <c r="DZ31" s="205">
        <f t="shared" si="67"/>
        <v>12.045687500000001</v>
      </c>
      <c r="EA31" s="206" t="str">
        <f t="shared" si="68"/>
        <v>(1.12)</v>
      </c>
      <c r="EB31" s="207">
        <v>2</v>
      </c>
      <c r="EC31" s="207">
        <f t="shared" si="69"/>
        <v>3.5</v>
      </c>
      <c r="ED31" s="207">
        <v>0</v>
      </c>
      <c r="EE31" s="207">
        <f t="shared" si="70"/>
        <v>0</v>
      </c>
      <c r="EF31" s="207">
        <v>1</v>
      </c>
      <c r="EG31" s="207">
        <f t="shared" si="71"/>
        <v>1</v>
      </c>
      <c r="EH31" s="207">
        <f t="shared" si="72"/>
        <v>4.5</v>
      </c>
      <c r="EI31" s="208">
        <f t="shared" si="73"/>
        <v>49.5</v>
      </c>
      <c r="EJ31" s="205">
        <f t="shared" si="74"/>
        <v>13.505770833333335</v>
      </c>
      <c r="EK31" s="206" t="str">
        <f t="shared" si="75"/>
        <v>(1.25)</v>
      </c>
      <c r="EL31" s="207">
        <v>2</v>
      </c>
      <c r="EM31" s="207">
        <f t="shared" si="76"/>
        <v>3.5</v>
      </c>
      <c r="EN31" s="207">
        <v>0</v>
      </c>
      <c r="EO31" s="207">
        <f t="shared" si="77"/>
        <v>0</v>
      </c>
      <c r="EP31" s="207">
        <v>1</v>
      </c>
      <c r="EQ31" s="207">
        <f t="shared" si="78"/>
        <v>1</v>
      </c>
      <c r="ER31" s="207">
        <f t="shared" si="79"/>
        <v>4.5</v>
      </c>
      <c r="ES31" s="208">
        <f t="shared" si="80"/>
        <v>55.5</v>
      </c>
      <c r="ET31" s="205">
        <f t="shared" si="81"/>
        <v>14.965854166666666</v>
      </c>
      <c r="EU31" s="206" t="str">
        <f t="shared" si="82"/>
        <v>(1.39)</v>
      </c>
      <c r="EV31" s="207">
        <v>2</v>
      </c>
      <c r="EW31" s="207">
        <f t="shared" si="83"/>
        <v>3.5</v>
      </c>
      <c r="EX31" s="207">
        <v>0</v>
      </c>
      <c r="EY31" s="207">
        <f t="shared" si="84"/>
        <v>0</v>
      </c>
      <c r="EZ31" s="207">
        <v>1</v>
      </c>
      <c r="FA31" s="207">
        <f t="shared" si="85"/>
        <v>1</v>
      </c>
      <c r="FB31" s="207">
        <f t="shared" si="86"/>
        <v>4.5</v>
      </c>
      <c r="FC31" s="208">
        <f t="shared" si="87"/>
        <v>61.5</v>
      </c>
      <c r="FD31" s="205">
        <f t="shared" si="88"/>
        <v>16.669284722222223</v>
      </c>
      <c r="FE31" s="206" t="str">
        <f t="shared" si="89"/>
        <v>(1.55)</v>
      </c>
      <c r="FF31" s="207">
        <v>2</v>
      </c>
      <c r="FG31" s="207">
        <f t="shared" si="90"/>
        <v>3.5</v>
      </c>
      <c r="FH31" s="469">
        <v>0</v>
      </c>
      <c r="FI31" s="207">
        <f t="shared" si="91"/>
        <v>0</v>
      </c>
      <c r="FJ31" s="207">
        <v>0</v>
      </c>
      <c r="FK31" s="207">
        <f t="shared" si="92"/>
        <v>0</v>
      </c>
      <c r="FL31" s="207">
        <f t="shared" si="93"/>
        <v>3.5</v>
      </c>
      <c r="FM31" s="208">
        <f t="shared" si="94"/>
        <v>68.5</v>
      </c>
      <c r="FN31" s="205">
        <f t="shared" si="95"/>
        <v>17.855602430555557</v>
      </c>
      <c r="FO31" s="206" t="str">
        <f t="shared" si="96"/>
        <v>(1.66)</v>
      </c>
      <c r="FP31" s="207">
        <v>2</v>
      </c>
      <c r="FQ31" s="207">
        <f t="shared" si="97"/>
        <v>3.5</v>
      </c>
      <c r="FR31" s="207">
        <v>1</v>
      </c>
      <c r="FS31" s="207">
        <f t="shared" si="98"/>
        <v>1.125</v>
      </c>
      <c r="FT31" s="207">
        <v>0</v>
      </c>
      <c r="FU31" s="207">
        <f t="shared" si="99"/>
        <v>0</v>
      </c>
      <c r="FV31" s="207">
        <f t="shared" si="100"/>
        <v>4.625</v>
      </c>
      <c r="FW31" s="208">
        <f t="shared" si="101"/>
        <v>73.375</v>
      </c>
      <c r="FX31" s="205">
        <f t="shared" si="102"/>
        <v>19.31568576388889</v>
      </c>
      <c r="FY31" s="206" t="str">
        <f t="shared" si="103"/>
        <v>(1.79)</v>
      </c>
      <c r="FZ31" s="207">
        <v>2</v>
      </c>
      <c r="GA31" s="207">
        <f t="shared" si="104"/>
        <v>3.5</v>
      </c>
      <c r="GB31" s="207">
        <v>1</v>
      </c>
      <c r="GC31" s="207">
        <f t="shared" si="105"/>
        <v>1.125</v>
      </c>
      <c r="GD31" s="207">
        <v>0</v>
      </c>
      <c r="GE31" s="207">
        <f t="shared" si="106"/>
        <v>0</v>
      </c>
      <c r="GF31" s="207">
        <f t="shared" si="107"/>
        <v>4.625</v>
      </c>
      <c r="GG31" s="208">
        <f t="shared" si="108"/>
        <v>79.375</v>
      </c>
      <c r="GH31" s="205">
        <f t="shared" si="109"/>
        <v>20.775769097222224</v>
      </c>
      <c r="GI31" s="206" t="str">
        <f t="shared" si="110"/>
        <v>(1.93)</v>
      </c>
      <c r="GJ31" s="207">
        <v>2</v>
      </c>
      <c r="GK31" s="207">
        <f t="shared" si="111"/>
        <v>3.5</v>
      </c>
      <c r="GL31" s="207">
        <v>1</v>
      </c>
      <c r="GM31" s="207">
        <f t="shared" si="112"/>
        <v>1.125</v>
      </c>
      <c r="GN31" s="207">
        <v>0</v>
      </c>
      <c r="GO31" s="207">
        <f t="shared" si="113"/>
        <v>0</v>
      </c>
      <c r="GP31" s="207">
        <f t="shared" si="114"/>
        <v>4.625</v>
      </c>
      <c r="GQ31" s="208">
        <f t="shared" si="115"/>
        <v>85.375</v>
      </c>
      <c r="GR31" s="205">
        <f t="shared" si="116"/>
        <v>22.235852430555557</v>
      </c>
      <c r="GS31" s="206" t="str">
        <f t="shared" si="117"/>
        <v>(2.07)</v>
      </c>
      <c r="GT31" s="207">
        <v>2</v>
      </c>
      <c r="GU31" s="207">
        <f t="shared" si="118"/>
        <v>3.5</v>
      </c>
      <c r="GV31" s="207">
        <v>1</v>
      </c>
      <c r="GW31" s="207">
        <f t="shared" si="119"/>
        <v>1.125</v>
      </c>
      <c r="GX31" s="207">
        <v>0</v>
      </c>
      <c r="GY31" s="207">
        <f t="shared" si="120"/>
        <v>0</v>
      </c>
      <c r="GZ31" s="207">
        <f t="shared" si="121"/>
        <v>4.625</v>
      </c>
      <c r="HA31" s="208">
        <f t="shared" si="122"/>
        <v>91.375</v>
      </c>
      <c r="HB31" s="205">
        <f t="shared" si="123"/>
        <v>23.69593576388889</v>
      </c>
      <c r="HC31" s="206" t="str">
        <f t="shared" si="124"/>
        <v>(2.20)</v>
      </c>
      <c r="HD31" s="207">
        <v>2</v>
      </c>
      <c r="HE31" s="207">
        <f t="shared" si="125"/>
        <v>3.5</v>
      </c>
      <c r="HF31" s="207">
        <v>1</v>
      </c>
      <c r="HG31" s="207">
        <f t="shared" si="126"/>
        <v>1.125</v>
      </c>
      <c r="HH31" s="207">
        <v>0</v>
      </c>
      <c r="HI31" s="207">
        <f t="shared" si="127"/>
        <v>0</v>
      </c>
      <c r="HJ31" s="207">
        <f t="shared" si="128"/>
        <v>4.625</v>
      </c>
      <c r="HK31" s="208">
        <f t="shared" si="129"/>
        <v>97.375</v>
      </c>
      <c r="HL31" s="205">
        <f t="shared" si="130"/>
        <v>24.669324652777778</v>
      </c>
      <c r="HM31" s="206" t="str">
        <f t="shared" si="131"/>
        <v>(2.29)</v>
      </c>
      <c r="HN31" s="207">
        <v>2</v>
      </c>
      <c r="HO31" s="207">
        <f t="shared" si="132"/>
        <v>3.5</v>
      </c>
      <c r="HP31" s="207">
        <v>1</v>
      </c>
      <c r="HQ31" s="207">
        <f t="shared" si="133"/>
        <v>1.125</v>
      </c>
      <c r="HR31" s="207">
        <v>2</v>
      </c>
      <c r="HS31" s="207">
        <f t="shared" si="134"/>
        <v>2</v>
      </c>
      <c r="HT31" s="207">
        <f t="shared" si="135"/>
        <v>6.625</v>
      </c>
      <c r="HU31" s="208">
        <f t="shared" si="136"/>
        <v>101.375</v>
      </c>
      <c r="HV31" s="205">
        <f t="shared" si="137"/>
        <v>26.129407986111111</v>
      </c>
      <c r="HW31" s="206" t="str">
        <f t="shared" si="138"/>
        <v>(2.43)</v>
      </c>
      <c r="HX31" s="207">
        <v>2</v>
      </c>
      <c r="HY31" s="207">
        <f t="shared" si="139"/>
        <v>3.5</v>
      </c>
      <c r="HZ31" s="207">
        <v>1</v>
      </c>
      <c r="IA31" s="207">
        <f t="shared" si="140"/>
        <v>1.125</v>
      </c>
      <c r="IB31" s="207">
        <v>2</v>
      </c>
      <c r="IC31" s="207">
        <f t="shared" si="141"/>
        <v>2</v>
      </c>
      <c r="ID31" s="207">
        <f t="shared" si="142"/>
        <v>6.625</v>
      </c>
      <c r="IE31" s="208">
        <f t="shared" si="143"/>
        <v>107.375</v>
      </c>
      <c r="IF31" s="205">
        <f t="shared" si="144"/>
        <v>27.589491319444445</v>
      </c>
      <c r="IG31" s="206" t="str">
        <f t="shared" si="145"/>
        <v>(2.56)</v>
      </c>
      <c r="IH31" s="21">
        <v>2</v>
      </c>
      <c r="II31" s="21">
        <f t="shared" si="146"/>
        <v>3.5</v>
      </c>
      <c r="IJ31" s="21">
        <v>1</v>
      </c>
      <c r="IK31" s="21">
        <f t="shared" si="147"/>
        <v>1.125</v>
      </c>
      <c r="IL31" s="21">
        <v>2</v>
      </c>
      <c r="IM31" s="21">
        <f t="shared" si="148"/>
        <v>2</v>
      </c>
      <c r="IN31" s="21">
        <f t="shared" si="149"/>
        <v>6.625</v>
      </c>
      <c r="IO31" s="22">
        <f t="shared" si="150"/>
        <v>113.375</v>
      </c>
      <c r="IP31" s="23"/>
      <c r="IQ31" s="24">
        <f t="shared" si="151"/>
        <v>12</v>
      </c>
      <c r="IR31" s="25">
        <v>2.5</v>
      </c>
      <c r="IS31" s="25">
        <v>2.8780000000000001</v>
      </c>
      <c r="IT31" s="25">
        <v>0.88400000000000001</v>
      </c>
      <c r="IU31" s="25">
        <v>1.75</v>
      </c>
      <c r="IV31" s="25">
        <v>1</v>
      </c>
      <c r="IW31" s="25">
        <v>1.125</v>
      </c>
      <c r="IX31" s="7"/>
    </row>
    <row r="32" spans="2:258" ht="15.75" thickBot="1" x14ac:dyDescent="0.3">
      <c r="B32" s="79">
        <f t="shared" si="9"/>
        <v>90</v>
      </c>
      <c r="C32" s="147">
        <v>16</v>
      </c>
      <c r="D32" s="487"/>
      <c r="E32" s="488"/>
      <c r="F32" s="488"/>
      <c r="G32" s="488"/>
      <c r="H32" s="488"/>
      <c r="I32" s="488"/>
      <c r="J32" s="488"/>
      <c r="K32" s="488"/>
      <c r="L32" s="488"/>
      <c r="M32" s="488"/>
      <c r="N32" s="488"/>
      <c r="O32" s="488"/>
      <c r="P32" s="488"/>
      <c r="Q32" s="488"/>
      <c r="R32" s="488"/>
      <c r="S32" s="488"/>
      <c r="T32" s="488"/>
      <c r="U32" s="488"/>
      <c r="V32" s="488"/>
      <c r="W32" s="488"/>
      <c r="X32" s="76"/>
      <c r="Y32" s="46"/>
      <c r="AT32" s="3"/>
      <c r="AU32" s="13">
        <f t="shared" si="152"/>
        <v>72</v>
      </c>
      <c r="AV32" s="11" t="str">
        <f t="shared" si="10"/>
        <v>(1850)</v>
      </c>
      <c r="AW32" s="18"/>
      <c r="AX32" s="19">
        <f t="shared" si="11"/>
        <v>1.483625</v>
      </c>
      <c r="AY32" s="20" t="str">
        <f t="shared" si="12"/>
        <v>(0.14)</v>
      </c>
      <c r="AZ32" s="21">
        <v>2</v>
      </c>
      <c r="BA32" s="21">
        <f t="shared" si="13"/>
        <v>3.5</v>
      </c>
      <c r="BB32" s="21">
        <v>0</v>
      </c>
      <c r="BC32" s="21">
        <f t="shared" si="14"/>
        <v>0</v>
      </c>
      <c r="BD32" s="21">
        <v>0</v>
      </c>
      <c r="BE32" s="21">
        <f t="shared" si="15"/>
        <v>0</v>
      </c>
      <c r="BF32" s="21">
        <f t="shared" si="16"/>
        <v>3.5</v>
      </c>
      <c r="BG32" s="22">
        <f t="shared" si="17"/>
        <v>5.5</v>
      </c>
      <c r="BH32" s="205">
        <f t="shared" si="18"/>
        <v>2.2928750000000004</v>
      </c>
      <c r="BI32" s="206" t="str">
        <f t="shared" si="19"/>
        <v>(0.21)</v>
      </c>
      <c r="BJ32" s="207">
        <v>2</v>
      </c>
      <c r="BK32" s="207">
        <f t="shared" si="20"/>
        <v>3.5</v>
      </c>
      <c r="BL32" s="207">
        <v>0</v>
      </c>
      <c r="BM32" s="207">
        <f t="shared" si="21"/>
        <v>0</v>
      </c>
      <c r="BN32" s="207">
        <v>0</v>
      </c>
      <c r="BO32" s="207">
        <f t="shared" si="22"/>
        <v>0</v>
      </c>
      <c r="BP32" s="207">
        <f t="shared" si="23"/>
        <v>3.5</v>
      </c>
      <c r="BQ32" s="208">
        <f t="shared" si="24"/>
        <v>8.5</v>
      </c>
      <c r="BR32" s="205">
        <f t="shared" si="25"/>
        <v>3.9113750000000005</v>
      </c>
      <c r="BS32" s="206" t="str">
        <f t="shared" si="26"/>
        <v>(0.36)</v>
      </c>
      <c r="BT32" s="207">
        <v>2</v>
      </c>
      <c r="BU32" s="207">
        <f t="shared" si="27"/>
        <v>3.5</v>
      </c>
      <c r="BV32" s="207">
        <v>0</v>
      </c>
      <c r="BW32" s="207">
        <f t="shared" si="28"/>
        <v>0</v>
      </c>
      <c r="BX32" s="207">
        <v>0</v>
      </c>
      <c r="BY32" s="207">
        <f t="shared" si="29"/>
        <v>0</v>
      </c>
      <c r="BZ32" s="207">
        <f t="shared" si="30"/>
        <v>3.5</v>
      </c>
      <c r="CA32" s="208">
        <f t="shared" si="31"/>
        <v>14.5</v>
      </c>
      <c r="CB32" s="205">
        <f t="shared" si="32"/>
        <v>5.5298750000000005</v>
      </c>
      <c r="CC32" s="206" t="str">
        <f t="shared" si="33"/>
        <v>(0.51)</v>
      </c>
      <c r="CD32" s="207">
        <v>2</v>
      </c>
      <c r="CE32" s="207">
        <f t="shared" si="34"/>
        <v>3.5</v>
      </c>
      <c r="CF32" s="207">
        <v>0</v>
      </c>
      <c r="CG32" s="207">
        <f t="shared" si="35"/>
        <v>0</v>
      </c>
      <c r="CH32" s="207">
        <v>0</v>
      </c>
      <c r="CI32" s="207">
        <f t="shared" si="36"/>
        <v>0</v>
      </c>
      <c r="CJ32" s="207">
        <f t="shared" si="37"/>
        <v>3.5</v>
      </c>
      <c r="CK32" s="208">
        <f t="shared" si="38"/>
        <v>20.5</v>
      </c>
      <c r="CL32" s="205">
        <f t="shared" si="39"/>
        <v>7.1483749999999997</v>
      </c>
      <c r="CM32" s="206" t="str">
        <f t="shared" si="40"/>
        <v>(0.66)</v>
      </c>
      <c r="CN32" s="207">
        <v>2</v>
      </c>
      <c r="CO32" s="207">
        <f t="shared" si="41"/>
        <v>3.5</v>
      </c>
      <c r="CP32" s="207">
        <v>0</v>
      </c>
      <c r="CQ32" s="207">
        <f t="shared" si="42"/>
        <v>0</v>
      </c>
      <c r="CR32" s="207">
        <v>0</v>
      </c>
      <c r="CS32" s="207">
        <f t="shared" si="43"/>
        <v>0</v>
      </c>
      <c r="CT32" s="207">
        <f t="shared" si="44"/>
        <v>3.5</v>
      </c>
      <c r="CU32" s="208">
        <f t="shared" si="45"/>
        <v>26.5</v>
      </c>
      <c r="CV32" s="205">
        <f t="shared" si="46"/>
        <v>8.7668750000000006</v>
      </c>
      <c r="CW32" s="206" t="str">
        <f t="shared" si="47"/>
        <v>(0.81)</v>
      </c>
      <c r="CX32" s="207">
        <v>2</v>
      </c>
      <c r="CY32" s="207">
        <f t="shared" si="48"/>
        <v>3.5</v>
      </c>
      <c r="CZ32" s="207">
        <v>0</v>
      </c>
      <c r="DA32" s="207">
        <f t="shared" si="49"/>
        <v>0</v>
      </c>
      <c r="DB32" s="207">
        <v>0</v>
      </c>
      <c r="DC32" s="207">
        <f t="shared" si="50"/>
        <v>0</v>
      </c>
      <c r="DD32" s="207">
        <f t="shared" si="51"/>
        <v>3.5</v>
      </c>
      <c r="DE32" s="208">
        <f t="shared" si="52"/>
        <v>32.5</v>
      </c>
      <c r="DF32" s="205">
        <f t="shared" si="53"/>
        <v>10.385375000000002</v>
      </c>
      <c r="DG32" s="206" t="str">
        <f t="shared" si="54"/>
        <v>(0.96)</v>
      </c>
      <c r="DH32" s="207">
        <v>2</v>
      </c>
      <c r="DI32" s="207">
        <f t="shared" si="55"/>
        <v>3.5</v>
      </c>
      <c r="DJ32" s="207">
        <v>0</v>
      </c>
      <c r="DK32" s="207">
        <f t="shared" si="56"/>
        <v>0</v>
      </c>
      <c r="DL32" s="207">
        <v>0</v>
      </c>
      <c r="DM32" s="207">
        <f t="shared" si="57"/>
        <v>0</v>
      </c>
      <c r="DN32" s="207">
        <f t="shared" si="58"/>
        <v>3.5</v>
      </c>
      <c r="DO32" s="208">
        <f t="shared" si="59"/>
        <v>38.5</v>
      </c>
      <c r="DP32" s="205">
        <f t="shared" si="60"/>
        <v>12.003875000000001</v>
      </c>
      <c r="DQ32" s="206" t="str">
        <f t="shared" si="61"/>
        <v>(1.12)</v>
      </c>
      <c r="DR32" s="207">
        <v>2</v>
      </c>
      <c r="DS32" s="207">
        <f t="shared" si="62"/>
        <v>3.5</v>
      </c>
      <c r="DT32" s="207">
        <v>0</v>
      </c>
      <c r="DU32" s="207">
        <f t="shared" si="63"/>
        <v>0</v>
      </c>
      <c r="DV32" s="207">
        <v>0</v>
      </c>
      <c r="DW32" s="207">
        <f t="shared" si="64"/>
        <v>0</v>
      </c>
      <c r="DX32" s="207">
        <f t="shared" si="65"/>
        <v>3.5</v>
      </c>
      <c r="DY32" s="208">
        <f t="shared" si="66"/>
        <v>44.5</v>
      </c>
      <c r="DZ32" s="205">
        <f t="shared" si="67"/>
        <v>13.352625</v>
      </c>
      <c r="EA32" s="206" t="str">
        <f t="shared" si="68"/>
        <v>(1.24)</v>
      </c>
      <c r="EB32" s="207">
        <v>2</v>
      </c>
      <c r="EC32" s="207">
        <f t="shared" si="69"/>
        <v>3.5</v>
      </c>
      <c r="ED32" s="207">
        <v>0</v>
      </c>
      <c r="EE32" s="207">
        <f t="shared" si="70"/>
        <v>0</v>
      </c>
      <c r="EF32" s="207">
        <v>1</v>
      </c>
      <c r="EG32" s="207">
        <f t="shared" si="71"/>
        <v>1</v>
      </c>
      <c r="EH32" s="207">
        <f t="shared" si="72"/>
        <v>4.5</v>
      </c>
      <c r="EI32" s="208">
        <f t="shared" si="73"/>
        <v>49.5</v>
      </c>
      <c r="EJ32" s="205">
        <f t="shared" si="74"/>
        <v>14.971125000000001</v>
      </c>
      <c r="EK32" s="206" t="str">
        <f t="shared" si="75"/>
        <v>(1.39)</v>
      </c>
      <c r="EL32" s="207">
        <v>2</v>
      </c>
      <c r="EM32" s="207">
        <f t="shared" si="76"/>
        <v>3.5</v>
      </c>
      <c r="EN32" s="207">
        <v>0</v>
      </c>
      <c r="EO32" s="207">
        <f t="shared" si="77"/>
        <v>0</v>
      </c>
      <c r="EP32" s="207">
        <v>1</v>
      </c>
      <c r="EQ32" s="207">
        <f t="shared" si="78"/>
        <v>1</v>
      </c>
      <c r="ER32" s="207">
        <f t="shared" si="79"/>
        <v>4.5</v>
      </c>
      <c r="ES32" s="208">
        <f t="shared" si="80"/>
        <v>55.5</v>
      </c>
      <c r="ET32" s="205">
        <f t="shared" si="81"/>
        <v>16.589624999999998</v>
      </c>
      <c r="EU32" s="206" t="str">
        <f t="shared" si="82"/>
        <v>(1.54)</v>
      </c>
      <c r="EV32" s="207">
        <v>2</v>
      </c>
      <c r="EW32" s="207">
        <f t="shared" si="83"/>
        <v>3.5</v>
      </c>
      <c r="EX32" s="207">
        <v>0</v>
      </c>
      <c r="EY32" s="207">
        <f t="shared" si="84"/>
        <v>0</v>
      </c>
      <c r="EZ32" s="207">
        <v>1</v>
      </c>
      <c r="FA32" s="207">
        <f t="shared" si="85"/>
        <v>1</v>
      </c>
      <c r="FB32" s="207">
        <f t="shared" si="86"/>
        <v>4.5</v>
      </c>
      <c r="FC32" s="208">
        <f t="shared" si="87"/>
        <v>61.5</v>
      </c>
      <c r="FD32" s="205">
        <f t="shared" si="88"/>
        <v>18.477875000000001</v>
      </c>
      <c r="FE32" s="206" t="str">
        <f t="shared" si="89"/>
        <v>(1.72)</v>
      </c>
      <c r="FF32" s="207">
        <v>2</v>
      </c>
      <c r="FG32" s="207">
        <f t="shared" si="90"/>
        <v>3.5</v>
      </c>
      <c r="FH32" s="469">
        <v>0</v>
      </c>
      <c r="FI32" s="207">
        <f t="shared" si="91"/>
        <v>0</v>
      </c>
      <c r="FJ32" s="207">
        <v>0</v>
      </c>
      <c r="FK32" s="207">
        <f t="shared" si="92"/>
        <v>0</v>
      </c>
      <c r="FL32" s="207">
        <f t="shared" si="93"/>
        <v>3.5</v>
      </c>
      <c r="FM32" s="208">
        <f t="shared" si="94"/>
        <v>68.5</v>
      </c>
      <c r="FN32" s="205">
        <f t="shared" si="95"/>
        <v>19.792906250000001</v>
      </c>
      <c r="FO32" s="206" t="str">
        <f t="shared" si="96"/>
        <v>(1.84)</v>
      </c>
      <c r="FP32" s="207">
        <v>2</v>
      </c>
      <c r="FQ32" s="207">
        <f t="shared" si="97"/>
        <v>3.5</v>
      </c>
      <c r="FR32" s="207">
        <v>1</v>
      </c>
      <c r="FS32" s="207">
        <f t="shared" si="98"/>
        <v>1.125</v>
      </c>
      <c r="FT32" s="207">
        <v>0</v>
      </c>
      <c r="FU32" s="207">
        <f t="shared" si="99"/>
        <v>0</v>
      </c>
      <c r="FV32" s="207">
        <f t="shared" si="100"/>
        <v>4.625</v>
      </c>
      <c r="FW32" s="208">
        <f t="shared" si="101"/>
        <v>73.375</v>
      </c>
      <c r="FX32" s="205">
        <f t="shared" si="102"/>
        <v>21.411406250000002</v>
      </c>
      <c r="FY32" s="206" t="str">
        <f t="shared" si="103"/>
        <v>(1.99)</v>
      </c>
      <c r="FZ32" s="207">
        <v>2</v>
      </c>
      <c r="GA32" s="207">
        <f t="shared" si="104"/>
        <v>3.5</v>
      </c>
      <c r="GB32" s="207">
        <v>1</v>
      </c>
      <c r="GC32" s="207">
        <f t="shared" si="105"/>
        <v>1.125</v>
      </c>
      <c r="GD32" s="207">
        <v>0</v>
      </c>
      <c r="GE32" s="207">
        <f t="shared" si="106"/>
        <v>0</v>
      </c>
      <c r="GF32" s="207">
        <f t="shared" si="107"/>
        <v>4.625</v>
      </c>
      <c r="GG32" s="208">
        <f t="shared" si="108"/>
        <v>79.375</v>
      </c>
      <c r="GH32" s="205">
        <f t="shared" si="109"/>
        <v>23.02990625</v>
      </c>
      <c r="GI32" s="206" t="str">
        <f t="shared" si="110"/>
        <v>(2.14)</v>
      </c>
      <c r="GJ32" s="207">
        <v>2</v>
      </c>
      <c r="GK32" s="207">
        <f t="shared" si="111"/>
        <v>3.5</v>
      </c>
      <c r="GL32" s="207">
        <v>1</v>
      </c>
      <c r="GM32" s="207">
        <f t="shared" si="112"/>
        <v>1.125</v>
      </c>
      <c r="GN32" s="207">
        <v>0</v>
      </c>
      <c r="GO32" s="207">
        <f t="shared" si="113"/>
        <v>0</v>
      </c>
      <c r="GP32" s="207">
        <f t="shared" si="114"/>
        <v>4.625</v>
      </c>
      <c r="GQ32" s="208">
        <f t="shared" si="115"/>
        <v>85.375</v>
      </c>
      <c r="GR32" s="205">
        <f t="shared" si="116"/>
        <v>24.648406250000001</v>
      </c>
      <c r="GS32" s="206" t="str">
        <f t="shared" si="117"/>
        <v>(2.29)</v>
      </c>
      <c r="GT32" s="207">
        <v>2</v>
      </c>
      <c r="GU32" s="207">
        <f t="shared" si="118"/>
        <v>3.5</v>
      </c>
      <c r="GV32" s="207">
        <v>1</v>
      </c>
      <c r="GW32" s="207">
        <f t="shared" si="119"/>
        <v>1.125</v>
      </c>
      <c r="GX32" s="207">
        <v>0</v>
      </c>
      <c r="GY32" s="207">
        <f t="shared" si="120"/>
        <v>0</v>
      </c>
      <c r="GZ32" s="207">
        <f t="shared" si="121"/>
        <v>4.625</v>
      </c>
      <c r="HA32" s="208">
        <f t="shared" si="122"/>
        <v>91.375</v>
      </c>
      <c r="HB32" s="205">
        <f t="shared" si="123"/>
        <v>26.266906250000002</v>
      </c>
      <c r="HC32" s="206" t="str">
        <f t="shared" si="124"/>
        <v>(2.44)</v>
      </c>
      <c r="HD32" s="207">
        <v>2</v>
      </c>
      <c r="HE32" s="207">
        <f t="shared" si="125"/>
        <v>3.5</v>
      </c>
      <c r="HF32" s="207">
        <v>1</v>
      </c>
      <c r="HG32" s="207">
        <f t="shared" si="126"/>
        <v>1.125</v>
      </c>
      <c r="HH32" s="207">
        <v>0</v>
      </c>
      <c r="HI32" s="207">
        <f t="shared" si="127"/>
        <v>0</v>
      </c>
      <c r="HJ32" s="207">
        <f t="shared" si="128"/>
        <v>4.625</v>
      </c>
      <c r="HK32" s="208">
        <f t="shared" si="129"/>
        <v>97.375</v>
      </c>
      <c r="HL32" s="205">
        <f t="shared" si="130"/>
        <v>27.345906249999999</v>
      </c>
      <c r="HM32" s="206" t="str">
        <f t="shared" si="131"/>
        <v>(2.54)</v>
      </c>
      <c r="HN32" s="207">
        <v>2</v>
      </c>
      <c r="HO32" s="207">
        <f t="shared" si="132"/>
        <v>3.5</v>
      </c>
      <c r="HP32" s="207">
        <v>1</v>
      </c>
      <c r="HQ32" s="207">
        <f t="shared" si="133"/>
        <v>1.125</v>
      </c>
      <c r="HR32" s="207">
        <v>2</v>
      </c>
      <c r="HS32" s="207">
        <f t="shared" si="134"/>
        <v>2</v>
      </c>
      <c r="HT32" s="207">
        <f t="shared" si="135"/>
        <v>6.625</v>
      </c>
      <c r="HU32" s="208">
        <f t="shared" si="136"/>
        <v>101.375</v>
      </c>
      <c r="HV32" s="205">
        <f t="shared" si="137"/>
        <v>28.96440625</v>
      </c>
      <c r="HW32" s="206" t="str">
        <f t="shared" si="138"/>
        <v>(2.69)</v>
      </c>
      <c r="HX32" s="207">
        <v>2</v>
      </c>
      <c r="HY32" s="207">
        <f t="shared" si="139"/>
        <v>3.5</v>
      </c>
      <c r="HZ32" s="207">
        <v>1</v>
      </c>
      <c r="IA32" s="207">
        <f t="shared" si="140"/>
        <v>1.125</v>
      </c>
      <c r="IB32" s="207">
        <v>2</v>
      </c>
      <c r="IC32" s="207">
        <f t="shared" si="141"/>
        <v>2</v>
      </c>
      <c r="ID32" s="207">
        <f t="shared" si="142"/>
        <v>6.625</v>
      </c>
      <c r="IE32" s="208">
        <f t="shared" si="143"/>
        <v>107.375</v>
      </c>
      <c r="IF32" s="205">
        <f t="shared" si="144"/>
        <v>30.582906250000001</v>
      </c>
      <c r="IG32" s="206" t="str">
        <f t="shared" si="145"/>
        <v>(2.84)</v>
      </c>
      <c r="IH32" s="21">
        <v>2</v>
      </c>
      <c r="II32" s="21">
        <f t="shared" si="146"/>
        <v>3.5</v>
      </c>
      <c r="IJ32" s="21">
        <v>1</v>
      </c>
      <c r="IK32" s="21">
        <f t="shared" si="147"/>
        <v>1.125</v>
      </c>
      <c r="IL32" s="21">
        <v>2</v>
      </c>
      <c r="IM32" s="21">
        <f t="shared" si="148"/>
        <v>2</v>
      </c>
      <c r="IN32" s="21">
        <f t="shared" si="149"/>
        <v>6.625</v>
      </c>
      <c r="IO32" s="22">
        <f t="shared" si="150"/>
        <v>113.375</v>
      </c>
      <c r="IP32" s="23"/>
      <c r="IQ32" s="24">
        <f t="shared" si="151"/>
        <v>13</v>
      </c>
      <c r="IR32" s="25">
        <v>2.5</v>
      </c>
      <c r="IS32" s="25">
        <v>2.8780000000000001</v>
      </c>
      <c r="IT32" s="25">
        <v>1.8080000000000001</v>
      </c>
      <c r="IU32" s="25">
        <v>1.75</v>
      </c>
      <c r="IV32" s="25">
        <v>1</v>
      </c>
      <c r="IW32" s="25">
        <v>1.125</v>
      </c>
      <c r="IX32" s="7"/>
    </row>
    <row r="33" spans="2:258" ht="15.75" thickBot="1" x14ac:dyDescent="0.3">
      <c r="B33" s="79">
        <f t="shared" si="9"/>
        <v>96</v>
      </c>
      <c r="C33" s="148">
        <v>17</v>
      </c>
      <c r="D33" s="487"/>
      <c r="E33" s="488"/>
      <c r="F33" s="488"/>
      <c r="G33" s="488"/>
      <c r="H33" s="488"/>
      <c r="I33" s="488"/>
      <c r="J33" s="488"/>
      <c r="K33" s="488"/>
      <c r="L33" s="488"/>
      <c r="M33" s="488"/>
      <c r="N33" s="488"/>
      <c r="O33" s="488"/>
      <c r="P33" s="488"/>
      <c r="Q33" s="488"/>
      <c r="R33" s="488"/>
      <c r="S33" s="488"/>
      <c r="T33" s="488"/>
      <c r="U33" s="488"/>
      <c r="V33" s="488"/>
      <c r="W33" s="488"/>
      <c r="X33" s="76"/>
      <c r="Y33" s="46"/>
      <c r="AT33" s="3"/>
      <c r="AU33" s="13">
        <f t="shared" si="152"/>
        <v>78</v>
      </c>
      <c r="AV33" s="11" t="str">
        <f t="shared" si="10"/>
        <v>(2000)</v>
      </c>
      <c r="AW33" s="18"/>
      <c r="AX33" s="19">
        <f t="shared" si="11"/>
        <v>1.6248298611111112</v>
      </c>
      <c r="AY33" s="20" t="str">
        <f t="shared" si="12"/>
        <v>(0.15)</v>
      </c>
      <c r="AZ33" s="21">
        <v>2</v>
      </c>
      <c r="BA33" s="21">
        <f t="shared" si="13"/>
        <v>3.5</v>
      </c>
      <c r="BB33" s="21">
        <v>0</v>
      </c>
      <c r="BC33" s="21">
        <f t="shared" si="14"/>
        <v>0</v>
      </c>
      <c r="BD33" s="21">
        <v>0</v>
      </c>
      <c r="BE33" s="21">
        <f t="shared" si="15"/>
        <v>0</v>
      </c>
      <c r="BF33" s="21">
        <f t="shared" si="16"/>
        <v>3.5</v>
      </c>
      <c r="BG33" s="22">
        <f t="shared" si="17"/>
        <v>5.5</v>
      </c>
      <c r="BH33" s="205">
        <f t="shared" si="18"/>
        <v>2.5111006944444449</v>
      </c>
      <c r="BI33" s="206" t="str">
        <f t="shared" si="19"/>
        <v>(0.23)</v>
      </c>
      <c r="BJ33" s="207">
        <v>2</v>
      </c>
      <c r="BK33" s="207">
        <f t="shared" si="20"/>
        <v>3.5</v>
      </c>
      <c r="BL33" s="207">
        <v>0</v>
      </c>
      <c r="BM33" s="207">
        <f t="shared" si="21"/>
        <v>0</v>
      </c>
      <c r="BN33" s="207">
        <v>0</v>
      </c>
      <c r="BO33" s="207">
        <f t="shared" si="22"/>
        <v>0</v>
      </c>
      <c r="BP33" s="207">
        <f t="shared" si="23"/>
        <v>3.5</v>
      </c>
      <c r="BQ33" s="208">
        <f t="shared" si="24"/>
        <v>8.5</v>
      </c>
      <c r="BR33" s="205">
        <f t="shared" si="25"/>
        <v>4.2836423611111112</v>
      </c>
      <c r="BS33" s="206" t="str">
        <f t="shared" si="26"/>
        <v>(0.4)</v>
      </c>
      <c r="BT33" s="207">
        <v>2</v>
      </c>
      <c r="BU33" s="207">
        <f t="shared" si="27"/>
        <v>3.5</v>
      </c>
      <c r="BV33" s="207">
        <v>0</v>
      </c>
      <c r="BW33" s="207">
        <f t="shared" si="28"/>
        <v>0</v>
      </c>
      <c r="BX33" s="207">
        <v>0</v>
      </c>
      <c r="BY33" s="207">
        <f t="shared" si="29"/>
        <v>0</v>
      </c>
      <c r="BZ33" s="207">
        <f t="shared" si="30"/>
        <v>3.5</v>
      </c>
      <c r="CA33" s="208">
        <f t="shared" si="31"/>
        <v>14.5</v>
      </c>
      <c r="CB33" s="205">
        <f t="shared" si="32"/>
        <v>6.0561840277777783</v>
      </c>
      <c r="CC33" s="206" t="str">
        <f t="shared" si="33"/>
        <v>(0.56)</v>
      </c>
      <c r="CD33" s="207">
        <v>2</v>
      </c>
      <c r="CE33" s="207">
        <f t="shared" si="34"/>
        <v>3.5</v>
      </c>
      <c r="CF33" s="207">
        <v>0</v>
      </c>
      <c r="CG33" s="207">
        <f t="shared" si="35"/>
        <v>0</v>
      </c>
      <c r="CH33" s="207">
        <v>0</v>
      </c>
      <c r="CI33" s="207">
        <f t="shared" si="36"/>
        <v>0</v>
      </c>
      <c r="CJ33" s="207">
        <f t="shared" si="37"/>
        <v>3.5</v>
      </c>
      <c r="CK33" s="208">
        <f t="shared" si="38"/>
        <v>20.5</v>
      </c>
      <c r="CL33" s="205">
        <f t="shared" si="39"/>
        <v>7.8287256944444454</v>
      </c>
      <c r="CM33" s="206" t="str">
        <f t="shared" si="40"/>
        <v>(0.73)</v>
      </c>
      <c r="CN33" s="207">
        <v>2</v>
      </c>
      <c r="CO33" s="207">
        <f t="shared" si="41"/>
        <v>3.5</v>
      </c>
      <c r="CP33" s="207">
        <v>0</v>
      </c>
      <c r="CQ33" s="207">
        <f t="shared" si="42"/>
        <v>0</v>
      </c>
      <c r="CR33" s="207">
        <v>0</v>
      </c>
      <c r="CS33" s="207">
        <f t="shared" si="43"/>
        <v>0</v>
      </c>
      <c r="CT33" s="207">
        <f t="shared" si="44"/>
        <v>3.5</v>
      </c>
      <c r="CU33" s="208">
        <f t="shared" si="45"/>
        <v>26.5</v>
      </c>
      <c r="CV33" s="205">
        <f t="shared" si="46"/>
        <v>9.6012673611111126</v>
      </c>
      <c r="CW33" s="206" t="str">
        <f t="shared" si="47"/>
        <v>(0.89)</v>
      </c>
      <c r="CX33" s="207">
        <v>2</v>
      </c>
      <c r="CY33" s="207">
        <f t="shared" si="48"/>
        <v>3.5</v>
      </c>
      <c r="CZ33" s="207">
        <v>0</v>
      </c>
      <c r="DA33" s="207">
        <f t="shared" si="49"/>
        <v>0</v>
      </c>
      <c r="DB33" s="207">
        <v>0</v>
      </c>
      <c r="DC33" s="207">
        <f t="shared" si="50"/>
        <v>0</v>
      </c>
      <c r="DD33" s="207">
        <f t="shared" si="51"/>
        <v>3.5</v>
      </c>
      <c r="DE33" s="208">
        <f t="shared" si="52"/>
        <v>32.5</v>
      </c>
      <c r="DF33" s="205">
        <f t="shared" si="53"/>
        <v>11.373809027777778</v>
      </c>
      <c r="DG33" s="206" t="str">
        <f t="shared" si="54"/>
        <v>(1.06)</v>
      </c>
      <c r="DH33" s="207">
        <v>2</v>
      </c>
      <c r="DI33" s="207">
        <f t="shared" si="55"/>
        <v>3.5</v>
      </c>
      <c r="DJ33" s="207">
        <v>0</v>
      </c>
      <c r="DK33" s="207">
        <f t="shared" si="56"/>
        <v>0</v>
      </c>
      <c r="DL33" s="207">
        <v>0</v>
      </c>
      <c r="DM33" s="207">
        <f t="shared" si="57"/>
        <v>0</v>
      </c>
      <c r="DN33" s="207">
        <f t="shared" si="58"/>
        <v>3.5</v>
      </c>
      <c r="DO33" s="208">
        <f t="shared" si="59"/>
        <v>38.5</v>
      </c>
      <c r="DP33" s="205">
        <f t="shared" si="60"/>
        <v>13.146350694444445</v>
      </c>
      <c r="DQ33" s="206" t="str">
        <f t="shared" si="61"/>
        <v>(1.22)</v>
      </c>
      <c r="DR33" s="207">
        <v>2</v>
      </c>
      <c r="DS33" s="207">
        <f t="shared" si="62"/>
        <v>3.5</v>
      </c>
      <c r="DT33" s="207">
        <v>0</v>
      </c>
      <c r="DU33" s="207">
        <f t="shared" si="63"/>
        <v>0</v>
      </c>
      <c r="DV33" s="207">
        <v>0</v>
      </c>
      <c r="DW33" s="207">
        <f t="shared" si="64"/>
        <v>0</v>
      </c>
      <c r="DX33" s="207">
        <f t="shared" si="65"/>
        <v>3.5</v>
      </c>
      <c r="DY33" s="208">
        <f t="shared" si="66"/>
        <v>44.5</v>
      </c>
      <c r="DZ33" s="205">
        <f t="shared" si="67"/>
        <v>14.623468750000001</v>
      </c>
      <c r="EA33" s="206" t="str">
        <f t="shared" si="68"/>
        <v>(1.36)</v>
      </c>
      <c r="EB33" s="207">
        <v>2</v>
      </c>
      <c r="EC33" s="207">
        <f t="shared" si="69"/>
        <v>3.5</v>
      </c>
      <c r="ED33" s="207">
        <v>0</v>
      </c>
      <c r="EE33" s="207">
        <f t="shared" si="70"/>
        <v>0</v>
      </c>
      <c r="EF33" s="207">
        <v>1</v>
      </c>
      <c r="EG33" s="207">
        <f t="shared" si="71"/>
        <v>1</v>
      </c>
      <c r="EH33" s="207">
        <f t="shared" si="72"/>
        <v>4.5</v>
      </c>
      <c r="EI33" s="208">
        <f t="shared" si="73"/>
        <v>49.5</v>
      </c>
      <c r="EJ33" s="205">
        <f t="shared" si="74"/>
        <v>16.39601041666667</v>
      </c>
      <c r="EK33" s="206" t="str">
        <f t="shared" si="75"/>
        <v>(1.52)</v>
      </c>
      <c r="EL33" s="207">
        <v>2</v>
      </c>
      <c r="EM33" s="207">
        <f t="shared" si="76"/>
        <v>3.5</v>
      </c>
      <c r="EN33" s="207">
        <v>0</v>
      </c>
      <c r="EO33" s="207">
        <f t="shared" si="77"/>
        <v>0</v>
      </c>
      <c r="EP33" s="207">
        <v>1</v>
      </c>
      <c r="EQ33" s="207">
        <f t="shared" si="78"/>
        <v>1</v>
      </c>
      <c r="ER33" s="207">
        <f t="shared" si="79"/>
        <v>4.5</v>
      </c>
      <c r="ES33" s="208">
        <f t="shared" si="80"/>
        <v>55.5</v>
      </c>
      <c r="ET33" s="205">
        <f t="shared" si="81"/>
        <v>18.168552083333335</v>
      </c>
      <c r="EU33" s="206" t="str">
        <f t="shared" si="82"/>
        <v>(1.69)</v>
      </c>
      <c r="EV33" s="207">
        <v>2</v>
      </c>
      <c r="EW33" s="207">
        <f t="shared" si="83"/>
        <v>3.5</v>
      </c>
      <c r="EX33" s="207">
        <v>0</v>
      </c>
      <c r="EY33" s="207">
        <f t="shared" si="84"/>
        <v>0</v>
      </c>
      <c r="EZ33" s="207">
        <v>1</v>
      </c>
      <c r="FA33" s="207">
        <f t="shared" si="85"/>
        <v>1</v>
      </c>
      <c r="FB33" s="207">
        <f t="shared" si="86"/>
        <v>4.5</v>
      </c>
      <c r="FC33" s="208">
        <f t="shared" si="87"/>
        <v>61.5</v>
      </c>
      <c r="FD33" s="205">
        <f t="shared" si="88"/>
        <v>20.236517361111112</v>
      </c>
      <c r="FE33" s="206" t="str">
        <f t="shared" si="89"/>
        <v>(1.88)</v>
      </c>
      <c r="FF33" s="207">
        <v>2</v>
      </c>
      <c r="FG33" s="207">
        <f t="shared" si="90"/>
        <v>3.5</v>
      </c>
      <c r="FH33" s="469">
        <v>0</v>
      </c>
      <c r="FI33" s="207">
        <f t="shared" si="91"/>
        <v>0</v>
      </c>
      <c r="FJ33" s="207">
        <v>0</v>
      </c>
      <c r="FK33" s="207">
        <f t="shared" si="92"/>
        <v>0</v>
      </c>
      <c r="FL33" s="207">
        <f t="shared" si="93"/>
        <v>3.5</v>
      </c>
      <c r="FM33" s="208">
        <f t="shared" si="94"/>
        <v>68.5</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1"/>
      <c r="GO33" s="31"/>
      <c r="GP33" s="31"/>
      <c r="GQ33" s="31"/>
      <c r="GR33" s="30"/>
      <c r="GS33" s="30"/>
      <c r="GT33" s="31"/>
      <c r="GU33" s="31"/>
      <c r="GV33" s="31"/>
      <c r="GW33" s="31"/>
      <c r="GX33" s="31"/>
      <c r="GY33" s="31"/>
      <c r="GZ33" s="31"/>
      <c r="HA33" s="31"/>
      <c r="HB33" s="30"/>
      <c r="HC33" s="30"/>
      <c r="HD33" s="31"/>
      <c r="HE33" s="31"/>
      <c r="HF33" s="31"/>
      <c r="HG33" s="31"/>
      <c r="HH33" s="31"/>
      <c r="HI33" s="31"/>
      <c r="HJ33" s="31"/>
      <c r="HK33" s="31"/>
      <c r="HL33" s="30"/>
      <c r="HM33" s="30"/>
      <c r="HN33" s="31"/>
      <c r="HO33" s="31"/>
      <c r="HP33" s="31"/>
      <c r="HQ33" s="31"/>
      <c r="HR33" s="31"/>
      <c r="HS33" s="31"/>
      <c r="HT33" s="31"/>
      <c r="HU33" s="31"/>
      <c r="HV33" s="30"/>
      <c r="HW33" s="30"/>
      <c r="HX33" s="31"/>
      <c r="HY33" s="31"/>
      <c r="HZ33" s="31"/>
      <c r="IA33" s="31"/>
      <c r="IB33" s="31"/>
      <c r="IC33" s="31"/>
      <c r="ID33" s="31"/>
      <c r="IE33" s="31"/>
      <c r="IF33" s="30"/>
      <c r="IG33" s="30"/>
      <c r="IH33" s="31"/>
      <c r="II33" s="31"/>
      <c r="IJ33" s="31"/>
      <c r="IK33" s="31"/>
      <c r="IL33" s="31"/>
      <c r="IM33" s="31"/>
      <c r="IN33" s="32"/>
      <c r="IO33" s="32"/>
      <c r="IP33" s="32"/>
      <c r="IQ33" s="24">
        <f t="shared" si="151"/>
        <v>14</v>
      </c>
      <c r="IR33" s="25">
        <v>2.5</v>
      </c>
      <c r="IS33" s="25">
        <v>2.8780000000000001</v>
      </c>
      <c r="IT33" s="25">
        <v>2.6269999999999998</v>
      </c>
      <c r="IU33" s="25">
        <v>1.75</v>
      </c>
      <c r="IV33" s="25">
        <v>1</v>
      </c>
      <c r="IW33" s="25">
        <v>1.125</v>
      </c>
      <c r="IX33" s="7"/>
    </row>
    <row r="34" spans="2:258" ht="15.75" thickBot="1" x14ac:dyDescent="0.3">
      <c r="B34" s="79">
        <f t="shared" si="9"/>
        <v>102</v>
      </c>
      <c r="C34" s="147">
        <v>18</v>
      </c>
      <c r="D34" s="487"/>
      <c r="E34" s="488"/>
      <c r="F34" s="488"/>
      <c r="G34" s="488"/>
      <c r="H34" s="488"/>
      <c r="I34" s="488"/>
      <c r="J34" s="488"/>
      <c r="K34" s="488"/>
      <c r="L34" s="488"/>
      <c r="M34" s="488"/>
      <c r="N34" s="488"/>
      <c r="O34" s="488"/>
      <c r="P34" s="488"/>
      <c r="Q34" s="488"/>
      <c r="R34" s="488"/>
      <c r="S34" s="488"/>
      <c r="T34" s="488"/>
      <c r="U34" s="488"/>
      <c r="V34" s="488"/>
      <c r="W34" s="488"/>
      <c r="X34" s="76"/>
      <c r="Y34" s="46"/>
      <c r="AT34" s="3"/>
      <c r="AU34" s="13">
        <f t="shared" si="152"/>
        <v>84</v>
      </c>
      <c r="AV34" s="11" t="str">
        <f t="shared" si="10"/>
        <v>(2150)</v>
      </c>
      <c r="AW34" s="18"/>
      <c r="AX34" s="19">
        <f t="shared" si="11"/>
        <v>1.7242881944444446</v>
      </c>
      <c r="AY34" s="20" t="str">
        <f t="shared" si="12"/>
        <v>(0.16)</v>
      </c>
      <c r="AZ34" s="21">
        <v>2</v>
      </c>
      <c r="BA34" s="21">
        <f t="shared" si="13"/>
        <v>3.5</v>
      </c>
      <c r="BB34" s="21">
        <v>0</v>
      </c>
      <c r="BC34" s="21">
        <f t="shared" si="14"/>
        <v>0</v>
      </c>
      <c r="BD34" s="21">
        <v>0</v>
      </c>
      <c r="BE34" s="21">
        <f t="shared" si="15"/>
        <v>0</v>
      </c>
      <c r="BF34" s="21">
        <f t="shared" si="16"/>
        <v>3.5</v>
      </c>
      <c r="BG34" s="22">
        <f t="shared" si="17"/>
        <v>5.5</v>
      </c>
      <c r="BH34" s="205">
        <f t="shared" si="18"/>
        <v>2.6648090277777778</v>
      </c>
      <c r="BI34" s="206" t="str">
        <f t="shared" si="19"/>
        <v>(0.25)</v>
      </c>
      <c r="BJ34" s="207">
        <v>2</v>
      </c>
      <c r="BK34" s="207">
        <f t="shared" si="20"/>
        <v>3.5</v>
      </c>
      <c r="BL34" s="207">
        <v>0</v>
      </c>
      <c r="BM34" s="207">
        <f t="shared" si="21"/>
        <v>0</v>
      </c>
      <c r="BN34" s="207">
        <v>0</v>
      </c>
      <c r="BO34" s="207">
        <f t="shared" si="22"/>
        <v>0</v>
      </c>
      <c r="BP34" s="207">
        <f t="shared" si="23"/>
        <v>3.5</v>
      </c>
      <c r="BQ34" s="208">
        <f t="shared" si="24"/>
        <v>8.5</v>
      </c>
      <c r="BR34" s="205">
        <f t="shared" si="25"/>
        <v>4.5458506944444448</v>
      </c>
      <c r="BS34" s="206" t="str">
        <f t="shared" si="26"/>
        <v>(0.42)</v>
      </c>
      <c r="BT34" s="207">
        <v>2</v>
      </c>
      <c r="BU34" s="207">
        <f t="shared" si="27"/>
        <v>3.5</v>
      </c>
      <c r="BV34" s="207">
        <v>0</v>
      </c>
      <c r="BW34" s="207">
        <f t="shared" si="28"/>
        <v>0</v>
      </c>
      <c r="BX34" s="207">
        <v>0</v>
      </c>
      <c r="BY34" s="207">
        <f t="shared" si="29"/>
        <v>0</v>
      </c>
      <c r="BZ34" s="207">
        <f t="shared" si="30"/>
        <v>3.5</v>
      </c>
      <c r="CA34" s="208">
        <f t="shared" si="31"/>
        <v>14.5</v>
      </c>
      <c r="CB34" s="205">
        <f t="shared" si="32"/>
        <v>6.4268923611111113</v>
      </c>
      <c r="CC34" s="206" t="str">
        <f t="shared" si="33"/>
        <v>(0.6)</v>
      </c>
      <c r="CD34" s="207">
        <v>2</v>
      </c>
      <c r="CE34" s="207">
        <f t="shared" si="34"/>
        <v>3.5</v>
      </c>
      <c r="CF34" s="207">
        <v>0</v>
      </c>
      <c r="CG34" s="207">
        <f t="shared" si="35"/>
        <v>0</v>
      </c>
      <c r="CH34" s="207">
        <v>0</v>
      </c>
      <c r="CI34" s="207">
        <f t="shared" si="36"/>
        <v>0</v>
      </c>
      <c r="CJ34" s="207">
        <f t="shared" si="37"/>
        <v>3.5</v>
      </c>
      <c r="CK34" s="208">
        <f t="shared" si="38"/>
        <v>20.5</v>
      </c>
      <c r="CL34" s="205">
        <f t="shared" si="39"/>
        <v>8.3079340277777778</v>
      </c>
      <c r="CM34" s="206" t="str">
        <f t="shared" si="40"/>
        <v>(0.77)</v>
      </c>
      <c r="CN34" s="207">
        <v>2</v>
      </c>
      <c r="CO34" s="207">
        <f t="shared" si="41"/>
        <v>3.5</v>
      </c>
      <c r="CP34" s="207">
        <v>0</v>
      </c>
      <c r="CQ34" s="207">
        <f t="shared" si="42"/>
        <v>0</v>
      </c>
      <c r="CR34" s="207">
        <v>0</v>
      </c>
      <c r="CS34" s="207">
        <f t="shared" si="43"/>
        <v>0</v>
      </c>
      <c r="CT34" s="207">
        <f t="shared" si="44"/>
        <v>3.5</v>
      </c>
      <c r="CU34" s="208">
        <f t="shared" si="45"/>
        <v>26.5</v>
      </c>
      <c r="CV34" s="205">
        <f t="shared" si="46"/>
        <v>10.188975694444444</v>
      </c>
      <c r="CW34" s="206" t="str">
        <f t="shared" si="47"/>
        <v>(0.95)</v>
      </c>
      <c r="CX34" s="207">
        <v>2</v>
      </c>
      <c r="CY34" s="207">
        <f t="shared" si="48"/>
        <v>3.5</v>
      </c>
      <c r="CZ34" s="207">
        <v>0</v>
      </c>
      <c r="DA34" s="207">
        <f t="shared" si="49"/>
        <v>0</v>
      </c>
      <c r="DB34" s="207">
        <v>0</v>
      </c>
      <c r="DC34" s="207">
        <f t="shared" si="50"/>
        <v>0</v>
      </c>
      <c r="DD34" s="207">
        <f t="shared" si="51"/>
        <v>3.5</v>
      </c>
      <c r="DE34" s="208">
        <f t="shared" si="52"/>
        <v>32.5</v>
      </c>
      <c r="DF34" s="205">
        <f t="shared" si="53"/>
        <v>12.070017361111113</v>
      </c>
      <c r="DG34" s="206" t="str">
        <f t="shared" si="54"/>
        <v>(1.12)</v>
      </c>
      <c r="DH34" s="207">
        <v>2</v>
      </c>
      <c r="DI34" s="207">
        <f t="shared" si="55"/>
        <v>3.5</v>
      </c>
      <c r="DJ34" s="207">
        <v>0</v>
      </c>
      <c r="DK34" s="207">
        <f t="shared" si="56"/>
        <v>0</v>
      </c>
      <c r="DL34" s="207">
        <v>0</v>
      </c>
      <c r="DM34" s="207">
        <f t="shared" si="57"/>
        <v>0</v>
      </c>
      <c r="DN34" s="207">
        <f t="shared" si="58"/>
        <v>3.5</v>
      </c>
      <c r="DO34" s="208">
        <f t="shared" si="59"/>
        <v>38.5</v>
      </c>
      <c r="DP34" s="205">
        <f t="shared" si="60"/>
        <v>13.951059027777779</v>
      </c>
      <c r="DQ34" s="206" t="str">
        <f t="shared" si="61"/>
        <v>(1.3)</v>
      </c>
      <c r="DR34" s="207">
        <v>2</v>
      </c>
      <c r="DS34" s="207">
        <f t="shared" si="62"/>
        <v>3.5</v>
      </c>
      <c r="DT34" s="207">
        <v>0</v>
      </c>
      <c r="DU34" s="207">
        <f t="shared" si="63"/>
        <v>0</v>
      </c>
      <c r="DV34" s="207">
        <v>0</v>
      </c>
      <c r="DW34" s="207">
        <f t="shared" si="64"/>
        <v>0</v>
      </c>
      <c r="DX34" s="207">
        <f t="shared" si="65"/>
        <v>3.5</v>
      </c>
      <c r="DY34" s="208">
        <f t="shared" si="66"/>
        <v>44.5</v>
      </c>
      <c r="DZ34" s="205">
        <f t="shared" si="67"/>
        <v>15.518593750000001</v>
      </c>
      <c r="EA34" s="206" t="str">
        <f t="shared" si="68"/>
        <v>(1.44)</v>
      </c>
      <c r="EB34" s="207">
        <v>2</v>
      </c>
      <c r="EC34" s="207">
        <f t="shared" si="69"/>
        <v>3.5</v>
      </c>
      <c r="ED34" s="207">
        <v>0</v>
      </c>
      <c r="EE34" s="207">
        <f t="shared" si="70"/>
        <v>0</v>
      </c>
      <c r="EF34" s="207">
        <v>1</v>
      </c>
      <c r="EG34" s="207">
        <f t="shared" si="71"/>
        <v>1</v>
      </c>
      <c r="EH34" s="207">
        <f t="shared" si="72"/>
        <v>4.5</v>
      </c>
      <c r="EI34" s="208">
        <f t="shared" si="73"/>
        <v>49.5</v>
      </c>
      <c r="EJ34" s="205">
        <f t="shared" si="74"/>
        <v>17.399635416666669</v>
      </c>
      <c r="EK34" s="206" t="str">
        <f t="shared" si="75"/>
        <v>(1.62)</v>
      </c>
      <c r="EL34" s="207">
        <v>2</v>
      </c>
      <c r="EM34" s="207">
        <f t="shared" si="76"/>
        <v>3.5</v>
      </c>
      <c r="EN34" s="207">
        <v>0</v>
      </c>
      <c r="EO34" s="207">
        <f t="shared" si="77"/>
        <v>0</v>
      </c>
      <c r="EP34" s="207">
        <v>1</v>
      </c>
      <c r="EQ34" s="207">
        <f t="shared" si="78"/>
        <v>1</v>
      </c>
      <c r="ER34" s="207">
        <f t="shared" si="79"/>
        <v>4.5</v>
      </c>
      <c r="ES34" s="208">
        <f t="shared" si="80"/>
        <v>55.5</v>
      </c>
      <c r="ET34" s="205">
        <f t="shared" si="81"/>
        <v>19.280677083333334</v>
      </c>
      <c r="EU34" s="206" t="str">
        <f t="shared" si="82"/>
        <v>(1.79)</v>
      </c>
      <c r="EV34" s="207">
        <v>2</v>
      </c>
      <c r="EW34" s="207">
        <f t="shared" si="83"/>
        <v>3.5</v>
      </c>
      <c r="EX34" s="207">
        <v>0</v>
      </c>
      <c r="EY34" s="207">
        <f t="shared" si="84"/>
        <v>0</v>
      </c>
      <c r="EZ34" s="207">
        <v>1</v>
      </c>
      <c r="FA34" s="207">
        <f t="shared" si="85"/>
        <v>1</v>
      </c>
      <c r="FB34" s="207">
        <f t="shared" si="86"/>
        <v>4.5</v>
      </c>
      <c r="FC34" s="208">
        <f t="shared" si="87"/>
        <v>61.5</v>
      </c>
      <c r="FD34" s="205">
        <f t="shared" si="88"/>
        <v>21.475225694444447</v>
      </c>
      <c r="FE34" s="206" t="str">
        <f t="shared" si="89"/>
        <v>(2.00)</v>
      </c>
      <c r="FF34" s="207">
        <v>2</v>
      </c>
      <c r="FG34" s="207">
        <f t="shared" si="90"/>
        <v>3.5</v>
      </c>
      <c r="FH34" s="469">
        <v>0</v>
      </c>
      <c r="FI34" s="207">
        <f t="shared" si="91"/>
        <v>0</v>
      </c>
      <c r="FJ34" s="207">
        <v>0</v>
      </c>
      <c r="FK34" s="207">
        <f t="shared" si="92"/>
        <v>0</v>
      </c>
      <c r="FL34" s="207">
        <f t="shared" si="93"/>
        <v>3.5</v>
      </c>
      <c r="FM34" s="208">
        <f t="shared" si="94"/>
        <v>68.5</v>
      </c>
      <c r="FN34" s="30"/>
      <c r="FO34" s="30"/>
      <c r="FP34" s="31"/>
      <c r="FQ34" s="31"/>
      <c r="FR34" s="31"/>
      <c r="FS34" s="31"/>
      <c r="FT34" s="31"/>
      <c r="FU34" s="31"/>
      <c r="FV34" s="31"/>
      <c r="FW34" s="31"/>
      <c r="FX34" s="30"/>
      <c r="FY34" s="30"/>
      <c r="FZ34" s="31"/>
      <c r="GA34" s="31"/>
      <c r="GB34" s="31"/>
      <c r="GC34" s="31"/>
      <c r="GD34" s="31"/>
      <c r="GE34" s="31"/>
      <c r="GF34" s="31"/>
      <c r="GG34" s="31"/>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1"/>
      <c r="IK34" s="31"/>
      <c r="IL34" s="31"/>
      <c r="IM34" s="31"/>
      <c r="IN34" s="32"/>
      <c r="IO34" s="32"/>
      <c r="IP34" s="32"/>
      <c r="IQ34" s="24">
        <f t="shared" si="151"/>
        <v>15</v>
      </c>
      <c r="IR34" s="25">
        <v>2.5</v>
      </c>
      <c r="IS34" s="25">
        <v>2.8780000000000001</v>
      </c>
      <c r="IT34" s="25">
        <v>2.3530000000000002</v>
      </c>
      <c r="IU34" s="25">
        <v>1.75</v>
      </c>
      <c r="IV34" s="25">
        <v>1</v>
      </c>
      <c r="IW34" s="25">
        <v>1.125</v>
      </c>
      <c r="IX34" s="7"/>
    </row>
    <row r="35" spans="2:258" ht="15.75" thickBot="1" x14ac:dyDescent="0.3">
      <c r="B35" s="79">
        <f t="shared" si="9"/>
        <v>108</v>
      </c>
      <c r="C35" s="148">
        <v>19</v>
      </c>
      <c r="D35" s="487"/>
      <c r="E35" s="488"/>
      <c r="F35" s="488"/>
      <c r="G35" s="488"/>
      <c r="H35" s="488"/>
      <c r="I35" s="488"/>
      <c r="J35" s="488"/>
      <c r="K35" s="488"/>
      <c r="L35" s="488"/>
      <c r="M35" s="488"/>
      <c r="N35" s="488"/>
      <c r="O35" s="488"/>
      <c r="P35" s="488"/>
      <c r="Q35" s="488"/>
      <c r="R35" s="488"/>
      <c r="S35" s="488"/>
      <c r="T35" s="488"/>
      <c r="U35" s="488"/>
      <c r="V35" s="488"/>
      <c r="W35" s="488"/>
      <c r="X35" s="76"/>
      <c r="Y35" s="46"/>
      <c r="AT35" s="3"/>
      <c r="AU35" s="26">
        <f t="shared" si="152"/>
        <v>90</v>
      </c>
      <c r="AV35" s="27" t="str">
        <f t="shared" si="10"/>
        <v>(2300)</v>
      </c>
      <c r="AW35" s="18"/>
      <c r="AX35" s="19">
        <f t="shared" si="11"/>
        <v>1.9665937500000001</v>
      </c>
      <c r="AY35" s="28" t="str">
        <f t="shared" si="12"/>
        <v>(0.18)</v>
      </c>
      <c r="AZ35" s="21">
        <v>2</v>
      </c>
      <c r="BA35" s="21">
        <f t="shared" si="13"/>
        <v>3.5</v>
      </c>
      <c r="BB35" s="29">
        <v>0</v>
      </c>
      <c r="BC35" s="21">
        <f t="shared" si="14"/>
        <v>0</v>
      </c>
      <c r="BD35" s="29">
        <v>0</v>
      </c>
      <c r="BE35" s="21">
        <f t="shared" si="15"/>
        <v>0</v>
      </c>
      <c r="BF35" s="21">
        <f t="shared" si="16"/>
        <v>3.5</v>
      </c>
      <c r="BG35" s="22">
        <f t="shared" si="17"/>
        <v>5.5</v>
      </c>
      <c r="BH35" s="205">
        <f t="shared" si="18"/>
        <v>3.0392812500000002</v>
      </c>
      <c r="BI35" s="206" t="str">
        <f t="shared" si="19"/>
        <v>(0.28)</v>
      </c>
      <c r="BJ35" s="207">
        <v>2</v>
      </c>
      <c r="BK35" s="207">
        <f t="shared" si="20"/>
        <v>3.5</v>
      </c>
      <c r="BL35" s="207">
        <v>0</v>
      </c>
      <c r="BM35" s="207">
        <f t="shared" si="21"/>
        <v>0</v>
      </c>
      <c r="BN35" s="207">
        <v>0</v>
      </c>
      <c r="BO35" s="207">
        <f t="shared" si="22"/>
        <v>0</v>
      </c>
      <c r="BP35" s="207">
        <f t="shared" si="23"/>
        <v>3.5</v>
      </c>
      <c r="BQ35" s="208">
        <f t="shared" si="24"/>
        <v>8.5</v>
      </c>
      <c r="BR35" s="205">
        <f t="shared" si="25"/>
        <v>5.1846562499999997</v>
      </c>
      <c r="BS35" s="206" t="str">
        <f t="shared" si="26"/>
        <v>(0.48)</v>
      </c>
      <c r="BT35" s="207">
        <v>2</v>
      </c>
      <c r="BU35" s="207">
        <f t="shared" si="27"/>
        <v>3.5</v>
      </c>
      <c r="BV35" s="207">
        <v>0</v>
      </c>
      <c r="BW35" s="207">
        <f t="shared" si="28"/>
        <v>0</v>
      </c>
      <c r="BX35" s="207">
        <v>0</v>
      </c>
      <c r="BY35" s="207">
        <f t="shared" si="29"/>
        <v>0</v>
      </c>
      <c r="BZ35" s="207">
        <f t="shared" si="30"/>
        <v>3.5</v>
      </c>
      <c r="CA35" s="208">
        <f t="shared" si="31"/>
        <v>14.5</v>
      </c>
      <c r="CB35" s="205">
        <f t="shared" si="32"/>
        <v>7.3300312500000002</v>
      </c>
      <c r="CC35" s="206" t="str">
        <f t="shared" si="33"/>
        <v>(0.68)</v>
      </c>
      <c r="CD35" s="207">
        <v>2</v>
      </c>
      <c r="CE35" s="207">
        <f t="shared" si="34"/>
        <v>3.5</v>
      </c>
      <c r="CF35" s="207">
        <v>0</v>
      </c>
      <c r="CG35" s="207">
        <f t="shared" si="35"/>
        <v>0</v>
      </c>
      <c r="CH35" s="207">
        <v>0</v>
      </c>
      <c r="CI35" s="207">
        <f t="shared" si="36"/>
        <v>0</v>
      </c>
      <c r="CJ35" s="207">
        <f t="shared" si="37"/>
        <v>3.5</v>
      </c>
      <c r="CK35" s="208">
        <f t="shared" si="38"/>
        <v>20.5</v>
      </c>
      <c r="CL35" s="205">
        <f t="shared" si="39"/>
        <v>9.4754062500000007</v>
      </c>
      <c r="CM35" s="206" t="str">
        <f t="shared" si="40"/>
        <v>(0.88)</v>
      </c>
      <c r="CN35" s="207">
        <v>2</v>
      </c>
      <c r="CO35" s="207">
        <f t="shared" si="41"/>
        <v>3.5</v>
      </c>
      <c r="CP35" s="207">
        <v>0</v>
      </c>
      <c r="CQ35" s="207">
        <f t="shared" si="42"/>
        <v>0</v>
      </c>
      <c r="CR35" s="207">
        <v>0</v>
      </c>
      <c r="CS35" s="207">
        <f t="shared" si="43"/>
        <v>0</v>
      </c>
      <c r="CT35" s="207">
        <f t="shared" si="44"/>
        <v>3.5</v>
      </c>
      <c r="CU35" s="208">
        <f t="shared" si="45"/>
        <v>26.5</v>
      </c>
      <c r="CV35" s="205">
        <f t="shared" si="46"/>
        <v>11.62078125</v>
      </c>
      <c r="CW35" s="206" t="str">
        <f t="shared" si="47"/>
        <v>(1.08)</v>
      </c>
      <c r="CX35" s="207">
        <v>2</v>
      </c>
      <c r="CY35" s="207">
        <f t="shared" si="48"/>
        <v>3.5</v>
      </c>
      <c r="CZ35" s="207">
        <v>0</v>
      </c>
      <c r="DA35" s="207">
        <f t="shared" si="49"/>
        <v>0</v>
      </c>
      <c r="DB35" s="207">
        <v>0</v>
      </c>
      <c r="DC35" s="207">
        <f t="shared" si="50"/>
        <v>0</v>
      </c>
      <c r="DD35" s="207">
        <f t="shared" si="51"/>
        <v>3.5</v>
      </c>
      <c r="DE35" s="208">
        <f t="shared" si="52"/>
        <v>32.5</v>
      </c>
      <c r="DF35" s="205">
        <f t="shared" si="53"/>
        <v>13.766156250000002</v>
      </c>
      <c r="DG35" s="206" t="str">
        <f t="shared" si="54"/>
        <v>(1.28)</v>
      </c>
      <c r="DH35" s="207">
        <v>2</v>
      </c>
      <c r="DI35" s="207">
        <f t="shared" si="55"/>
        <v>3.5</v>
      </c>
      <c r="DJ35" s="207">
        <v>0</v>
      </c>
      <c r="DK35" s="207">
        <f t="shared" si="56"/>
        <v>0</v>
      </c>
      <c r="DL35" s="207">
        <v>0</v>
      </c>
      <c r="DM35" s="207">
        <f t="shared" si="57"/>
        <v>0</v>
      </c>
      <c r="DN35" s="207">
        <f t="shared" si="58"/>
        <v>3.5</v>
      </c>
      <c r="DO35" s="208">
        <f t="shared" si="59"/>
        <v>38.5</v>
      </c>
      <c r="DP35" s="205">
        <f t="shared" si="60"/>
        <v>15.911531250000003</v>
      </c>
      <c r="DQ35" s="206" t="str">
        <f t="shared" si="61"/>
        <v>(1.48)</v>
      </c>
      <c r="DR35" s="207">
        <v>2</v>
      </c>
      <c r="DS35" s="207">
        <f t="shared" si="62"/>
        <v>3.5</v>
      </c>
      <c r="DT35" s="207">
        <v>0</v>
      </c>
      <c r="DU35" s="207">
        <f t="shared" si="63"/>
        <v>0</v>
      </c>
      <c r="DV35" s="207">
        <v>0</v>
      </c>
      <c r="DW35" s="207">
        <f t="shared" si="64"/>
        <v>0</v>
      </c>
      <c r="DX35" s="207">
        <f t="shared" si="65"/>
        <v>3.5</v>
      </c>
      <c r="DY35" s="208">
        <f t="shared" si="66"/>
        <v>44.5</v>
      </c>
      <c r="DZ35" s="205">
        <f t="shared" si="67"/>
        <v>17.699343750000001</v>
      </c>
      <c r="EA35" s="206" t="str">
        <f t="shared" si="68"/>
        <v>(1.64)</v>
      </c>
      <c r="EB35" s="207">
        <v>2</v>
      </c>
      <c r="EC35" s="207">
        <f t="shared" si="69"/>
        <v>3.5</v>
      </c>
      <c r="ED35" s="207">
        <v>0</v>
      </c>
      <c r="EE35" s="207">
        <f t="shared" si="70"/>
        <v>0</v>
      </c>
      <c r="EF35" s="207">
        <v>1</v>
      </c>
      <c r="EG35" s="207">
        <f t="shared" si="71"/>
        <v>1</v>
      </c>
      <c r="EH35" s="207">
        <f t="shared" si="72"/>
        <v>4.5</v>
      </c>
      <c r="EI35" s="208">
        <f t="shared" si="73"/>
        <v>49.5</v>
      </c>
      <c r="EJ35" s="205">
        <f t="shared" si="74"/>
        <v>19.844718750000002</v>
      </c>
      <c r="EK35" s="206" t="str">
        <f t="shared" si="75"/>
        <v>(1.84)</v>
      </c>
      <c r="EL35" s="207">
        <v>2</v>
      </c>
      <c r="EM35" s="207">
        <f t="shared" si="76"/>
        <v>3.5</v>
      </c>
      <c r="EN35" s="207">
        <v>0</v>
      </c>
      <c r="EO35" s="207">
        <f t="shared" si="77"/>
        <v>0</v>
      </c>
      <c r="EP35" s="207">
        <v>1</v>
      </c>
      <c r="EQ35" s="207">
        <f t="shared" si="78"/>
        <v>1</v>
      </c>
      <c r="ER35" s="207">
        <f t="shared" si="79"/>
        <v>4.5</v>
      </c>
      <c r="ES35" s="208">
        <f t="shared" si="80"/>
        <v>55.5</v>
      </c>
      <c r="ET35" s="205">
        <f t="shared" si="81"/>
        <v>21.990093750000003</v>
      </c>
      <c r="EU35" s="206" t="str">
        <f t="shared" si="82"/>
        <v>(2.04)</v>
      </c>
      <c r="EV35" s="207">
        <v>2</v>
      </c>
      <c r="EW35" s="207">
        <f t="shared" si="83"/>
        <v>3.5</v>
      </c>
      <c r="EX35" s="207">
        <v>0</v>
      </c>
      <c r="EY35" s="207">
        <f t="shared" si="84"/>
        <v>0</v>
      </c>
      <c r="EZ35" s="207">
        <v>1</v>
      </c>
      <c r="FA35" s="207">
        <f t="shared" si="85"/>
        <v>1</v>
      </c>
      <c r="FB35" s="207">
        <f t="shared" si="86"/>
        <v>4.5</v>
      </c>
      <c r="FC35" s="208">
        <f t="shared" si="87"/>
        <v>61.5</v>
      </c>
      <c r="FD35" s="205">
        <f t="shared" si="88"/>
        <v>24.493031250000001</v>
      </c>
      <c r="FE35" s="206" t="str">
        <f t="shared" si="89"/>
        <v>(2.28)</v>
      </c>
      <c r="FF35" s="207">
        <v>2</v>
      </c>
      <c r="FG35" s="207">
        <f t="shared" si="90"/>
        <v>3.5</v>
      </c>
      <c r="FH35" s="469">
        <v>0</v>
      </c>
      <c r="FI35" s="207">
        <f t="shared" si="91"/>
        <v>0</v>
      </c>
      <c r="FJ35" s="207">
        <v>0</v>
      </c>
      <c r="FK35" s="207">
        <f t="shared" si="92"/>
        <v>0</v>
      </c>
      <c r="FL35" s="207">
        <f t="shared" si="93"/>
        <v>3.5</v>
      </c>
      <c r="FM35" s="208">
        <f t="shared" si="94"/>
        <v>68.5</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3"/>
      <c r="IK35" s="31"/>
      <c r="IL35" s="31"/>
      <c r="IM35" s="31"/>
      <c r="IN35" s="32"/>
      <c r="IO35" s="32"/>
      <c r="IP35" s="32"/>
      <c r="IQ35" s="24">
        <f t="shared" si="151"/>
        <v>17</v>
      </c>
      <c r="IR35" s="25">
        <v>2.5</v>
      </c>
      <c r="IS35" s="25">
        <v>2.8780000000000001</v>
      </c>
      <c r="IT35" s="25">
        <f>0.458+2.483</f>
        <v>2.9410000000000003</v>
      </c>
      <c r="IU35" s="25">
        <v>1.75</v>
      </c>
      <c r="IV35" s="25">
        <v>1</v>
      </c>
      <c r="IW35" s="25">
        <v>1.125</v>
      </c>
      <c r="IX35" s="7"/>
    </row>
    <row r="36" spans="2:258" ht="15.75" thickBot="1" x14ac:dyDescent="0.3">
      <c r="B36" s="79">
        <f>B35+6</f>
        <v>114</v>
      </c>
      <c r="C36" s="147">
        <v>20</v>
      </c>
      <c r="D36" s="487"/>
      <c r="E36" s="488"/>
      <c r="F36" s="488"/>
      <c r="G36" s="488"/>
      <c r="H36" s="488"/>
      <c r="I36" s="488"/>
      <c r="J36" s="488"/>
      <c r="K36" s="488"/>
      <c r="L36" s="488"/>
      <c r="M36" s="488"/>
      <c r="N36" s="488"/>
      <c r="O36" s="488"/>
      <c r="P36" s="488"/>
      <c r="Q36" s="488"/>
      <c r="R36" s="488"/>
      <c r="S36" s="488"/>
      <c r="T36" s="488"/>
      <c r="U36" s="488"/>
      <c r="V36" s="488"/>
      <c r="W36" s="488"/>
      <c r="X36" s="76"/>
      <c r="Y36" s="46"/>
      <c r="AT36" s="3"/>
      <c r="AU36" s="26">
        <f t="shared" si="152"/>
        <v>96</v>
      </c>
      <c r="AV36" s="27" t="str">
        <f t="shared" si="10"/>
        <v>(2450)</v>
      </c>
      <c r="AW36" s="18"/>
      <c r="AX36" s="19">
        <f t="shared" si="11"/>
        <v>1.9964236111111111</v>
      </c>
      <c r="AY36" s="20" t="str">
        <f t="shared" si="12"/>
        <v>(0.19)</v>
      </c>
      <c r="AZ36" s="21">
        <v>2</v>
      </c>
      <c r="BA36" s="21">
        <f t="shared" si="13"/>
        <v>3.5</v>
      </c>
      <c r="BB36" s="21">
        <v>0</v>
      </c>
      <c r="BC36" s="21">
        <f t="shared" si="14"/>
        <v>0</v>
      </c>
      <c r="BD36" s="21">
        <v>0</v>
      </c>
      <c r="BE36" s="21">
        <f t="shared" si="15"/>
        <v>0</v>
      </c>
      <c r="BF36" s="21">
        <f t="shared" si="16"/>
        <v>3.5</v>
      </c>
      <c r="BG36" s="22">
        <f t="shared" si="17"/>
        <v>5.5</v>
      </c>
      <c r="BH36" s="205">
        <f t="shared" si="18"/>
        <v>3.0853819444444444</v>
      </c>
      <c r="BI36" s="206" t="str">
        <f t="shared" si="19"/>
        <v>(0.29)</v>
      </c>
      <c r="BJ36" s="207">
        <v>2</v>
      </c>
      <c r="BK36" s="207">
        <f t="shared" si="20"/>
        <v>3.5</v>
      </c>
      <c r="BL36" s="207">
        <v>0</v>
      </c>
      <c r="BM36" s="207">
        <f t="shared" si="21"/>
        <v>0</v>
      </c>
      <c r="BN36" s="207">
        <v>0</v>
      </c>
      <c r="BO36" s="207">
        <f t="shared" si="22"/>
        <v>0</v>
      </c>
      <c r="BP36" s="207">
        <f t="shared" si="23"/>
        <v>3.5</v>
      </c>
      <c r="BQ36" s="208">
        <f t="shared" si="24"/>
        <v>8.5</v>
      </c>
      <c r="BR36" s="205">
        <f t="shared" si="25"/>
        <v>5.2632986111111117</v>
      </c>
      <c r="BS36" s="206" t="str">
        <f t="shared" si="26"/>
        <v>(0.49)</v>
      </c>
      <c r="BT36" s="207">
        <v>2</v>
      </c>
      <c r="BU36" s="207">
        <f t="shared" si="27"/>
        <v>3.5</v>
      </c>
      <c r="BV36" s="207">
        <v>0</v>
      </c>
      <c r="BW36" s="207">
        <f t="shared" si="28"/>
        <v>0</v>
      </c>
      <c r="BX36" s="207">
        <v>0</v>
      </c>
      <c r="BY36" s="207">
        <f t="shared" si="29"/>
        <v>0</v>
      </c>
      <c r="BZ36" s="207">
        <f t="shared" si="30"/>
        <v>3.5</v>
      </c>
      <c r="CA36" s="208">
        <f t="shared" si="31"/>
        <v>14.5</v>
      </c>
      <c r="CB36" s="205">
        <f t="shared" si="32"/>
        <v>7.4412152777777782</v>
      </c>
      <c r="CC36" s="206" t="str">
        <f t="shared" si="33"/>
        <v>(0.69)</v>
      </c>
      <c r="CD36" s="207">
        <v>2</v>
      </c>
      <c r="CE36" s="207">
        <f t="shared" si="34"/>
        <v>3.5</v>
      </c>
      <c r="CF36" s="207">
        <v>0</v>
      </c>
      <c r="CG36" s="207">
        <f t="shared" si="35"/>
        <v>0</v>
      </c>
      <c r="CH36" s="207">
        <v>0</v>
      </c>
      <c r="CI36" s="207">
        <f t="shared" si="36"/>
        <v>0</v>
      </c>
      <c r="CJ36" s="207">
        <f t="shared" si="37"/>
        <v>3.5</v>
      </c>
      <c r="CK36" s="208">
        <f t="shared" si="38"/>
        <v>20.5</v>
      </c>
      <c r="CL36" s="205">
        <f t="shared" si="39"/>
        <v>9.6191319444444439</v>
      </c>
      <c r="CM36" s="206" t="str">
        <f t="shared" si="40"/>
        <v>(0.89)</v>
      </c>
      <c r="CN36" s="207">
        <v>2</v>
      </c>
      <c r="CO36" s="207">
        <f t="shared" si="41"/>
        <v>3.5</v>
      </c>
      <c r="CP36" s="207">
        <v>0</v>
      </c>
      <c r="CQ36" s="207">
        <f t="shared" si="42"/>
        <v>0</v>
      </c>
      <c r="CR36" s="207">
        <v>0</v>
      </c>
      <c r="CS36" s="207">
        <f t="shared" si="43"/>
        <v>0</v>
      </c>
      <c r="CT36" s="207">
        <f t="shared" si="44"/>
        <v>3.5</v>
      </c>
      <c r="CU36" s="208">
        <f t="shared" si="45"/>
        <v>26.5</v>
      </c>
      <c r="CV36" s="205">
        <f t="shared" si="46"/>
        <v>11.797048611111112</v>
      </c>
      <c r="CW36" s="206" t="str">
        <f t="shared" si="47"/>
        <v>(1.1)</v>
      </c>
      <c r="CX36" s="207">
        <v>2</v>
      </c>
      <c r="CY36" s="207">
        <f t="shared" si="48"/>
        <v>3.5</v>
      </c>
      <c r="CZ36" s="207">
        <v>0</v>
      </c>
      <c r="DA36" s="207">
        <f t="shared" si="49"/>
        <v>0</v>
      </c>
      <c r="DB36" s="207">
        <v>0</v>
      </c>
      <c r="DC36" s="207">
        <f t="shared" si="50"/>
        <v>0</v>
      </c>
      <c r="DD36" s="207">
        <f t="shared" si="51"/>
        <v>3.5</v>
      </c>
      <c r="DE36" s="208">
        <f t="shared" si="52"/>
        <v>32.5</v>
      </c>
      <c r="DF36" s="205">
        <f t="shared" si="53"/>
        <v>13.974965277777779</v>
      </c>
      <c r="DG36" s="206" t="str">
        <f t="shared" si="54"/>
        <v>(1.3)</v>
      </c>
      <c r="DH36" s="207">
        <v>2</v>
      </c>
      <c r="DI36" s="207">
        <f t="shared" si="55"/>
        <v>3.5</v>
      </c>
      <c r="DJ36" s="207">
        <v>0</v>
      </c>
      <c r="DK36" s="207">
        <f t="shared" si="56"/>
        <v>0</v>
      </c>
      <c r="DL36" s="207">
        <v>0</v>
      </c>
      <c r="DM36" s="207">
        <f t="shared" si="57"/>
        <v>0</v>
      </c>
      <c r="DN36" s="207">
        <f t="shared" si="58"/>
        <v>3.5</v>
      </c>
      <c r="DO36" s="208">
        <f t="shared" si="59"/>
        <v>38.5</v>
      </c>
      <c r="DP36" s="205">
        <f t="shared" si="60"/>
        <v>16.152881944444445</v>
      </c>
      <c r="DQ36" s="206" t="str">
        <f t="shared" si="61"/>
        <v>(1.5)</v>
      </c>
      <c r="DR36" s="207">
        <v>2</v>
      </c>
      <c r="DS36" s="207">
        <f t="shared" si="62"/>
        <v>3.5</v>
      </c>
      <c r="DT36" s="207">
        <v>0</v>
      </c>
      <c r="DU36" s="207">
        <f t="shared" si="63"/>
        <v>0</v>
      </c>
      <c r="DV36" s="207">
        <v>0</v>
      </c>
      <c r="DW36" s="207">
        <f t="shared" si="64"/>
        <v>0</v>
      </c>
      <c r="DX36" s="207">
        <f t="shared" si="65"/>
        <v>3.5</v>
      </c>
      <c r="DY36" s="208">
        <f t="shared" si="66"/>
        <v>44.5</v>
      </c>
      <c r="DZ36" s="205">
        <f t="shared" si="67"/>
        <v>17.967812500000001</v>
      </c>
      <c r="EA36" s="206" t="str">
        <f t="shared" si="68"/>
        <v>(1.67)</v>
      </c>
      <c r="EB36" s="207">
        <v>2</v>
      </c>
      <c r="EC36" s="207">
        <f t="shared" si="69"/>
        <v>3.5</v>
      </c>
      <c r="ED36" s="207">
        <v>0</v>
      </c>
      <c r="EE36" s="207">
        <f t="shared" si="70"/>
        <v>0</v>
      </c>
      <c r="EF36" s="207">
        <v>1</v>
      </c>
      <c r="EG36" s="207">
        <f t="shared" si="71"/>
        <v>1</v>
      </c>
      <c r="EH36" s="207">
        <f t="shared" si="72"/>
        <v>4.5</v>
      </c>
      <c r="EI36" s="208">
        <f t="shared" si="73"/>
        <v>49.5</v>
      </c>
      <c r="EJ36" s="205">
        <f t="shared" si="74"/>
        <v>20.145729166666669</v>
      </c>
      <c r="EK36" s="206" t="str">
        <f t="shared" si="75"/>
        <v>(1.87)</v>
      </c>
      <c r="EL36" s="207">
        <v>2</v>
      </c>
      <c r="EM36" s="207">
        <f t="shared" si="76"/>
        <v>3.5</v>
      </c>
      <c r="EN36" s="207">
        <v>0</v>
      </c>
      <c r="EO36" s="207">
        <f t="shared" si="77"/>
        <v>0</v>
      </c>
      <c r="EP36" s="207">
        <v>1</v>
      </c>
      <c r="EQ36" s="207">
        <f t="shared" si="78"/>
        <v>1</v>
      </c>
      <c r="ER36" s="207">
        <f t="shared" si="79"/>
        <v>4.5</v>
      </c>
      <c r="ES36" s="208">
        <f t="shared" si="80"/>
        <v>55.5</v>
      </c>
      <c r="ET36" s="205">
        <f t="shared" si="81"/>
        <v>22.323645833333334</v>
      </c>
      <c r="EU36" s="206" t="str">
        <f t="shared" si="82"/>
        <v>(2.07)</v>
      </c>
      <c r="EV36" s="207">
        <v>2</v>
      </c>
      <c r="EW36" s="207">
        <f t="shared" si="83"/>
        <v>3.5</v>
      </c>
      <c r="EX36" s="207">
        <v>0</v>
      </c>
      <c r="EY36" s="207">
        <f t="shared" si="84"/>
        <v>0</v>
      </c>
      <c r="EZ36" s="207">
        <v>1</v>
      </c>
      <c r="FA36" s="207">
        <f t="shared" si="85"/>
        <v>1</v>
      </c>
      <c r="FB36" s="207">
        <f t="shared" si="86"/>
        <v>4.5</v>
      </c>
      <c r="FC36" s="208">
        <f t="shared" si="87"/>
        <v>61.5</v>
      </c>
      <c r="FD36" s="205">
        <f t="shared" si="88"/>
        <v>24.864548611111115</v>
      </c>
      <c r="FE36" s="206" t="str">
        <f t="shared" si="89"/>
        <v>(2.31)</v>
      </c>
      <c r="FF36" s="207">
        <v>2</v>
      </c>
      <c r="FG36" s="207">
        <f t="shared" si="90"/>
        <v>3.5</v>
      </c>
      <c r="FH36" s="469">
        <v>0</v>
      </c>
      <c r="FI36" s="207">
        <f t="shared" si="91"/>
        <v>0</v>
      </c>
      <c r="FJ36" s="207">
        <v>0</v>
      </c>
      <c r="FK36" s="207">
        <f t="shared" si="92"/>
        <v>0</v>
      </c>
      <c r="FL36" s="207">
        <f t="shared" si="93"/>
        <v>3.5</v>
      </c>
      <c r="FM36" s="208">
        <f t="shared" si="94"/>
        <v>68.5</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24">
        <f t="shared" si="151"/>
        <v>18</v>
      </c>
      <c r="IR36" s="25">
        <v>2.5</v>
      </c>
      <c r="IS36" s="25">
        <v>2.8780000000000001</v>
      </c>
      <c r="IT36" s="25">
        <v>0.84399999999999997</v>
      </c>
      <c r="IU36" s="25">
        <v>1.75</v>
      </c>
      <c r="IV36" s="25">
        <v>1</v>
      </c>
      <c r="IW36" s="25">
        <v>1.125</v>
      </c>
      <c r="IX36" s="7"/>
    </row>
    <row r="37" spans="2:258" ht="15.75" thickBot="1" x14ac:dyDescent="0.3">
      <c r="B37" s="79">
        <f t="shared" si="9"/>
        <v>120</v>
      </c>
      <c r="C37" s="149">
        <v>21</v>
      </c>
      <c r="D37" s="487"/>
      <c r="E37" s="488"/>
      <c r="F37" s="488"/>
      <c r="G37" s="488"/>
      <c r="H37" s="488"/>
      <c r="I37" s="488"/>
      <c r="J37" s="488"/>
      <c r="K37" s="488"/>
      <c r="L37" s="488"/>
      <c r="M37" s="488"/>
      <c r="N37" s="488"/>
      <c r="O37" s="488"/>
      <c r="P37" s="488"/>
      <c r="Q37" s="488"/>
      <c r="R37" s="488"/>
      <c r="S37" s="488"/>
      <c r="T37" s="488"/>
      <c r="U37" s="488"/>
      <c r="V37" s="488"/>
      <c r="W37" s="488"/>
      <c r="X37" s="76"/>
      <c r="Y37" s="46"/>
      <c r="AT37" s="3"/>
      <c r="AU37" s="26">
        <f t="shared" si="152"/>
        <v>102</v>
      </c>
      <c r="AV37" s="27" t="str">
        <f t="shared" si="10"/>
        <v>(2600)</v>
      </c>
      <c r="AW37" s="18"/>
      <c r="AX37" s="19">
        <f t="shared" si="11"/>
        <v>2.1431666666666667</v>
      </c>
      <c r="AY37" s="20" t="str">
        <f t="shared" si="12"/>
        <v>(0.20)</v>
      </c>
      <c r="AZ37" s="21">
        <v>2</v>
      </c>
      <c r="BA37" s="21">
        <f t="shared" si="13"/>
        <v>3.5</v>
      </c>
      <c r="BB37" s="21">
        <v>0</v>
      </c>
      <c r="BC37" s="21">
        <f t="shared" si="14"/>
        <v>0</v>
      </c>
      <c r="BD37" s="21">
        <v>0</v>
      </c>
      <c r="BE37" s="21">
        <f t="shared" si="15"/>
        <v>0</v>
      </c>
      <c r="BF37" s="21">
        <f t="shared" si="16"/>
        <v>3.5</v>
      </c>
      <c r="BG37" s="22">
        <f t="shared" si="17"/>
        <v>5.5</v>
      </c>
      <c r="BH37" s="205">
        <f t="shared" si="18"/>
        <v>3.3121666666666667</v>
      </c>
      <c r="BI37" s="206" t="str">
        <f t="shared" si="19"/>
        <v>(0.31)</v>
      </c>
      <c r="BJ37" s="207">
        <v>2</v>
      </c>
      <c r="BK37" s="207">
        <f t="shared" si="20"/>
        <v>3.5</v>
      </c>
      <c r="BL37" s="207">
        <v>0</v>
      </c>
      <c r="BM37" s="207">
        <f t="shared" si="21"/>
        <v>0</v>
      </c>
      <c r="BN37" s="207">
        <v>0</v>
      </c>
      <c r="BO37" s="207">
        <f t="shared" si="22"/>
        <v>0</v>
      </c>
      <c r="BP37" s="207">
        <f t="shared" si="23"/>
        <v>3.5</v>
      </c>
      <c r="BQ37" s="208">
        <f t="shared" si="24"/>
        <v>8.5</v>
      </c>
      <c r="BR37" s="205">
        <f t="shared" si="25"/>
        <v>5.6501666666666672</v>
      </c>
      <c r="BS37" s="206" t="str">
        <f t="shared" si="26"/>
        <v>(0.52)</v>
      </c>
      <c r="BT37" s="207">
        <v>2</v>
      </c>
      <c r="BU37" s="207">
        <f t="shared" si="27"/>
        <v>3.5</v>
      </c>
      <c r="BV37" s="207">
        <v>0</v>
      </c>
      <c r="BW37" s="207">
        <f t="shared" si="28"/>
        <v>0</v>
      </c>
      <c r="BX37" s="207">
        <v>0</v>
      </c>
      <c r="BY37" s="207">
        <f t="shared" si="29"/>
        <v>0</v>
      </c>
      <c r="BZ37" s="207">
        <f t="shared" si="30"/>
        <v>3.5</v>
      </c>
      <c r="CA37" s="208">
        <f t="shared" si="31"/>
        <v>14.5</v>
      </c>
      <c r="CB37" s="205">
        <f t="shared" si="32"/>
        <v>7.9881666666666673</v>
      </c>
      <c r="CC37" s="206" t="str">
        <f t="shared" si="33"/>
        <v>(0.74)</v>
      </c>
      <c r="CD37" s="207">
        <v>2</v>
      </c>
      <c r="CE37" s="207">
        <f t="shared" si="34"/>
        <v>3.5</v>
      </c>
      <c r="CF37" s="207">
        <v>0</v>
      </c>
      <c r="CG37" s="207">
        <f t="shared" si="35"/>
        <v>0</v>
      </c>
      <c r="CH37" s="207">
        <v>0</v>
      </c>
      <c r="CI37" s="207">
        <f t="shared" si="36"/>
        <v>0</v>
      </c>
      <c r="CJ37" s="207">
        <f t="shared" si="37"/>
        <v>3.5</v>
      </c>
      <c r="CK37" s="208">
        <f t="shared" si="38"/>
        <v>20.5</v>
      </c>
      <c r="CL37" s="205">
        <f t="shared" si="39"/>
        <v>10.326166666666667</v>
      </c>
      <c r="CM37" s="206" t="str">
        <f t="shared" si="40"/>
        <v>(0.96)</v>
      </c>
      <c r="CN37" s="207">
        <v>2</v>
      </c>
      <c r="CO37" s="207">
        <f t="shared" si="41"/>
        <v>3.5</v>
      </c>
      <c r="CP37" s="207">
        <v>0</v>
      </c>
      <c r="CQ37" s="207">
        <f t="shared" si="42"/>
        <v>0</v>
      </c>
      <c r="CR37" s="207">
        <v>0</v>
      </c>
      <c r="CS37" s="207">
        <f t="shared" si="43"/>
        <v>0</v>
      </c>
      <c r="CT37" s="207">
        <f t="shared" si="44"/>
        <v>3.5</v>
      </c>
      <c r="CU37" s="208">
        <f t="shared" si="45"/>
        <v>26.5</v>
      </c>
      <c r="CV37" s="205">
        <f t="shared" si="46"/>
        <v>12.664166666666667</v>
      </c>
      <c r="CW37" s="206" t="str">
        <f t="shared" si="47"/>
        <v>(1.18)</v>
      </c>
      <c r="CX37" s="207">
        <v>2</v>
      </c>
      <c r="CY37" s="207">
        <f t="shared" si="48"/>
        <v>3.5</v>
      </c>
      <c r="CZ37" s="207">
        <v>0</v>
      </c>
      <c r="DA37" s="207">
        <f t="shared" si="49"/>
        <v>0</v>
      </c>
      <c r="DB37" s="207">
        <v>0</v>
      </c>
      <c r="DC37" s="207">
        <f t="shared" si="50"/>
        <v>0</v>
      </c>
      <c r="DD37" s="207">
        <f t="shared" si="51"/>
        <v>3.5</v>
      </c>
      <c r="DE37" s="208">
        <f t="shared" si="52"/>
        <v>32.5</v>
      </c>
      <c r="DF37" s="205">
        <f t="shared" si="53"/>
        <v>15.002166666666666</v>
      </c>
      <c r="DG37" s="206" t="str">
        <f t="shared" si="54"/>
        <v>(1.39)</v>
      </c>
      <c r="DH37" s="207">
        <v>2</v>
      </c>
      <c r="DI37" s="207">
        <f t="shared" si="55"/>
        <v>3.5</v>
      </c>
      <c r="DJ37" s="207">
        <v>0</v>
      </c>
      <c r="DK37" s="207">
        <f t="shared" si="56"/>
        <v>0</v>
      </c>
      <c r="DL37" s="207">
        <v>0</v>
      </c>
      <c r="DM37" s="207">
        <f t="shared" si="57"/>
        <v>0</v>
      </c>
      <c r="DN37" s="207">
        <f t="shared" si="58"/>
        <v>3.5</v>
      </c>
      <c r="DO37" s="208">
        <f t="shared" si="59"/>
        <v>38.5</v>
      </c>
      <c r="DP37" s="205">
        <f t="shared" si="60"/>
        <v>17.340166666666665</v>
      </c>
      <c r="DQ37" s="206" t="str">
        <f t="shared" si="61"/>
        <v>(1.61)</v>
      </c>
      <c r="DR37" s="207">
        <v>2</v>
      </c>
      <c r="DS37" s="207">
        <f t="shared" si="62"/>
        <v>3.5</v>
      </c>
      <c r="DT37" s="207">
        <v>0</v>
      </c>
      <c r="DU37" s="207">
        <f t="shared" si="63"/>
        <v>0</v>
      </c>
      <c r="DV37" s="207">
        <v>0</v>
      </c>
      <c r="DW37" s="207">
        <f t="shared" si="64"/>
        <v>0</v>
      </c>
      <c r="DX37" s="207">
        <f t="shared" si="65"/>
        <v>3.5</v>
      </c>
      <c r="DY37" s="208">
        <f t="shared" si="66"/>
        <v>44.5</v>
      </c>
      <c r="DZ37" s="205">
        <f t="shared" si="67"/>
        <v>19.288499999999999</v>
      </c>
      <c r="EA37" s="206" t="str">
        <f t="shared" si="68"/>
        <v>(1.79)</v>
      </c>
      <c r="EB37" s="207">
        <v>2</v>
      </c>
      <c r="EC37" s="207">
        <f t="shared" si="69"/>
        <v>3.5</v>
      </c>
      <c r="ED37" s="207">
        <v>0</v>
      </c>
      <c r="EE37" s="207">
        <f t="shared" si="70"/>
        <v>0</v>
      </c>
      <c r="EF37" s="207">
        <v>1</v>
      </c>
      <c r="EG37" s="207">
        <f t="shared" si="71"/>
        <v>1</v>
      </c>
      <c r="EH37" s="207">
        <f t="shared" si="72"/>
        <v>4.5</v>
      </c>
      <c r="EI37" s="208">
        <f t="shared" si="73"/>
        <v>49.5</v>
      </c>
      <c r="EJ37" s="205">
        <f t="shared" si="74"/>
        <v>21.6265</v>
      </c>
      <c r="EK37" s="206" t="str">
        <f t="shared" si="75"/>
        <v>(2.01)</v>
      </c>
      <c r="EL37" s="207">
        <v>2</v>
      </c>
      <c r="EM37" s="207">
        <f t="shared" si="76"/>
        <v>3.5</v>
      </c>
      <c r="EN37" s="207">
        <v>0</v>
      </c>
      <c r="EO37" s="207">
        <f t="shared" si="77"/>
        <v>0</v>
      </c>
      <c r="EP37" s="207">
        <v>1</v>
      </c>
      <c r="EQ37" s="207">
        <f t="shared" si="78"/>
        <v>1</v>
      </c>
      <c r="ER37" s="207">
        <f t="shared" si="79"/>
        <v>4.5</v>
      </c>
      <c r="ES37" s="208">
        <f t="shared" si="80"/>
        <v>55.5</v>
      </c>
      <c r="ET37" s="205">
        <f t="shared" si="81"/>
        <v>23.964500000000001</v>
      </c>
      <c r="EU37" s="206" t="str">
        <f t="shared" si="82"/>
        <v>(2.23)</v>
      </c>
      <c r="EV37" s="207">
        <v>2</v>
      </c>
      <c r="EW37" s="207">
        <f t="shared" si="83"/>
        <v>3.5</v>
      </c>
      <c r="EX37" s="207">
        <v>0</v>
      </c>
      <c r="EY37" s="207">
        <f t="shared" si="84"/>
        <v>0</v>
      </c>
      <c r="EZ37" s="207">
        <v>1</v>
      </c>
      <c r="FA37" s="207">
        <f t="shared" si="85"/>
        <v>1</v>
      </c>
      <c r="FB37" s="207">
        <f t="shared" si="86"/>
        <v>4.5</v>
      </c>
      <c r="FC37" s="208">
        <f t="shared" si="87"/>
        <v>61.5</v>
      </c>
      <c r="FD37" s="205">
        <f t="shared" si="88"/>
        <v>26.692166666666665</v>
      </c>
      <c r="FE37" s="206" t="str">
        <f t="shared" si="89"/>
        <v>(2.48)</v>
      </c>
      <c r="FF37" s="207">
        <v>2</v>
      </c>
      <c r="FG37" s="207">
        <f t="shared" si="90"/>
        <v>3.5</v>
      </c>
      <c r="FH37" s="469">
        <v>0</v>
      </c>
      <c r="FI37" s="207">
        <f t="shared" si="91"/>
        <v>0</v>
      </c>
      <c r="FJ37" s="207">
        <v>0</v>
      </c>
      <c r="FK37" s="207">
        <f t="shared" si="92"/>
        <v>0</v>
      </c>
      <c r="FL37" s="207">
        <f t="shared" si="93"/>
        <v>3.5</v>
      </c>
      <c r="FM37" s="208">
        <f t="shared" si="94"/>
        <v>68.5</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24">
        <f t="shared" si="151"/>
        <v>19</v>
      </c>
      <c r="IR37" s="25">
        <v>2.5</v>
      </c>
      <c r="IS37" s="25">
        <v>2.8780000000000001</v>
      </c>
      <c r="IT37" s="25">
        <v>1.8080000000000001</v>
      </c>
      <c r="IU37" s="25">
        <v>1.75</v>
      </c>
      <c r="IV37" s="25">
        <v>1</v>
      </c>
      <c r="IW37" s="25">
        <v>1.125</v>
      </c>
      <c r="IX37" s="7"/>
    </row>
    <row r="38" spans="2:258" ht="15.75" thickBot="1" x14ac:dyDescent="0.3">
      <c r="B38" s="47"/>
      <c r="C38" s="76"/>
      <c r="D38" s="76"/>
      <c r="E38" s="76"/>
      <c r="F38" s="76"/>
      <c r="G38" s="76"/>
      <c r="H38" s="76"/>
      <c r="I38" s="76"/>
      <c r="J38" s="76"/>
      <c r="K38" s="76"/>
      <c r="L38" s="76"/>
      <c r="M38" s="76"/>
      <c r="N38" s="76"/>
      <c r="O38" s="76"/>
      <c r="P38" s="76"/>
      <c r="Q38" s="76"/>
      <c r="R38" s="76"/>
      <c r="S38" s="76"/>
      <c r="T38" s="76"/>
      <c r="U38" s="76"/>
      <c r="V38" s="76"/>
      <c r="W38" s="76"/>
      <c r="X38" s="76"/>
      <c r="Y38" s="46"/>
      <c r="AT38" s="3"/>
      <c r="AU38" s="26">
        <f t="shared" si="152"/>
        <v>108</v>
      </c>
      <c r="AV38" s="27" t="str">
        <f t="shared" si="10"/>
        <v>(2750)</v>
      </c>
      <c r="AW38" s="18"/>
      <c r="AX38" s="19">
        <f t="shared" si="11"/>
        <v>2.2843715277777776</v>
      </c>
      <c r="AY38" s="20" t="str">
        <f t="shared" si="12"/>
        <v>(0.21)</v>
      </c>
      <c r="AZ38" s="21">
        <v>2</v>
      </c>
      <c r="BA38" s="21">
        <f t="shared" si="13"/>
        <v>3.5</v>
      </c>
      <c r="BB38" s="21">
        <v>0</v>
      </c>
      <c r="BC38" s="21">
        <f t="shared" si="14"/>
        <v>0</v>
      </c>
      <c r="BD38" s="21">
        <v>0</v>
      </c>
      <c r="BE38" s="21">
        <f t="shared" si="15"/>
        <v>0</v>
      </c>
      <c r="BF38" s="21">
        <f t="shared" si="16"/>
        <v>3.5</v>
      </c>
      <c r="BG38" s="22">
        <f t="shared" si="17"/>
        <v>5.5</v>
      </c>
      <c r="BH38" s="205">
        <f t="shared" si="18"/>
        <v>3.5303923611111112</v>
      </c>
      <c r="BI38" s="206" t="str">
        <f t="shared" si="19"/>
        <v>(0.33)</v>
      </c>
      <c r="BJ38" s="207">
        <v>2</v>
      </c>
      <c r="BK38" s="207">
        <f t="shared" si="20"/>
        <v>3.5</v>
      </c>
      <c r="BL38" s="207">
        <v>0</v>
      </c>
      <c r="BM38" s="207">
        <f t="shared" si="21"/>
        <v>0</v>
      </c>
      <c r="BN38" s="207">
        <v>0</v>
      </c>
      <c r="BO38" s="207">
        <f t="shared" si="22"/>
        <v>0</v>
      </c>
      <c r="BP38" s="207">
        <f t="shared" si="23"/>
        <v>3.5</v>
      </c>
      <c r="BQ38" s="208">
        <f t="shared" si="24"/>
        <v>8.5</v>
      </c>
      <c r="BR38" s="205">
        <f t="shared" si="25"/>
        <v>6.0224340277777788</v>
      </c>
      <c r="BS38" s="206" t="str">
        <f t="shared" si="26"/>
        <v>(0.56)</v>
      </c>
      <c r="BT38" s="207">
        <v>2</v>
      </c>
      <c r="BU38" s="207">
        <f t="shared" si="27"/>
        <v>3.5</v>
      </c>
      <c r="BV38" s="207">
        <v>0</v>
      </c>
      <c r="BW38" s="207">
        <f t="shared" si="28"/>
        <v>0</v>
      </c>
      <c r="BX38" s="207">
        <v>0</v>
      </c>
      <c r="BY38" s="207">
        <f t="shared" si="29"/>
        <v>0</v>
      </c>
      <c r="BZ38" s="207">
        <f t="shared" si="30"/>
        <v>3.5</v>
      </c>
      <c r="CA38" s="208">
        <f t="shared" si="31"/>
        <v>14.5</v>
      </c>
      <c r="CB38" s="205">
        <f t="shared" si="32"/>
        <v>8.514475694444446</v>
      </c>
      <c r="CC38" s="206" t="str">
        <f t="shared" si="33"/>
        <v>(0.79)</v>
      </c>
      <c r="CD38" s="207">
        <v>2</v>
      </c>
      <c r="CE38" s="207">
        <f t="shared" si="34"/>
        <v>3.5</v>
      </c>
      <c r="CF38" s="207">
        <v>0</v>
      </c>
      <c r="CG38" s="207">
        <f t="shared" si="35"/>
        <v>0</v>
      </c>
      <c r="CH38" s="207">
        <v>0</v>
      </c>
      <c r="CI38" s="207">
        <f t="shared" si="36"/>
        <v>0</v>
      </c>
      <c r="CJ38" s="207">
        <f t="shared" si="37"/>
        <v>3.5</v>
      </c>
      <c r="CK38" s="208">
        <f t="shared" si="38"/>
        <v>20.5</v>
      </c>
      <c r="CL38" s="205">
        <f t="shared" si="39"/>
        <v>11.006517361111113</v>
      </c>
      <c r="CM38" s="206" t="str">
        <f t="shared" si="40"/>
        <v>(1.02)</v>
      </c>
      <c r="CN38" s="207">
        <v>2</v>
      </c>
      <c r="CO38" s="207">
        <f t="shared" si="41"/>
        <v>3.5</v>
      </c>
      <c r="CP38" s="207">
        <v>0</v>
      </c>
      <c r="CQ38" s="207">
        <f t="shared" si="42"/>
        <v>0</v>
      </c>
      <c r="CR38" s="207">
        <v>0</v>
      </c>
      <c r="CS38" s="207">
        <f t="shared" si="43"/>
        <v>0</v>
      </c>
      <c r="CT38" s="207">
        <f t="shared" si="44"/>
        <v>3.5</v>
      </c>
      <c r="CU38" s="208">
        <f t="shared" si="45"/>
        <v>26.5</v>
      </c>
      <c r="CV38" s="205">
        <f t="shared" si="46"/>
        <v>13.49855902777778</v>
      </c>
      <c r="CW38" s="206" t="str">
        <f t="shared" si="47"/>
        <v>(1.25)</v>
      </c>
      <c r="CX38" s="207">
        <v>2</v>
      </c>
      <c r="CY38" s="207">
        <f t="shared" si="48"/>
        <v>3.5</v>
      </c>
      <c r="CZ38" s="207">
        <v>0</v>
      </c>
      <c r="DA38" s="207">
        <f t="shared" si="49"/>
        <v>0</v>
      </c>
      <c r="DB38" s="207">
        <v>0</v>
      </c>
      <c r="DC38" s="207">
        <f t="shared" si="50"/>
        <v>0</v>
      </c>
      <c r="DD38" s="207">
        <f t="shared" si="51"/>
        <v>3.5</v>
      </c>
      <c r="DE38" s="208">
        <f t="shared" si="52"/>
        <v>32.5</v>
      </c>
      <c r="DF38" s="205">
        <f t="shared" si="53"/>
        <v>15.990600694444446</v>
      </c>
      <c r="DG38" s="206" t="str">
        <f t="shared" si="54"/>
        <v>(1.49)</v>
      </c>
      <c r="DH38" s="207">
        <v>2</v>
      </c>
      <c r="DI38" s="207">
        <f t="shared" si="55"/>
        <v>3.5</v>
      </c>
      <c r="DJ38" s="207">
        <v>0</v>
      </c>
      <c r="DK38" s="207">
        <f t="shared" si="56"/>
        <v>0</v>
      </c>
      <c r="DL38" s="207">
        <v>0</v>
      </c>
      <c r="DM38" s="207">
        <f t="shared" si="57"/>
        <v>0</v>
      </c>
      <c r="DN38" s="207">
        <f t="shared" si="58"/>
        <v>3.5</v>
      </c>
      <c r="DO38" s="208">
        <f t="shared" si="59"/>
        <v>38.5</v>
      </c>
      <c r="DP38" s="205">
        <f t="shared" si="60"/>
        <v>18.482642361111111</v>
      </c>
      <c r="DQ38" s="206" t="str">
        <f t="shared" si="61"/>
        <v>(1.72)</v>
      </c>
      <c r="DR38" s="207">
        <v>2</v>
      </c>
      <c r="DS38" s="207">
        <f t="shared" si="62"/>
        <v>3.5</v>
      </c>
      <c r="DT38" s="207">
        <v>0</v>
      </c>
      <c r="DU38" s="207">
        <f t="shared" si="63"/>
        <v>0</v>
      </c>
      <c r="DV38" s="207">
        <v>0</v>
      </c>
      <c r="DW38" s="207">
        <f t="shared" si="64"/>
        <v>0</v>
      </c>
      <c r="DX38" s="207">
        <f t="shared" si="65"/>
        <v>3.5</v>
      </c>
      <c r="DY38" s="208">
        <f t="shared" si="66"/>
        <v>44.5</v>
      </c>
      <c r="DZ38" s="205">
        <f t="shared" si="67"/>
        <v>20.55934375</v>
      </c>
      <c r="EA38" s="206" t="str">
        <f t="shared" si="68"/>
        <v>(1.91)</v>
      </c>
      <c r="EB38" s="207">
        <v>2</v>
      </c>
      <c r="EC38" s="207">
        <f t="shared" si="69"/>
        <v>3.5</v>
      </c>
      <c r="ED38" s="207">
        <v>0</v>
      </c>
      <c r="EE38" s="207">
        <f t="shared" si="70"/>
        <v>0</v>
      </c>
      <c r="EF38" s="207">
        <v>1</v>
      </c>
      <c r="EG38" s="207">
        <f t="shared" si="71"/>
        <v>1</v>
      </c>
      <c r="EH38" s="207">
        <f t="shared" si="72"/>
        <v>4.5</v>
      </c>
      <c r="EI38" s="208">
        <f t="shared" si="73"/>
        <v>49.5</v>
      </c>
      <c r="EJ38" s="205">
        <f t="shared" si="74"/>
        <v>23.051385416666669</v>
      </c>
      <c r="EK38" s="206" t="str">
        <f t="shared" si="75"/>
        <v>(2.14)</v>
      </c>
      <c r="EL38" s="207">
        <v>2</v>
      </c>
      <c r="EM38" s="207">
        <f t="shared" si="76"/>
        <v>3.5</v>
      </c>
      <c r="EN38" s="207">
        <v>0</v>
      </c>
      <c r="EO38" s="207">
        <f t="shared" si="77"/>
        <v>0</v>
      </c>
      <c r="EP38" s="207">
        <v>1</v>
      </c>
      <c r="EQ38" s="207">
        <f t="shared" si="78"/>
        <v>1</v>
      </c>
      <c r="ER38" s="207">
        <f t="shared" si="79"/>
        <v>4.5</v>
      </c>
      <c r="ES38" s="208">
        <f t="shared" si="80"/>
        <v>55.5</v>
      </c>
      <c r="ET38" s="205">
        <f t="shared" si="81"/>
        <v>25.543427083333334</v>
      </c>
      <c r="EU38" s="206" t="str">
        <f t="shared" si="82"/>
        <v>(2.37)</v>
      </c>
      <c r="EV38" s="207">
        <v>2</v>
      </c>
      <c r="EW38" s="207">
        <f t="shared" si="83"/>
        <v>3.5</v>
      </c>
      <c r="EX38" s="207">
        <v>0</v>
      </c>
      <c r="EY38" s="207">
        <f t="shared" si="84"/>
        <v>0</v>
      </c>
      <c r="EZ38" s="207">
        <v>1</v>
      </c>
      <c r="FA38" s="207">
        <f t="shared" si="85"/>
        <v>1</v>
      </c>
      <c r="FB38" s="207">
        <f t="shared" si="86"/>
        <v>4.5</v>
      </c>
      <c r="FC38" s="208">
        <f t="shared" si="87"/>
        <v>61.5</v>
      </c>
      <c r="FD38" s="205">
        <f t="shared" si="88"/>
        <v>28.45080902777778</v>
      </c>
      <c r="FE38" s="206" t="str">
        <f t="shared" si="89"/>
        <v>(2.64)</v>
      </c>
      <c r="FF38" s="207">
        <v>2</v>
      </c>
      <c r="FG38" s="207">
        <f t="shared" si="90"/>
        <v>3.5</v>
      </c>
      <c r="FH38" s="469">
        <v>0</v>
      </c>
      <c r="FI38" s="207">
        <f t="shared" si="91"/>
        <v>0</v>
      </c>
      <c r="FJ38" s="207">
        <v>0</v>
      </c>
      <c r="FK38" s="207">
        <f t="shared" si="92"/>
        <v>0</v>
      </c>
      <c r="FL38" s="207">
        <f t="shared" si="93"/>
        <v>3.5</v>
      </c>
      <c r="FM38" s="208">
        <f t="shared" si="94"/>
        <v>68.5</v>
      </c>
      <c r="FN38" s="30"/>
      <c r="FO38" s="30"/>
      <c r="FP38" s="31"/>
      <c r="FQ38" s="31"/>
      <c r="FR38" s="31"/>
      <c r="FS38" s="31"/>
      <c r="FT38" s="31"/>
      <c r="FU38" s="31"/>
      <c r="FV38" s="30"/>
      <c r="FW38" s="30"/>
      <c r="FX38" s="30"/>
      <c r="FY38" s="30"/>
      <c r="FZ38" s="30"/>
      <c r="GA38" s="30"/>
      <c r="GB38" s="30"/>
      <c r="GC38" s="30"/>
      <c r="GD38" s="30"/>
      <c r="GE38" s="30"/>
      <c r="GF38" s="30"/>
      <c r="GG38" s="30"/>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24">
        <f t="shared" si="151"/>
        <v>20</v>
      </c>
      <c r="IR38" s="25">
        <v>2.5</v>
      </c>
      <c r="IS38" s="25">
        <v>2.8780000000000001</v>
      </c>
      <c r="IT38" s="25">
        <v>2.6269999999999998</v>
      </c>
      <c r="IU38" s="25">
        <v>1.75</v>
      </c>
      <c r="IV38" s="25">
        <v>1</v>
      </c>
      <c r="IW38" s="25">
        <v>1.125</v>
      </c>
      <c r="IX38" s="7"/>
    </row>
    <row r="39" spans="2:258"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3"/>
      <c r="AU39" s="26">
        <f t="shared" si="152"/>
        <v>114</v>
      </c>
      <c r="AV39" s="27" t="str">
        <f t="shared" si="10"/>
        <v>(2900)</v>
      </c>
      <c r="AW39" s="18"/>
      <c r="AX39" s="19">
        <f t="shared" si="11"/>
        <v>2.3838298611111113</v>
      </c>
      <c r="AY39" s="20" t="str">
        <f t="shared" si="12"/>
        <v>(0.22)</v>
      </c>
      <c r="AZ39" s="21">
        <v>2</v>
      </c>
      <c r="BA39" s="21">
        <f t="shared" si="13"/>
        <v>3.5</v>
      </c>
      <c r="BB39" s="21">
        <v>0</v>
      </c>
      <c r="BC39" s="21">
        <f t="shared" si="14"/>
        <v>0</v>
      </c>
      <c r="BD39" s="21">
        <v>0</v>
      </c>
      <c r="BE39" s="21">
        <f t="shared" si="15"/>
        <v>0</v>
      </c>
      <c r="BF39" s="21">
        <f t="shared" si="16"/>
        <v>3.5</v>
      </c>
      <c r="BG39" s="22">
        <f t="shared" si="17"/>
        <v>5.5</v>
      </c>
      <c r="BH39" s="205">
        <f t="shared" si="18"/>
        <v>3.6841006944444441</v>
      </c>
      <c r="BI39" s="206" t="str">
        <f t="shared" si="19"/>
        <v>(0.34)</v>
      </c>
      <c r="BJ39" s="207">
        <v>2</v>
      </c>
      <c r="BK39" s="207">
        <f t="shared" si="20"/>
        <v>3.5</v>
      </c>
      <c r="BL39" s="207">
        <v>0</v>
      </c>
      <c r="BM39" s="207">
        <f t="shared" si="21"/>
        <v>0</v>
      </c>
      <c r="BN39" s="207">
        <v>0</v>
      </c>
      <c r="BO39" s="207">
        <f t="shared" si="22"/>
        <v>0</v>
      </c>
      <c r="BP39" s="207">
        <f t="shared" si="23"/>
        <v>3.5</v>
      </c>
      <c r="BQ39" s="208">
        <f t="shared" si="24"/>
        <v>8.5</v>
      </c>
      <c r="BR39" s="205">
        <f t="shared" si="25"/>
        <v>6.2846423611111115</v>
      </c>
      <c r="BS39" s="206" t="str">
        <f t="shared" si="26"/>
        <v>(0.58)</v>
      </c>
      <c r="BT39" s="207">
        <v>2</v>
      </c>
      <c r="BU39" s="207">
        <f t="shared" si="27"/>
        <v>3.5</v>
      </c>
      <c r="BV39" s="207">
        <v>0</v>
      </c>
      <c r="BW39" s="207">
        <f t="shared" si="28"/>
        <v>0</v>
      </c>
      <c r="BX39" s="207">
        <v>0</v>
      </c>
      <c r="BY39" s="207">
        <f t="shared" si="29"/>
        <v>0</v>
      </c>
      <c r="BZ39" s="207">
        <f t="shared" si="30"/>
        <v>3.5</v>
      </c>
      <c r="CA39" s="208">
        <f t="shared" si="31"/>
        <v>14.5</v>
      </c>
      <c r="CB39" s="205">
        <f t="shared" si="32"/>
        <v>8.8851840277777772</v>
      </c>
      <c r="CC39" s="206" t="str">
        <f t="shared" si="33"/>
        <v>(0.83)</v>
      </c>
      <c r="CD39" s="207">
        <v>2</v>
      </c>
      <c r="CE39" s="207">
        <f t="shared" si="34"/>
        <v>3.5</v>
      </c>
      <c r="CF39" s="207">
        <v>0</v>
      </c>
      <c r="CG39" s="207">
        <f t="shared" si="35"/>
        <v>0</v>
      </c>
      <c r="CH39" s="207">
        <v>0</v>
      </c>
      <c r="CI39" s="207">
        <f t="shared" si="36"/>
        <v>0</v>
      </c>
      <c r="CJ39" s="207">
        <f t="shared" si="37"/>
        <v>3.5</v>
      </c>
      <c r="CK39" s="208">
        <f t="shared" si="38"/>
        <v>20.5</v>
      </c>
      <c r="CL39" s="205">
        <f t="shared" si="39"/>
        <v>11.485725694444445</v>
      </c>
      <c r="CM39" s="206" t="str">
        <f t="shared" si="40"/>
        <v>(1.07)</v>
      </c>
      <c r="CN39" s="207">
        <v>2</v>
      </c>
      <c r="CO39" s="207">
        <f t="shared" si="41"/>
        <v>3.5</v>
      </c>
      <c r="CP39" s="207">
        <v>0</v>
      </c>
      <c r="CQ39" s="207">
        <f t="shared" si="42"/>
        <v>0</v>
      </c>
      <c r="CR39" s="207">
        <v>0</v>
      </c>
      <c r="CS39" s="207">
        <f t="shared" si="43"/>
        <v>0</v>
      </c>
      <c r="CT39" s="207">
        <f t="shared" si="44"/>
        <v>3.5</v>
      </c>
      <c r="CU39" s="208">
        <f t="shared" si="45"/>
        <v>26.5</v>
      </c>
      <c r="CV39" s="205">
        <f t="shared" si="46"/>
        <v>14.086267361111112</v>
      </c>
      <c r="CW39" s="206" t="str">
        <f t="shared" si="47"/>
        <v>(1.31)</v>
      </c>
      <c r="CX39" s="207">
        <v>2</v>
      </c>
      <c r="CY39" s="207">
        <f t="shared" si="48"/>
        <v>3.5</v>
      </c>
      <c r="CZ39" s="207">
        <v>0</v>
      </c>
      <c r="DA39" s="207">
        <f t="shared" si="49"/>
        <v>0</v>
      </c>
      <c r="DB39" s="207">
        <v>0</v>
      </c>
      <c r="DC39" s="207">
        <f t="shared" si="50"/>
        <v>0</v>
      </c>
      <c r="DD39" s="207">
        <f t="shared" si="51"/>
        <v>3.5</v>
      </c>
      <c r="DE39" s="208">
        <f t="shared" si="52"/>
        <v>32.5</v>
      </c>
      <c r="DF39" s="205">
        <f t="shared" si="53"/>
        <v>16.68680902777778</v>
      </c>
      <c r="DG39" s="206" t="str">
        <f t="shared" si="54"/>
        <v>(1.55)</v>
      </c>
      <c r="DH39" s="207">
        <v>2</v>
      </c>
      <c r="DI39" s="207">
        <f t="shared" si="55"/>
        <v>3.5</v>
      </c>
      <c r="DJ39" s="207">
        <v>0</v>
      </c>
      <c r="DK39" s="207">
        <f t="shared" si="56"/>
        <v>0</v>
      </c>
      <c r="DL39" s="207">
        <v>0</v>
      </c>
      <c r="DM39" s="207">
        <f t="shared" si="57"/>
        <v>0</v>
      </c>
      <c r="DN39" s="207">
        <f t="shared" si="58"/>
        <v>3.5</v>
      </c>
      <c r="DO39" s="208">
        <f t="shared" si="59"/>
        <v>38.5</v>
      </c>
      <c r="DP39" s="205">
        <f t="shared" si="60"/>
        <v>19.287350694444445</v>
      </c>
      <c r="DQ39" s="206" t="str">
        <f t="shared" si="61"/>
        <v>(1.79)</v>
      </c>
      <c r="DR39" s="207">
        <v>2</v>
      </c>
      <c r="DS39" s="207">
        <f t="shared" si="62"/>
        <v>3.5</v>
      </c>
      <c r="DT39" s="207">
        <v>0</v>
      </c>
      <c r="DU39" s="207">
        <f t="shared" si="63"/>
        <v>0</v>
      </c>
      <c r="DV39" s="207">
        <v>0</v>
      </c>
      <c r="DW39" s="207">
        <f t="shared" si="64"/>
        <v>0</v>
      </c>
      <c r="DX39" s="207">
        <f t="shared" si="65"/>
        <v>3.5</v>
      </c>
      <c r="DY39" s="208">
        <f t="shared" si="66"/>
        <v>44.5</v>
      </c>
      <c r="DZ39" s="205">
        <f t="shared" si="67"/>
        <v>21.454468750000004</v>
      </c>
      <c r="EA39" s="206" t="str">
        <f t="shared" si="68"/>
        <v>(1.99)</v>
      </c>
      <c r="EB39" s="207">
        <v>2</v>
      </c>
      <c r="EC39" s="207">
        <f t="shared" si="69"/>
        <v>3.5</v>
      </c>
      <c r="ED39" s="207">
        <v>0</v>
      </c>
      <c r="EE39" s="207">
        <f t="shared" si="70"/>
        <v>0</v>
      </c>
      <c r="EF39" s="207">
        <v>1</v>
      </c>
      <c r="EG39" s="207">
        <f t="shared" si="71"/>
        <v>1</v>
      </c>
      <c r="EH39" s="207">
        <f t="shared" si="72"/>
        <v>4.5</v>
      </c>
      <c r="EI39" s="208">
        <f t="shared" si="73"/>
        <v>49.5</v>
      </c>
      <c r="EJ39" s="205">
        <f t="shared" si="74"/>
        <v>24.055010416666669</v>
      </c>
      <c r="EK39" s="206" t="str">
        <f t="shared" si="75"/>
        <v>(2.23)</v>
      </c>
      <c r="EL39" s="207">
        <v>2</v>
      </c>
      <c r="EM39" s="207">
        <f t="shared" si="76"/>
        <v>3.5</v>
      </c>
      <c r="EN39" s="207">
        <v>0</v>
      </c>
      <c r="EO39" s="207">
        <f t="shared" si="77"/>
        <v>0</v>
      </c>
      <c r="EP39" s="207">
        <v>1</v>
      </c>
      <c r="EQ39" s="207">
        <f t="shared" si="78"/>
        <v>1</v>
      </c>
      <c r="ER39" s="207">
        <f t="shared" si="79"/>
        <v>4.5</v>
      </c>
      <c r="ES39" s="208">
        <f t="shared" si="80"/>
        <v>55.5</v>
      </c>
      <c r="ET39" s="205">
        <f t="shared" si="81"/>
        <v>26.655552083333337</v>
      </c>
      <c r="EU39" s="206" t="str">
        <f t="shared" si="82"/>
        <v>(2.48)</v>
      </c>
      <c r="EV39" s="207">
        <v>2</v>
      </c>
      <c r="EW39" s="207">
        <f t="shared" si="83"/>
        <v>3.5</v>
      </c>
      <c r="EX39" s="207">
        <v>0</v>
      </c>
      <c r="EY39" s="207">
        <f t="shared" si="84"/>
        <v>0</v>
      </c>
      <c r="EZ39" s="207">
        <v>1</v>
      </c>
      <c r="FA39" s="207">
        <f t="shared" si="85"/>
        <v>1</v>
      </c>
      <c r="FB39" s="207">
        <f t="shared" si="86"/>
        <v>4.5</v>
      </c>
      <c r="FC39" s="208">
        <f t="shared" si="87"/>
        <v>61.5</v>
      </c>
      <c r="FD39" s="205">
        <f t="shared" si="88"/>
        <v>29.689517361111111</v>
      </c>
      <c r="FE39" s="206" t="str">
        <f t="shared" si="89"/>
        <v>(2.76)</v>
      </c>
      <c r="FF39" s="207">
        <v>2</v>
      </c>
      <c r="FG39" s="207">
        <f t="shared" si="90"/>
        <v>3.5</v>
      </c>
      <c r="FH39" s="469">
        <v>0</v>
      </c>
      <c r="FI39" s="207">
        <f t="shared" si="91"/>
        <v>0</v>
      </c>
      <c r="FJ39" s="207">
        <v>0</v>
      </c>
      <c r="FK39" s="207">
        <f t="shared" si="92"/>
        <v>0</v>
      </c>
      <c r="FL39" s="207">
        <f t="shared" si="93"/>
        <v>3.5</v>
      </c>
      <c r="FM39" s="208">
        <f t="shared" si="94"/>
        <v>68.5</v>
      </c>
      <c r="FN39" s="30"/>
      <c r="FO39" s="30"/>
      <c r="FP39" s="31"/>
      <c r="FQ39" s="31"/>
      <c r="FR39" s="31"/>
      <c r="FS39" s="31"/>
      <c r="FT39" s="31"/>
      <c r="FU39" s="31"/>
      <c r="FV39" s="5"/>
      <c r="FW39" s="5"/>
      <c r="FX39" s="5"/>
      <c r="FY39" s="5"/>
      <c r="FZ39" s="5"/>
      <c r="GA39" s="5"/>
      <c r="GB39" s="5"/>
      <c r="GC39" s="5"/>
      <c r="GD39" s="5"/>
      <c r="GE39" s="5"/>
      <c r="GF39" s="5"/>
      <c r="GG39" s="5"/>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1"/>
      <c r="IK39" s="31"/>
      <c r="IL39" s="31"/>
      <c r="IM39" s="31"/>
      <c r="IN39" s="32"/>
      <c r="IO39" s="32"/>
      <c r="IP39" s="32"/>
      <c r="IQ39" s="24">
        <f t="shared" si="151"/>
        <v>21</v>
      </c>
      <c r="IR39" s="25">
        <v>2.5</v>
      </c>
      <c r="IS39" s="25">
        <v>2.8780000000000001</v>
      </c>
      <c r="IT39" s="25">
        <v>2.3530000000000002</v>
      </c>
      <c r="IU39" s="25">
        <v>1.75</v>
      </c>
      <c r="IV39" s="25">
        <v>1</v>
      </c>
      <c r="IW39" s="25">
        <v>1.125</v>
      </c>
      <c r="IX39" s="7"/>
    </row>
    <row r="40" spans="2:25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3"/>
      <c r="AU40" s="26">
        <f t="shared" si="152"/>
        <v>120</v>
      </c>
      <c r="AV40" s="27" t="str">
        <f t="shared" si="10"/>
        <v>(3050)</v>
      </c>
      <c r="AW40" s="18"/>
      <c r="AX40" s="19">
        <f t="shared" si="11"/>
        <v>2.6261354166666666</v>
      </c>
      <c r="AY40" s="28" t="str">
        <f t="shared" si="12"/>
        <v>(0.24)</v>
      </c>
      <c r="AZ40" s="21">
        <v>2</v>
      </c>
      <c r="BA40" s="21">
        <f t="shared" si="13"/>
        <v>3.5</v>
      </c>
      <c r="BB40" s="29">
        <v>0</v>
      </c>
      <c r="BC40" s="21">
        <f t="shared" si="14"/>
        <v>0</v>
      </c>
      <c r="BD40" s="29">
        <v>0</v>
      </c>
      <c r="BE40" s="21">
        <f t="shared" si="15"/>
        <v>0</v>
      </c>
      <c r="BF40" s="21">
        <f t="shared" si="16"/>
        <v>3.5</v>
      </c>
      <c r="BG40" s="22">
        <f t="shared" si="17"/>
        <v>5.5</v>
      </c>
      <c r="BH40" s="205">
        <f t="shared" si="18"/>
        <v>4.0585729166666669</v>
      </c>
      <c r="BI40" s="206" t="str">
        <f t="shared" si="19"/>
        <v>(0.38)</v>
      </c>
      <c r="BJ40" s="207">
        <v>2</v>
      </c>
      <c r="BK40" s="207">
        <f t="shared" si="20"/>
        <v>3.5</v>
      </c>
      <c r="BL40" s="207">
        <v>0</v>
      </c>
      <c r="BM40" s="207">
        <f t="shared" si="21"/>
        <v>0</v>
      </c>
      <c r="BN40" s="207">
        <v>0</v>
      </c>
      <c r="BO40" s="207">
        <f t="shared" si="22"/>
        <v>0</v>
      </c>
      <c r="BP40" s="207">
        <f t="shared" si="23"/>
        <v>3.5</v>
      </c>
      <c r="BQ40" s="208">
        <f t="shared" si="24"/>
        <v>8.5</v>
      </c>
      <c r="BR40" s="205">
        <f t="shared" si="25"/>
        <v>6.9234479166666674</v>
      </c>
      <c r="BS40" s="206" t="str">
        <f t="shared" si="26"/>
        <v>(0.64)</v>
      </c>
      <c r="BT40" s="207">
        <v>2</v>
      </c>
      <c r="BU40" s="207">
        <f t="shared" si="27"/>
        <v>3.5</v>
      </c>
      <c r="BV40" s="207">
        <v>0</v>
      </c>
      <c r="BW40" s="207">
        <f t="shared" si="28"/>
        <v>0</v>
      </c>
      <c r="BX40" s="207">
        <v>0</v>
      </c>
      <c r="BY40" s="207">
        <f t="shared" si="29"/>
        <v>0</v>
      </c>
      <c r="BZ40" s="207">
        <f t="shared" si="30"/>
        <v>3.5</v>
      </c>
      <c r="CA40" s="208">
        <f t="shared" si="31"/>
        <v>14.5</v>
      </c>
      <c r="CB40" s="205">
        <f t="shared" si="32"/>
        <v>9.788322916666667</v>
      </c>
      <c r="CC40" s="206" t="str">
        <f t="shared" si="33"/>
        <v>(0.91)</v>
      </c>
      <c r="CD40" s="207">
        <v>2</v>
      </c>
      <c r="CE40" s="207">
        <f t="shared" si="34"/>
        <v>3.5</v>
      </c>
      <c r="CF40" s="207">
        <v>0</v>
      </c>
      <c r="CG40" s="207">
        <f t="shared" si="35"/>
        <v>0</v>
      </c>
      <c r="CH40" s="207">
        <v>0</v>
      </c>
      <c r="CI40" s="207">
        <f t="shared" si="36"/>
        <v>0</v>
      </c>
      <c r="CJ40" s="207">
        <f t="shared" si="37"/>
        <v>3.5</v>
      </c>
      <c r="CK40" s="208">
        <f t="shared" si="38"/>
        <v>20.5</v>
      </c>
      <c r="CL40" s="205">
        <f t="shared" si="39"/>
        <v>12.653197916666667</v>
      </c>
      <c r="CM40" s="206" t="str">
        <f t="shared" si="40"/>
        <v>(1.18)</v>
      </c>
      <c r="CN40" s="207">
        <v>2</v>
      </c>
      <c r="CO40" s="207">
        <f t="shared" si="41"/>
        <v>3.5</v>
      </c>
      <c r="CP40" s="207">
        <v>0</v>
      </c>
      <c r="CQ40" s="207">
        <f t="shared" si="42"/>
        <v>0</v>
      </c>
      <c r="CR40" s="207">
        <v>0</v>
      </c>
      <c r="CS40" s="207">
        <f t="shared" si="43"/>
        <v>0</v>
      </c>
      <c r="CT40" s="207">
        <f t="shared" si="44"/>
        <v>3.5</v>
      </c>
      <c r="CU40" s="208">
        <f t="shared" si="45"/>
        <v>26.5</v>
      </c>
      <c r="CV40" s="205">
        <f t="shared" si="46"/>
        <v>15.518072916666666</v>
      </c>
      <c r="CW40" s="206" t="str">
        <f t="shared" si="47"/>
        <v>(1.44)</v>
      </c>
      <c r="CX40" s="207">
        <v>2</v>
      </c>
      <c r="CY40" s="207">
        <f t="shared" si="48"/>
        <v>3.5</v>
      </c>
      <c r="CZ40" s="207">
        <v>0</v>
      </c>
      <c r="DA40" s="207">
        <f t="shared" si="49"/>
        <v>0</v>
      </c>
      <c r="DB40" s="207">
        <v>0</v>
      </c>
      <c r="DC40" s="207">
        <f t="shared" si="50"/>
        <v>0</v>
      </c>
      <c r="DD40" s="207">
        <f t="shared" si="51"/>
        <v>3.5</v>
      </c>
      <c r="DE40" s="208">
        <f t="shared" si="52"/>
        <v>32.5</v>
      </c>
      <c r="DF40" s="205">
        <f t="shared" si="53"/>
        <v>18.382947916666669</v>
      </c>
      <c r="DG40" s="206" t="str">
        <f t="shared" si="54"/>
        <v>(1.71)</v>
      </c>
      <c r="DH40" s="207">
        <v>2</v>
      </c>
      <c r="DI40" s="207">
        <f t="shared" si="55"/>
        <v>3.5</v>
      </c>
      <c r="DJ40" s="207">
        <v>0</v>
      </c>
      <c r="DK40" s="207">
        <f t="shared" si="56"/>
        <v>0</v>
      </c>
      <c r="DL40" s="207">
        <v>0</v>
      </c>
      <c r="DM40" s="207">
        <f t="shared" si="57"/>
        <v>0</v>
      </c>
      <c r="DN40" s="207">
        <f t="shared" si="58"/>
        <v>3.5</v>
      </c>
      <c r="DO40" s="208">
        <f t="shared" si="59"/>
        <v>38.5</v>
      </c>
      <c r="DP40" s="205">
        <f t="shared" si="60"/>
        <v>21.247822916666667</v>
      </c>
      <c r="DQ40" s="206" t="str">
        <f t="shared" si="61"/>
        <v>(1.97)</v>
      </c>
      <c r="DR40" s="207">
        <v>2</v>
      </c>
      <c r="DS40" s="207">
        <f t="shared" si="62"/>
        <v>3.5</v>
      </c>
      <c r="DT40" s="207">
        <v>0</v>
      </c>
      <c r="DU40" s="207">
        <f t="shared" si="63"/>
        <v>0</v>
      </c>
      <c r="DV40" s="207">
        <v>0</v>
      </c>
      <c r="DW40" s="207">
        <f t="shared" si="64"/>
        <v>0</v>
      </c>
      <c r="DX40" s="207">
        <f t="shared" si="65"/>
        <v>3.5</v>
      </c>
      <c r="DY40" s="208">
        <f t="shared" si="66"/>
        <v>44.5</v>
      </c>
      <c r="DZ40" s="205">
        <f t="shared" si="67"/>
        <v>23.63521875</v>
      </c>
      <c r="EA40" s="206" t="str">
        <f t="shared" si="68"/>
        <v>(2.20)</v>
      </c>
      <c r="EB40" s="207">
        <v>2</v>
      </c>
      <c r="EC40" s="207">
        <f t="shared" si="69"/>
        <v>3.5</v>
      </c>
      <c r="ED40" s="207">
        <v>0</v>
      </c>
      <c r="EE40" s="207">
        <f t="shared" si="70"/>
        <v>0</v>
      </c>
      <c r="EF40" s="207">
        <v>1</v>
      </c>
      <c r="EG40" s="207">
        <f t="shared" si="71"/>
        <v>1</v>
      </c>
      <c r="EH40" s="207">
        <f t="shared" si="72"/>
        <v>4.5</v>
      </c>
      <c r="EI40" s="208">
        <f t="shared" si="73"/>
        <v>49.5</v>
      </c>
      <c r="EJ40" s="205">
        <f t="shared" si="74"/>
        <v>26.500093750000005</v>
      </c>
      <c r="EK40" s="206" t="str">
        <f t="shared" si="75"/>
        <v>(2.46)</v>
      </c>
      <c r="EL40" s="207">
        <v>2</v>
      </c>
      <c r="EM40" s="207">
        <f t="shared" si="76"/>
        <v>3.5</v>
      </c>
      <c r="EN40" s="207">
        <v>0</v>
      </c>
      <c r="EO40" s="207">
        <f t="shared" si="77"/>
        <v>0</v>
      </c>
      <c r="EP40" s="207">
        <v>1</v>
      </c>
      <c r="EQ40" s="207">
        <f t="shared" si="78"/>
        <v>1</v>
      </c>
      <c r="ER40" s="207">
        <f t="shared" si="79"/>
        <v>4.5</v>
      </c>
      <c r="ES40" s="208">
        <f t="shared" si="80"/>
        <v>55.5</v>
      </c>
      <c r="ET40" s="205">
        <f t="shared" si="81"/>
        <v>29.364968750000003</v>
      </c>
      <c r="EU40" s="206" t="str">
        <f t="shared" si="82"/>
        <v>(2.73)</v>
      </c>
      <c r="EV40" s="207">
        <v>2</v>
      </c>
      <c r="EW40" s="207">
        <f t="shared" si="83"/>
        <v>3.5</v>
      </c>
      <c r="EX40" s="207">
        <v>0</v>
      </c>
      <c r="EY40" s="207">
        <f t="shared" si="84"/>
        <v>0</v>
      </c>
      <c r="EZ40" s="207">
        <v>1</v>
      </c>
      <c r="FA40" s="207">
        <f t="shared" si="85"/>
        <v>1</v>
      </c>
      <c r="FB40" s="207">
        <f t="shared" si="86"/>
        <v>4.5</v>
      </c>
      <c r="FC40" s="208">
        <f t="shared" si="87"/>
        <v>61.5</v>
      </c>
      <c r="FD40" s="205">
        <f t="shared" si="88"/>
        <v>32.707322916666669</v>
      </c>
      <c r="FE40" s="206" t="str">
        <f t="shared" si="89"/>
        <v>(3.04)</v>
      </c>
      <c r="FF40" s="207">
        <v>2</v>
      </c>
      <c r="FG40" s="207">
        <f t="shared" si="90"/>
        <v>3.5</v>
      </c>
      <c r="FH40" s="469">
        <v>0</v>
      </c>
      <c r="FI40" s="207">
        <f t="shared" si="91"/>
        <v>0</v>
      </c>
      <c r="FJ40" s="207">
        <v>0</v>
      </c>
      <c r="FK40" s="207">
        <f t="shared" si="92"/>
        <v>0</v>
      </c>
      <c r="FL40" s="207">
        <f t="shared" si="93"/>
        <v>3.5</v>
      </c>
      <c r="FM40" s="208">
        <f t="shared" si="94"/>
        <v>68.5</v>
      </c>
      <c r="FN40" s="30"/>
      <c r="FO40" s="30"/>
      <c r="FP40" s="31"/>
      <c r="FQ40" s="31"/>
      <c r="FR40" s="31"/>
      <c r="FS40" s="31"/>
      <c r="FT40" s="31"/>
      <c r="FU40" s="31"/>
      <c r="FV40" s="30"/>
      <c r="FW40" s="30"/>
      <c r="FX40" s="30"/>
      <c r="FY40" s="30"/>
      <c r="FZ40" s="30"/>
      <c r="GA40" s="30"/>
      <c r="GB40" s="30"/>
      <c r="GC40" s="30"/>
      <c r="GD40" s="30"/>
      <c r="GE40" s="30"/>
      <c r="GF40" s="30"/>
      <c r="GG40" s="30"/>
      <c r="GH40" s="30"/>
      <c r="GI40" s="30"/>
      <c r="GJ40" s="31"/>
      <c r="GK40" s="31"/>
      <c r="GL40" s="31"/>
      <c r="GM40" s="31"/>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1"/>
      <c r="HO40" s="31"/>
      <c r="HP40" s="31"/>
      <c r="HQ40" s="31"/>
      <c r="HR40" s="31"/>
      <c r="HS40" s="31"/>
      <c r="HT40" s="31"/>
      <c r="HU40" s="31"/>
      <c r="HV40" s="31"/>
      <c r="HW40" s="31"/>
      <c r="HX40" s="31"/>
      <c r="HY40" s="31"/>
      <c r="HZ40" s="31"/>
      <c r="IA40" s="31"/>
      <c r="IB40" s="31"/>
      <c r="IC40" s="31"/>
      <c r="ID40" s="31"/>
      <c r="IE40" s="31"/>
      <c r="IF40" s="30"/>
      <c r="IG40" s="30"/>
      <c r="IH40" s="31"/>
      <c r="II40" s="31"/>
      <c r="IJ40" s="33"/>
      <c r="IK40" s="31"/>
      <c r="IL40" s="31"/>
      <c r="IM40" s="31"/>
      <c r="IN40" s="32"/>
      <c r="IO40" s="32"/>
      <c r="IP40" s="32"/>
      <c r="IQ40" s="24">
        <f t="shared" si="151"/>
        <v>23</v>
      </c>
      <c r="IR40" s="25">
        <v>2.5</v>
      </c>
      <c r="IS40" s="25">
        <v>2.8780000000000001</v>
      </c>
      <c r="IT40" s="25">
        <f>0.458+2.483</f>
        <v>2.9410000000000003</v>
      </c>
      <c r="IU40" s="25">
        <v>1.75</v>
      </c>
      <c r="IV40" s="25">
        <v>1</v>
      </c>
      <c r="IW40" s="25">
        <v>1.125</v>
      </c>
      <c r="IX40" s="7"/>
    </row>
    <row r="41" spans="2:258" ht="15.75" thickBot="1" x14ac:dyDescent="0.3">
      <c r="B41" s="2"/>
      <c r="C41" s="2"/>
      <c r="D41" s="2"/>
      <c r="E41" s="2"/>
      <c r="F41" s="2"/>
      <c r="G41" s="2"/>
      <c r="H41" s="2"/>
      <c r="I41" s="2"/>
      <c r="J41" s="2"/>
      <c r="K41" s="2"/>
      <c r="L41" s="2"/>
      <c r="M41" s="2"/>
      <c r="N41" s="2"/>
      <c r="O41" s="2"/>
      <c r="P41" s="2"/>
      <c r="Q41" s="2"/>
      <c r="R41" s="2"/>
      <c r="S41" s="2"/>
      <c r="T41" s="2"/>
      <c r="U41" s="2"/>
      <c r="V41" s="2"/>
      <c r="W41" s="2"/>
      <c r="X41" s="2"/>
      <c r="AT41" s="34"/>
      <c r="AU41" s="35"/>
      <c r="AV41" s="35"/>
      <c r="AW41" s="35"/>
      <c r="AX41" s="35"/>
      <c r="AY41" s="35"/>
      <c r="AZ41" s="35"/>
      <c r="BA41" s="35"/>
      <c r="BB41" s="35"/>
      <c r="BC41" s="35"/>
      <c r="BD41" s="35"/>
      <c r="BE41" s="35"/>
      <c r="BF41" s="35"/>
      <c r="BG41" s="35"/>
      <c r="BH41" s="36"/>
      <c r="BI41" s="37"/>
      <c r="BJ41" s="37"/>
      <c r="BK41" s="37"/>
      <c r="BL41" s="37"/>
      <c r="BM41" s="37"/>
      <c r="BN41" s="37"/>
      <c r="BO41" s="37"/>
      <c r="BP41" s="37"/>
      <c r="BQ41" s="37"/>
      <c r="BR41" s="36"/>
      <c r="BS41" s="37"/>
      <c r="BT41" s="37"/>
      <c r="BU41" s="37"/>
      <c r="BV41" s="37"/>
      <c r="BW41" s="37"/>
      <c r="BX41" s="37"/>
      <c r="BY41" s="37"/>
      <c r="BZ41" s="37"/>
      <c r="CA41" s="37"/>
      <c r="CB41" s="36"/>
      <c r="CC41" s="37"/>
      <c r="CD41" s="37"/>
      <c r="CE41" s="37"/>
      <c r="CF41" s="37"/>
      <c r="CG41" s="37"/>
      <c r="CH41" s="37"/>
      <c r="CI41" s="37"/>
      <c r="CJ41" s="37"/>
      <c r="CK41" s="37"/>
      <c r="CL41" s="36"/>
      <c r="CM41" s="37"/>
      <c r="CN41" s="37"/>
      <c r="CO41" s="37"/>
      <c r="CP41" s="37"/>
      <c r="CQ41" s="37"/>
      <c r="CR41" s="37"/>
      <c r="CS41" s="37"/>
      <c r="CT41" s="37"/>
      <c r="CU41" s="37"/>
      <c r="CV41" s="36"/>
      <c r="CW41" s="37"/>
      <c r="CX41" s="37"/>
      <c r="CY41" s="37"/>
      <c r="CZ41" s="37"/>
      <c r="DA41" s="37"/>
      <c r="DB41" s="37"/>
      <c r="DC41" s="37"/>
      <c r="DD41" s="37"/>
      <c r="DE41" s="37"/>
      <c r="DF41" s="36"/>
      <c r="DG41" s="37"/>
      <c r="DH41" s="37"/>
      <c r="DI41" s="37"/>
      <c r="DJ41" s="37"/>
      <c r="DK41" s="37"/>
      <c r="DL41" s="37"/>
      <c r="DM41" s="37"/>
      <c r="DN41" s="37"/>
      <c r="DO41" s="37"/>
      <c r="DP41" s="36"/>
      <c r="DQ41" s="37"/>
      <c r="DR41" s="37"/>
      <c r="DS41" s="37"/>
      <c r="DT41" s="37"/>
      <c r="DU41" s="37"/>
      <c r="DV41" s="37"/>
      <c r="DW41" s="37"/>
      <c r="DX41" s="37"/>
      <c r="DY41" s="37"/>
      <c r="DZ41" s="36"/>
      <c r="EA41" s="37"/>
      <c r="EB41" s="37"/>
      <c r="EC41" s="37"/>
      <c r="ED41" s="37"/>
      <c r="EE41" s="37"/>
      <c r="EF41" s="37"/>
      <c r="EG41" s="37"/>
      <c r="EH41" s="37"/>
      <c r="EI41" s="37"/>
      <c r="EJ41" s="36"/>
      <c r="EK41" s="37"/>
      <c r="EL41" s="37"/>
      <c r="EM41" s="37"/>
      <c r="EN41" s="37"/>
      <c r="EO41" s="37"/>
      <c r="EP41" s="37"/>
      <c r="EQ41" s="37"/>
      <c r="ER41" s="37"/>
      <c r="ES41" s="37"/>
      <c r="ET41" s="36"/>
      <c r="EU41" s="37"/>
      <c r="EV41" s="37"/>
      <c r="EW41" s="37"/>
      <c r="EX41" s="37"/>
      <c r="EY41" s="37"/>
      <c r="EZ41" s="37"/>
      <c r="FA41" s="37"/>
      <c r="FB41" s="37"/>
      <c r="FC41" s="37"/>
      <c r="FD41" s="36"/>
      <c r="FE41" s="37"/>
      <c r="FF41" s="37"/>
      <c r="FG41" s="37"/>
      <c r="FH41" s="37"/>
      <c r="FI41" s="37"/>
      <c r="FJ41" s="37"/>
      <c r="FK41" s="37"/>
      <c r="FL41" s="37"/>
      <c r="FM41" s="37"/>
      <c r="FN41" s="36"/>
      <c r="FO41" s="37"/>
      <c r="FP41" s="37"/>
      <c r="FQ41" s="37"/>
      <c r="FR41" s="37"/>
      <c r="FS41" s="37"/>
      <c r="FT41" s="37"/>
      <c r="FU41" s="37"/>
      <c r="FV41" s="161"/>
      <c r="FW41" s="161"/>
      <c r="FX41" s="161"/>
      <c r="FY41" s="161"/>
      <c r="FZ41" s="161"/>
      <c r="GA41" s="161"/>
      <c r="GB41" s="161"/>
      <c r="GC41" s="161"/>
      <c r="GD41" s="161"/>
      <c r="GE41" s="161"/>
      <c r="GF41" s="161"/>
      <c r="GG41" s="161"/>
      <c r="GH41" s="36"/>
      <c r="GI41" s="37"/>
      <c r="GJ41" s="37"/>
      <c r="GK41" s="37"/>
      <c r="GL41" s="37"/>
      <c r="GM41" s="37"/>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36"/>
      <c r="HM41" s="37"/>
      <c r="HN41" s="37"/>
      <c r="HO41" s="37"/>
      <c r="HP41" s="37"/>
      <c r="HQ41" s="37"/>
      <c r="HR41" s="37"/>
      <c r="HS41" s="37"/>
      <c r="HT41" s="162"/>
      <c r="HU41" s="162"/>
      <c r="HV41" s="162"/>
      <c r="HW41" s="162"/>
      <c r="HX41" s="162"/>
      <c r="HY41" s="162"/>
      <c r="HZ41" s="162"/>
      <c r="IA41" s="162"/>
      <c r="IB41" s="162"/>
      <c r="IC41" s="162"/>
      <c r="ID41" s="162"/>
      <c r="IE41" s="162"/>
      <c r="IF41" s="36"/>
      <c r="IG41" s="37"/>
      <c r="IH41" s="37"/>
      <c r="II41" s="37"/>
      <c r="IJ41" s="37"/>
      <c r="IK41" s="37"/>
      <c r="IL41" s="37"/>
      <c r="IM41" s="37"/>
      <c r="IN41" s="35"/>
      <c r="IO41" s="35"/>
      <c r="IP41" s="35"/>
      <c r="IQ41" s="35"/>
      <c r="IR41" s="35"/>
      <c r="IS41" s="35"/>
      <c r="IT41" s="35"/>
      <c r="IU41" s="35"/>
      <c r="IV41" s="35"/>
      <c r="IW41" s="35"/>
      <c r="IX41" s="38"/>
    </row>
    <row r="42" spans="2:258" ht="16.5" thickTop="1" thickBot="1" x14ac:dyDescent="0.3">
      <c r="B42" s="2"/>
      <c r="C42" s="2"/>
      <c r="D42" s="2"/>
      <c r="E42" s="2"/>
      <c r="F42" s="2"/>
      <c r="G42" s="2"/>
      <c r="H42" s="2"/>
      <c r="I42" s="2"/>
      <c r="J42" s="2"/>
      <c r="K42" s="2"/>
      <c r="L42" s="2"/>
      <c r="M42" s="2"/>
      <c r="N42" s="2"/>
      <c r="O42" s="2"/>
      <c r="P42" s="2"/>
      <c r="Q42" s="2"/>
      <c r="R42" s="2"/>
      <c r="S42" s="2"/>
      <c r="T42" s="2"/>
      <c r="U42" s="2"/>
      <c r="V42" s="2"/>
      <c r="W42" s="2"/>
      <c r="BE42" s="2"/>
    </row>
    <row r="43" spans="2:258" ht="24" thickBot="1" x14ac:dyDescent="0.4">
      <c r="B43" s="166" t="s">
        <v>70</v>
      </c>
      <c r="C43" s="167"/>
      <c r="D43" s="167"/>
      <c r="E43" s="167"/>
      <c r="F43" s="167"/>
      <c r="G43" s="167"/>
      <c r="H43" s="167"/>
      <c r="I43" s="167"/>
      <c r="J43" s="167"/>
      <c r="K43" s="167"/>
      <c r="L43" s="168"/>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BE43" s="2"/>
      <c r="BF43" s="6"/>
      <c r="BG43" s="6"/>
      <c r="BH43" s="6"/>
      <c r="BI43" s="6"/>
      <c r="BJ43" s="6"/>
      <c r="BK43" s="6"/>
      <c r="BL43" s="6"/>
      <c r="BM43" s="6"/>
      <c r="BN43" s="5"/>
      <c r="BO43" s="6"/>
      <c r="BP43" s="6"/>
      <c r="BQ43" s="6"/>
      <c r="BR43" s="6"/>
      <c r="BS43" s="6"/>
      <c r="BT43" s="6"/>
      <c r="BU43" s="6"/>
      <c r="BV43" s="6"/>
      <c r="BW43" s="6"/>
      <c r="BX43" s="5"/>
      <c r="BY43" s="6"/>
      <c r="BZ43" s="6"/>
      <c r="CA43" s="6"/>
      <c r="CB43" s="6"/>
      <c r="CC43" s="6"/>
      <c r="CD43" s="6"/>
      <c r="CE43" s="6"/>
      <c r="CF43" s="6"/>
      <c r="CG43" s="6"/>
      <c r="CH43" s="5"/>
      <c r="CI43" s="6"/>
      <c r="CJ43" s="6"/>
      <c r="CK43" s="6"/>
      <c r="CL43" s="6"/>
      <c r="CM43" s="6"/>
      <c r="CN43" s="6"/>
      <c r="CO43" s="6"/>
      <c r="CP43" s="6"/>
      <c r="CQ43" s="6"/>
      <c r="CR43" s="5"/>
      <c r="CS43" s="6"/>
      <c r="CT43" s="6"/>
      <c r="CU43" s="6"/>
      <c r="CV43" s="6"/>
      <c r="CW43" s="6"/>
      <c r="CX43" s="6"/>
      <c r="CY43" s="6"/>
      <c r="CZ43" s="6"/>
      <c r="DA43" s="6"/>
      <c r="DB43" s="5"/>
      <c r="DC43" s="6"/>
      <c r="DD43" s="6"/>
      <c r="DE43" s="6"/>
      <c r="DF43" s="6"/>
      <c r="DG43" s="6"/>
      <c r="DH43" s="6"/>
      <c r="DI43" s="6"/>
      <c r="DJ43" s="6"/>
      <c r="DK43" s="6"/>
      <c r="DL43" s="5"/>
      <c r="DM43" s="6"/>
      <c r="DN43" s="6"/>
      <c r="DO43" s="6"/>
      <c r="DP43" s="6"/>
      <c r="DQ43" s="6"/>
      <c r="DR43" s="6"/>
      <c r="DS43" s="6"/>
      <c r="DT43" s="6"/>
      <c r="DU43" s="6"/>
      <c r="DV43" s="5"/>
      <c r="DW43" s="6"/>
      <c r="DX43" s="6"/>
      <c r="DY43" s="6"/>
      <c r="DZ43" s="6"/>
      <c r="EA43" s="6"/>
      <c r="EB43" s="6"/>
      <c r="EC43" s="6"/>
      <c r="ED43" s="6"/>
      <c r="EE43" s="6"/>
      <c r="EF43" s="5"/>
      <c r="EG43" s="6"/>
      <c r="EH43" s="6"/>
      <c r="EI43" s="6"/>
      <c r="EJ43" s="6"/>
      <c r="EK43" s="6"/>
      <c r="EL43" s="6"/>
      <c r="EM43" s="6"/>
      <c r="EN43" s="6"/>
      <c r="EO43" s="6"/>
      <c r="EP43" s="5"/>
      <c r="EQ43" s="6"/>
      <c r="ER43" s="6"/>
      <c r="ES43" s="6"/>
      <c r="ET43" s="6"/>
      <c r="EU43" s="6"/>
      <c r="EV43" s="6"/>
      <c r="EW43" s="6"/>
      <c r="EX43" s="6"/>
      <c r="EY43" s="6"/>
      <c r="EZ43" s="5"/>
      <c r="FA43" s="6"/>
      <c r="FB43" s="6"/>
      <c r="FC43" s="6"/>
      <c r="FD43" s="6"/>
      <c r="FE43" s="6"/>
      <c r="FF43" s="6"/>
      <c r="FG43" s="6"/>
      <c r="FH43" s="6"/>
      <c r="FI43" s="6"/>
      <c r="FJ43" s="5"/>
      <c r="FK43" s="6"/>
      <c r="FL43" s="6"/>
      <c r="FM43" s="6"/>
      <c r="FN43" s="6"/>
      <c r="FO43" s="6"/>
      <c r="FP43" s="6"/>
      <c r="FQ43" s="6"/>
      <c r="FR43" s="6"/>
      <c r="FS43" s="6"/>
      <c r="FT43" s="5"/>
      <c r="FU43" s="6"/>
      <c r="FV43" s="6"/>
      <c r="FW43" s="6"/>
      <c r="FX43" s="6"/>
      <c r="FY43" s="6"/>
      <c r="FZ43" s="6"/>
      <c r="GA43" s="6"/>
      <c r="GB43" s="6"/>
      <c r="GC43" s="6"/>
      <c r="GD43" s="5"/>
      <c r="GE43" s="6"/>
      <c r="GF43" s="6"/>
      <c r="GG43" s="6"/>
      <c r="GH43" s="6"/>
      <c r="GI43" s="6"/>
      <c r="GJ43" s="6"/>
      <c r="GK43" s="6"/>
      <c r="GL43" s="6"/>
      <c r="GM43" s="6"/>
      <c r="GN43" s="5"/>
      <c r="GO43" s="6"/>
      <c r="GP43" s="6"/>
      <c r="GQ43" s="6"/>
      <c r="GR43" s="6"/>
      <c r="GS43" s="6"/>
      <c r="GT43" s="6"/>
      <c r="GU43" s="6"/>
      <c r="GV43" s="4"/>
      <c r="GW43" s="4"/>
      <c r="GX43" s="4"/>
      <c r="GY43" s="4"/>
      <c r="GZ43" s="4"/>
      <c r="HA43" s="4"/>
      <c r="HB43" s="4"/>
      <c r="HC43" s="4"/>
      <c r="HD43" s="4"/>
      <c r="HE43" s="4"/>
      <c r="HF43" s="4"/>
    </row>
    <row r="44" spans="2:258" ht="19.5" thickBot="1" x14ac:dyDescent="0.35">
      <c r="B44" s="164" t="s">
        <v>181</v>
      </c>
      <c r="C44" s="111" t="e">
        <f>C10</f>
        <v>#VALUE!</v>
      </c>
      <c r="D44" s="53"/>
      <c r="E44" s="53"/>
      <c r="F44" s="53"/>
      <c r="G44" s="53"/>
      <c r="H44" s="53"/>
      <c r="I44" s="53"/>
      <c r="J44" s="53"/>
      <c r="K44" s="53"/>
      <c r="L44" s="165"/>
      <c r="N44" s="994"/>
      <c r="O44" s="155"/>
      <c r="P44" s="75"/>
      <c r="Q44" s="156">
        <v>9</v>
      </c>
      <c r="R44" s="157">
        <v>12</v>
      </c>
      <c r="S44" s="157">
        <f t="shared" ref="S44:AJ44" si="153">R44+6</f>
        <v>18</v>
      </c>
      <c r="T44" s="157">
        <f t="shared" si="153"/>
        <v>24</v>
      </c>
      <c r="U44" s="157">
        <f t="shared" si="153"/>
        <v>30</v>
      </c>
      <c r="V44" s="157">
        <f t="shared" si="153"/>
        <v>36</v>
      </c>
      <c r="W44" s="157">
        <f t="shared" si="153"/>
        <v>42</v>
      </c>
      <c r="X44" s="158">
        <f t="shared" si="153"/>
        <v>48</v>
      </c>
      <c r="Y44" s="157">
        <f t="shared" si="153"/>
        <v>54</v>
      </c>
      <c r="Z44" s="157">
        <f t="shared" si="153"/>
        <v>60</v>
      </c>
      <c r="AA44" s="157">
        <f t="shared" si="153"/>
        <v>66</v>
      </c>
      <c r="AB44" s="157">
        <f t="shared" si="153"/>
        <v>72</v>
      </c>
      <c r="AC44" s="157">
        <f t="shared" si="153"/>
        <v>78</v>
      </c>
      <c r="AD44" s="158">
        <f t="shared" si="153"/>
        <v>84</v>
      </c>
      <c r="AE44" s="157">
        <f t="shared" si="153"/>
        <v>90</v>
      </c>
      <c r="AF44" s="157">
        <f t="shared" si="153"/>
        <v>96</v>
      </c>
      <c r="AG44" s="157">
        <f t="shared" si="153"/>
        <v>102</v>
      </c>
      <c r="AH44" s="157">
        <f t="shared" si="153"/>
        <v>108</v>
      </c>
      <c r="AI44" s="157">
        <f t="shared" si="153"/>
        <v>114</v>
      </c>
      <c r="AJ44" s="158">
        <f t="shared" si="153"/>
        <v>120</v>
      </c>
      <c r="AK44" s="74"/>
      <c r="AL44" s="74"/>
      <c r="AM44" s="74"/>
      <c r="AN44" s="74"/>
      <c r="AO44" s="74"/>
      <c r="AP44" s="74"/>
      <c r="AQ44" s="75"/>
    </row>
    <row r="45" spans="2:258" ht="18.75" customHeight="1" thickBot="1" x14ac:dyDescent="0.35">
      <c r="B45" s="150" t="s">
        <v>39</v>
      </c>
      <c r="C45" s="112" t="e">
        <f>I10</f>
        <v>#VALUE!</v>
      </c>
      <c r="D45" s="2"/>
      <c r="E45" s="51"/>
      <c r="F45" s="51"/>
      <c r="G45" s="51"/>
      <c r="H45" s="51"/>
      <c r="I45" s="51"/>
      <c r="J45" s="51"/>
      <c r="K45" s="51"/>
      <c r="L45" s="54"/>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t="s">
        <v>188</v>
      </c>
    </row>
    <row r="46" spans="2:258" ht="15.75" customHeight="1" thickBot="1" x14ac:dyDescent="0.4">
      <c r="B46" s="454" t="s">
        <v>63</v>
      </c>
      <c r="C46" s="51"/>
      <c r="D46" s="51"/>
      <c r="E46" s="51"/>
      <c r="F46" s="51"/>
      <c r="G46" s="51"/>
      <c r="H46" s="51"/>
      <c r="I46" s="51"/>
      <c r="J46" s="51"/>
      <c r="K46" s="51"/>
      <c r="L46" s="54"/>
      <c r="N46" s="455"/>
      <c r="O46" s="154">
        <f>H5</f>
        <v>10.5</v>
      </c>
      <c r="P46" s="183">
        <v>2</v>
      </c>
      <c r="Q46" s="490"/>
      <c r="R46" s="291">
        <v>3.7</v>
      </c>
      <c r="S46" s="291">
        <v>5.27</v>
      </c>
      <c r="T46" s="291">
        <v>6.83</v>
      </c>
      <c r="U46" s="291">
        <v>8.4</v>
      </c>
      <c r="V46" s="291">
        <v>9.9700000000000006</v>
      </c>
      <c r="W46" s="291">
        <v>11.54</v>
      </c>
      <c r="X46" s="291">
        <v>13.1</v>
      </c>
      <c r="Y46" s="291">
        <v>14.67</v>
      </c>
      <c r="Z46" s="291">
        <v>16.239999999999998</v>
      </c>
      <c r="AA46" s="493"/>
      <c r="AB46" s="493"/>
      <c r="AC46" s="493"/>
      <c r="AD46" s="493"/>
      <c r="AE46" s="493"/>
      <c r="AF46" s="493"/>
      <c r="AG46" s="493"/>
      <c r="AH46" s="493"/>
      <c r="AI46" s="493"/>
      <c r="AJ46" s="493"/>
      <c r="AK46" s="114"/>
      <c r="AL46" s="114"/>
      <c r="AM46" s="114"/>
      <c r="AN46" s="114"/>
      <c r="AO46" s="114"/>
      <c r="AP46" s="114"/>
      <c r="AQ46" s="120"/>
      <c r="IS46" s="135"/>
    </row>
    <row r="47" spans="2:258" ht="15" customHeight="1" thickBot="1" x14ac:dyDescent="0.3">
      <c r="B47" s="57"/>
      <c r="C47" s="2"/>
      <c r="D47" s="51"/>
      <c r="E47" s="51"/>
      <c r="F47" s="51"/>
      <c r="G47" s="51"/>
      <c r="H47" s="51"/>
      <c r="I47" s="51"/>
      <c r="J47" s="51"/>
      <c r="K47" s="51"/>
      <c r="L47" s="54"/>
      <c r="N47" s="136"/>
      <c r="O47" s="124">
        <v>12</v>
      </c>
      <c r="P47" s="184">
        <v>3</v>
      </c>
      <c r="Q47" s="491"/>
      <c r="R47" s="298">
        <v>3.9</v>
      </c>
      <c r="S47" s="298">
        <v>5.47</v>
      </c>
      <c r="T47" s="298">
        <v>7.03</v>
      </c>
      <c r="U47" s="298">
        <v>8.6</v>
      </c>
      <c r="V47" s="298">
        <v>10.17</v>
      </c>
      <c r="W47" s="298">
        <v>11.74</v>
      </c>
      <c r="X47" s="298">
        <v>13.31</v>
      </c>
      <c r="Y47" s="298">
        <v>14.88</v>
      </c>
      <c r="Z47" s="298">
        <v>16.45</v>
      </c>
      <c r="AA47" s="492"/>
      <c r="AB47" s="492"/>
      <c r="AC47" s="492"/>
      <c r="AD47" s="492"/>
      <c r="AE47" s="492"/>
      <c r="AF47" s="492"/>
      <c r="AG47" s="492"/>
      <c r="AH47" s="492"/>
      <c r="AI47" s="492"/>
      <c r="AJ47" s="492"/>
      <c r="AK47" s="45"/>
      <c r="AL47" s="117"/>
      <c r="AM47" s="117" t="e">
        <f>D50</f>
        <v>#VALUE!</v>
      </c>
      <c r="AN47" s="118" t="e">
        <f>C44</f>
        <v>#VALUE!</v>
      </c>
      <c r="AO47" s="117" t="e">
        <f>E50</f>
        <v>#VALUE!</v>
      </c>
      <c r="AP47" s="45"/>
      <c r="AQ47" s="46"/>
      <c r="CL47" s="61"/>
      <c r="CM47" s="61"/>
      <c r="CN47" s="61"/>
      <c r="CO47" s="61"/>
      <c r="CP47" s="61"/>
      <c r="CQ47" s="61"/>
      <c r="CR47" s="61"/>
      <c r="CS47" s="61"/>
    </row>
    <row r="48" spans="2:258" ht="15" customHeight="1" thickBot="1" x14ac:dyDescent="0.3">
      <c r="B48" s="57"/>
      <c r="C48" s="96"/>
      <c r="D48" s="97" t="s">
        <v>215</v>
      </c>
      <c r="E48" s="98"/>
      <c r="F48" s="98"/>
      <c r="G48" s="100"/>
      <c r="H48" s="97" t="s">
        <v>33</v>
      </c>
      <c r="I48" s="99"/>
      <c r="J48" s="51"/>
      <c r="K48" s="51"/>
      <c r="L48" s="54"/>
      <c r="N48" s="79"/>
      <c r="O48" s="124">
        <f t="shared" ref="O48:O65" si="154">O47+6</f>
        <v>18</v>
      </c>
      <c r="P48" s="184">
        <v>4</v>
      </c>
      <c r="Q48" s="491"/>
      <c r="R48" s="298">
        <v>5.25</v>
      </c>
      <c r="S48" s="298">
        <v>7.18</v>
      </c>
      <c r="T48" s="298">
        <v>9.1199999999999992</v>
      </c>
      <c r="U48" s="298">
        <v>11.059999999999999</v>
      </c>
      <c r="V48" s="298">
        <v>12.999999999999998</v>
      </c>
      <c r="W48" s="298">
        <v>14.939999999999998</v>
      </c>
      <c r="X48" s="298">
        <v>16.88</v>
      </c>
      <c r="Y48" s="298">
        <v>18.82</v>
      </c>
      <c r="Z48" s="298">
        <v>20.76</v>
      </c>
      <c r="AA48" s="492"/>
      <c r="AB48" s="492"/>
      <c r="AC48" s="492"/>
      <c r="AD48" s="492"/>
      <c r="AE48" s="492"/>
      <c r="AF48" s="492"/>
      <c r="AG48" s="492"/>
      <c r="AH48" s="492"/>
      <c r="AI48" s="492"/>
      <c r="AJ48" s="492"/>
      <c r="AK48" s="76"/>
      <c r="AL48" s="117" t="e">
        <f>H50</f>
        <v>#VALUE!</v>
      </c>
      <c r="AM48" s="118" t="e">
        <f>INDEX(P45:AJ65,$H$51,$D$51)</f>
        <v>#VALUE!</v>
      </c>
      <c r="AN48" s="118" t="e">
        <f>(((AN47-AM47)/(AO47-AM47))*(AO48-AM48))+AM48</f>
        <v>#VALUE!</v>
      </c>
      <c r="AO48" s="118" t="e">
        <f>INDEX(P45:AJ65,$H$51,$E$51)</f>
        <v>#VALUE!</v>
      </c>
      <c r="AP48" s="45"/>
      <c r="AQ48" s="46"/>
    </row>
    <row r="49" spans="1:59" ht="16.5" thickBot="1" x14ac:dyDescent="0.3">
      <c r="B49" s="57"/>
      <c r="C49" s="92"/>
      <c r="D49" s="93" t="s">
        <v>64</v>
      </c>
      <c r="E49" s="94" t="s">
        <v>65</v>
      </c>
      <c r="F49" s="94"/>
      <c r="G49" s="101"/>
      <c r="H49" s="93" t="s">
        <v>64</v>
      </c>
      <c r="I49" s="95" t="s">
        <v>65</v>
      </c>
      <c r="J49" s="51"/>
      <c r="K49" s="51"/>
      <c r="L49" s="54"/>
      <c r="N49" s="79"/>
      <c r="O49" s="124">
        <f t="shared" si="154"/>
        <v>24</v>
      </c>
      <c r="P49" s="184">
        <v>5</v>
      </c>
      <c r="Q49" s="491"/>
      <c r="R49" s="298">
        <v>6.6</v>
      </c>
      <c r="S49" s="298">
        <v>8.9</v>
      </c>
      <c r="T49" s="298">
        <v>11.2</v>
      </c>
      <c r="U49" s="298">
        <v>13.5</v>
      </c>
      <c r="V49" s="298">
        <v>15.8</v>
      </c>
      <c r="W49" s="298">
        <v>18.100000000000001</v>
      </c>
      <c r="X49" s="298">
        <v>20.400000000000002</v>
      </c>
      <c r="Y49" s="298">
        <v>22.700000000000003</v>
      </c>
      <c r="Z49" s="298">
        <v>25.000000000000004</v>
      </c>
      <c r="AA49" s="492"/>
      <c r="AB49" s="492"/>
      <c r="AC49" s="492"/>
      <c r="AD49" s="492"/>
      <c r="AE49" s="492"/>
      <c r="AF49" s="492"/>
      <c r="AG49" s="492"/>
      <c r="AH49" s="492"/>
      <c r="AI49" s="492"/>
      <c r="AJ49" s="492"/>
      <c r="AK49" s="45"/>
      <c r="AL49" s="117" t="e">
        <f>C45</f>
        <v>#VALUE!</v>
      </c>
      <c r="AM49" s="118" t="e">
        <f>(((AL49-AL48)/(AL50-AL48))*(AM50-AM48))+AM48</f>
        <v>#VALUE!</v>
      </c>
      <c r="AN49" s="119" t="e">
        <f>IF(AND(AN47&gt;72,AL49&gt;72),5/0,IF(AN47=120,AM49,(((AN48-AM48)/(AO48-AM48))*(AO49-AM49))+AM49))</f>
        <v>#VALUE!</v>
      </c>
      <c r="AO49" s="118" t="e">
        <f>(((AL49-AL48)/(AL50-AL48))*(AO50-AO48))+AO48</f>
        <v>#VALUE!</v>
      </c>
      <c r="AP49" s="45"/>
      <c r="AQ49" s="46"/>
    </row>
    <row r="50" spans="1:59" ht="16.5" thickBot="1" x14ac:dyDescent="0.3">
      <c r="B50" s="57"/>
      <c r="C50" s="90"/>
      <c r="D50" s="88" t="e">
        <f>IF(AND(C44&lt;12,C44&gt;=H3),H3,FLOOR(C44/6,1)*6)</f>
        <v>#VALUE!</v>
      </c>
      <c r="E50" s="84" t="e">
        <f>IF(D50&lt;12,12,D50+6)</f>
        <v>#VALUE!</v>
      </c>
      <c r="F50" s="84"/>
      <c r="G50" s="102"/>
      <c r="H50" s="88" t="e">
        <f>IF(AND(C45&lt;12,C45&gt;=H5),H5,FLOOR(C45/6,1)*6)</f>
        <v>#VALUE!</v>
      </c>
      <c r="I50" s="85" t="e">
        <f>IF(H50&lt;12,12,H50+6)</f>
        <v>#VALUE!</v>
      </c>
      <c r="J50" s="51"/>
      <c r="K50" s="51"/>
      <c r="L50" s="54"/>
      <c r="N50" s="79"/>
      <c r="O50" s="124">
        <f t="shared" si="154"/>
        <v>30</v>
      </c>
      <c r="P50" s="184">
        <v>6</v>
      </c>
      <c r="Q50" s="491"/>
      <c r="R50" s="298">
        <v>8.5</v>
      </c>
      <c r="S50" s="298">
        <v>11.54</v>
      </c>
      <c r="T50" s="298">
        <v>14.58</v>
      </c>
      <c r="U50" s="298">
        <v>17.62</v>
      </c>
      <c r="V50" s="298">
        <v>20.66</v>
      </c>
      <c r="W50" s="298">
        <v>23.7</v>
      </c>
      <c r="X50" s="298">
        <v>26.74</v>
      </c>
      <c r="Y50" s="298">
        <v>29.779999999999998</v>
      </c>
      <c r="Z50" s="298">
        <v>32.82</v>
      </c>
      <c r="AA50" s="492"/>
      <c r="AB50" s="492"/>
      <c r="AC50" s="492"/>
      <c r="AD50" s="492"/>
      <c r="AE50" s="492"/>
      <c r="AF50" s="492"/>
      <c r="AG50" s="492"/>
      <c r="AH50" s="492"/>
      <c r="AI50" s="492"/>
      <c r="AJ50" s="492"/>
      <c r="AK50" s="45"/>
      <c r="AL50" s="117" t="e">
        <f>I50</f>
        <v>#VALUE!</v>
      </c>
      <c r="AM50" s="118" t="e">
        <f>INDEX(P45:AJ65,$I$51,$D$51)</f>
        <v>#VALUE!</v>
      </c>
      <c r="AN50" s="118" t="e">
        <f>(((AN47-AM47)/(AO47-AM47))*(AO50-AM50))+AM50</f>
        <v>#VALUE!</v>
      </c>
      <c r="AO50" s="118" t="e">
        <f>INDEX(P45:AJ65,$I$51,$E$51)</f>
        <v>#VALUE!</v>
      </c>
      <c r="AP50" s="45"/>
      <c r="AQ50" s="46"/>
    </row>
    <row r="51" spans="1:59" ht="15.75" thickBot="1" x14ac:dyDescent="0.3">
      <c r="B51" s="57"/>
      <c r="C51" s="90" t="s">
        <v>34</v>
      </c>
      <c r="D51" s="88" t="e">
        <f>HLOOKUP(D50,C16:W17,2)</f>
        <v>#VALUE!</v>
      </c>
      <c r="E51" s="84" t="e">
        <f>HLOOKUP(E50,C16:W17,2)</f>
        <v>#VALUE!</v>
      </c>
      <c r="F51" s="84"/>
      <c r="G51" s="102" t="s">
        <v>35</v>
      </c>
      <c r="H51" s="88" t="e">
        <f>VLOOKUP(H50,B17:C37,2)</f>
        <v>#VALUE!</v>
      </c>
      <c r="I51" s="85" t="e">
        <f>VLOOKUP(I50,B17:C37,2)</f>
        <v>#VALUE!</v>
      </c>
      <c r="J51" s="51"/>
      <c r="K51" s="51"/>
      <c r="L51" s="54"/>
      <c r="N51" s="79"/>
      <c r="O51" s="124">
        <f t="shared" si="154"/>
        <v>36</v>
      </c>
      <c r="P51" s="184">
        <v>7</v>
      </c>
      <c r="Q51" s="491"/>
      <c r="R51" s="298">
        <v>9.84</v>
      </c>
      <c r="S51" s="298">
        <v>13.25</v>
      </c>
      <c r="T51" s="298">
        <v>16.670000000000002</v>
      </c>
      <c r="U51" s="298">
        <v>20.090000000000003</v>
      </c>
      <c r="V51" s="298">
        <v>23.510000000000005</v>
      </c>
      <c r="W51" s="298">
        <v>26.930000000000007</v>
      </c>
      <c r="X51" s="298">
        <v>30.350000000000009</v>
      </c>
      <c r="Y51" s="298">
        <v>33.72</v>
      </c>
      <c r="Z51" s="298">
        <v>37.14</v>
      </c>
      <c r="AA51" s="492"/>
      <c r="AB51" s="492"/>
      <c r="AC51" s="492"/>
      <c r="AD51" s="492"/>
      <c r="AE51" s="492"/>
      <c r="AF51" s="492"/>
      <c r="AG51" s="492"/>
      <c r="AH51" s="492"/>
      <c r="AI51" s="492"/>
      <c r="AJ51" s="492"/>
      <c r="AK51" s="45"/>
      <c r="AL51" s="45"/>
      <c r="AM51" s="45"/>
      <c r="AN51" s="45"/>
      <c r="AO51" s="45"/>
      <c r="AP51" s="45"/>
      <c r="AQ51" s="46"/>
    </row>
    <row r="52" spans="1:59" ht="16.5" thickBot="1" x14ac:dyDescent="0.3">
      <c r="B52" s="57"/>
      <c r="C52" s="91"/>
      <c r="D52" s="89"/>
      <c r="E52" s="86"/>
      <c r="F52" s="86"/>
      <c r="G52" s="103"/>
      <c r="H52" s="89"/>
      <c r="I52" s="87"/>
      <c r="J52" s="51"/>
      <c r="K52" s="51"/>
      <c r="L52" s="54"/>
      <c r="N52" s="79"/>
      <c r="O52" s="124">
        <f t="shared" si="154"/>
        <v>42</v>
      </c>
      <c r="P52" s="184">
        <v>8</v>
      </c>
      <c r="Q52" s="491"/>
      <c r="R52" s="298">
        <v>11.19</v>
      </c>
      <c r="S52" s="298">
        <v>14.97</v>
      </c>
      <c r="T52" s="298">
        <v>18.75</v>
      </c>
      <c r="U52" s="298">
        <v>22.53</v>
      </c>
      <c r="V52" s="298">
        <v>26.310000000000002</v>
      </c>
      <c r="W52" s="298">
        <v>30.090000000000003</v>
      </c>
      <c r="X52" s="298">
        <v>33.870000000000005</v>
      </c>
      <c r="Y52" s="298">
        <v>37.650000000000006</v>
      </c>
      <c r="Z52" s="298">
        <v>41.430000000000007</v>
      </c>
      <c r="AA52" s="492"/>
      <c r="AB52" s="492"/>
      <c r="AC52" s="492"/>
      <c r="AD52" s="492"/>
      <c r="AE52" s="492"/>
      <c r="AF52" s="492"/>
      <c r="AG52" s="492"/>
      <c r="AH52" s="492"/>
      <c r="AI52" s="492"/>
      <c r="AJ52" s="492"/>
      <c r="AK52" s="45"/>
      <c r="AL52" s="117"/>
      <c r="AM52" s="117" t="e">
        <f>D69</f>
        <v>#VALUE!</v>
      </c>
      <c r="AN52" s="118" t="e">
        <f>C63</f>
        <v>#VALUE!</v>
      </c>
      <c r="AO52" s="117" t="e">
        <f>E69</f>
        <v>#VALUE!</v>
      </c>
      <c r="AP52" s="45"/>
      <c r="AQ52" s="46"/>
    </row>
    <row r="53" spans="1:59" ht="16.5" thickBot="1" x14ac:dyDescent="0.3">
      <c r="A53" s="71"/>
      <c r="B53" s="57"/>
      <c r="C53" s="51"/>
      <c r="D53" s="51"/>
      <c r="E53" s="51"/>
      <c r="F53" s="51"/>
      <c r="G53" s="51"/>
      <c r="H53" s="51"/>
      <c r="I53" s="51"/>
      <c r="J53" s="51"/>
      <c r="K53" s="51"/>
      <c r="L53" s="54"/>
      <c r="N53" s="79"/>
      <c r="O53" s="124">
        <f t="shared" si="154"/>
        <v>48</v>
      </c>
      <c r="P53" s="184">
        <v>9</v>
      </c>
      <c r="Q53" s="491"/>
      <c r="R53" s="298">
        <v>12.54</v>
      </c>
      <c r="S53" s="298">
        <v>16.690000000000001</v>
      </c>
      <c r="T53" s="298">
        <v>20.84</v>
      </c>
      <c r="U53" s="298">
        <v>24.990000000000002</v>
      </c>
      <c r="V53" s="298">
        <v>29.14</v>
      </c>
      <c r="W53" s="298">
        <v>33.29</v>
      </c>
      <c r="X53" s="298">
        <v>37.44</v>
      </c>
      <c r="Y53" s="298">
        <v>41.589999999999996</v>
      </c>
      <c r="Z53" s="298">
        <v>45.739999999999995</v>
      </c>
      <c r="AA53" s="492"/>
      <c r="AB53" s="492"/>
      <c r="AC53" s="492"/>
      <c r="AD53" s="492"/>
      <c r="AE53" s="492"/>
      <c r="AF53" s="492"/>
      <c r="AG53" s="492"/>
      <c r="AH53" s="492"/>
      <c r="AI53" s="492"/>
      <c r="AJ53" s="492"/>
      <c r="AK53" s="45"/>
      <c r="AL53" s="117" t="e">
        <f>H69</f>
        <v>#VALUE!</v>
      </c>
      <c r="AM53" s="118" t="e">
        <f>INDEX(P45:AJ65,$H$70,$D$70)</f>
        <v>#VALUE!</v>
      </c>
      <c r="AN53" s="118" t="e">
        <f>(((AN52-AM52)/(AO52-AM52))*(AO53-AM53))+AM53</f>
        <v>#VALUE!</v>
      </c>
      <c r="AO53" s="118" t="e">
        <f>INDEX(P45:AJ65,$H$70,$E$70)</f>
        <v>#VALUE!</v>
      </c>
      <c r="AP53" s="45"/>
      <c r="AQ53" s="46"/>
    </row>
    <row r="54" spans="1:59" ht="21.75" thickBot="1" x14ac:dyDescent="0.4">
      <c r="B54" s="151" t="s">
        <v>57</v>
      </c>
      <c r="C54" s="51"/>
      <c r="D54" s="2"/>
      <c r="E54" s="51"/>
      <c r="F54" s="51"/>
      <c r="G54" s="51"/>
      <c r="H54" s="51"/>
      <c r="I54" s="108"/>
      <c r="J54" s="108"/>
      <c r="K54" s="108"/>
      <c r="L54" s="54"/>
      <c r="N54" s="79"/>
      <c r="O54" s="124">
        <f t="shared" si="154"/>
        <v>54</v>
      </c>
      <c r="P54" s="184">
        <v>10</v>
      </c>
      <c r="Q54" s="491"/>
      <c r="R54" s="298">
        <v>13.89</v>
      </c>
      <c r="S54" s="298">
        <v>18.41</v>
      </c>
      <c r="T54" s="298">
        <v>22.92</v>
      </c>
      <c r="U54" s="298">
        <v>27.44</v>
      </c>
      <c r="V54" s="298">
        <v>31.96</v>
      </c>
      <c r="W54" s="298">
        <v>36.480000000000004</v>
      </c>
      <c r="X54" s="298">
        <v>41</v>
      </c>
      <c r="Y54" s="298">
        <v>45.519999999999996</v>
      </c>
      <c r="Z54" s="298">
        <v>50.039999999999992</v>
      </c>
      <c r="AA54" s="492"/>
      <c r="AB54" s="492"/>
      <c r="AC54" s="492"/>
      <c r="AD54" s="492"/>
      <c r="AE54" s="492"/>
      <c r="AF54" s="492"/>
      <c r="AG54" s="492"/>
      <c r="AH54" s="492"/>
      <c r="AI54" s="492"/>
      <c r="AJ54" s="492"/>
      <c r="AK54" s="45"/>
      <c r="AL54" s="413" t="e">
        <f>C64</f>
        <v>#VALUE!</v>
      </c>
      <c r="AM54" s="118" t="e">
        <f>(((AL54-AL53)/(AL55-AL53))*(AM55-AM53))+AM53</f>
        <v>#VALUE!</v>
      </c>
      <c r="AN54" s="119" t="e">
        <f>IF(AND(AN52&gt;72,AL54&gt;72),5/0,IF(AN52=120,AM54,(((AN53-AM53)/(AO53-AM53))*(AO54-AM54))+AM54))</f>
        <v>#VALUE!</v>
      </c>
      <c r="AO54" s="118" t="e">
        <f>(((AL54-AL53)/(AL55-AL53))*(AO55-AO53))+AO53</f>
        <v>#VALUE!</v>
      </c>
      <c r="AP54" s="45"/>
      <c r="AQ54" s="46"/>
    </row>
    <row r="55" spans="1:59" ht="19.5" thickBot="1" x14ac:dyDescent="0.35">
      <c r="B55" s="57"/>
      <c r="C55" s="51"/>
      <c r="D55" s="83"/>
      <c r="E55" s="83" t="e">
        <f>D50</f>
        <v>#VALUE!</v>
      </c>
      <c r="F55" s="104" t="e">
        <f>C44</f>
        <v>#VALUE!</v>
      </c>
      <c r="G55" s="83" t="e">
        <f>E50</f>
        <v>#VALUE!</v>
      </c>
      <c r="H55" s="51"/>
      <c r="I55" s="108"/>
      <c r="J55" s="108"/>
      <c r="K55" s="108"/>
      <c r="L55" s="54"/>
      <c r="N55" s="79"/>
      <c r="O55" s="124">
        <f t="shared" si="154"/>
        <v>60</v>
      </c>
      <c r="P55" s="184">
        <v>11</v>
      </c>
      <c r="Q55" s="491"/>
      <c r="R55" s="298">
        <v>15.79</v>
      </c>
      <c r="S55" s="298">
        <v>21.04</v>
      </c>
      <c r="T55" s="298">
        <v>26.3</v>
      </c>
      <c r="U55" s="298">
        <v>31.55</v>
      </c>
      <c r="V55" s="298">
        <v>36.799999999999997</v>
      </c>
      <c r="W55" s="298">
        <v>42.05</v>
      </c>
      <c r="X55" s="298">
        <v>47.3</v>
      </c>
      <c r="Y55" s="298">
        <v>52.55</v>
      </c>
      <c r="Z55" s="298">
        <v>57.8</v>
      </c>
      <c r="AA55" s="492"/>
      <c r="AB55" s="492"/>
      <c r="AC55" s="492"/>
      <c r="AD55" s="492"/>
      <c r="AE55" s="492"/>
      <c r="AF55" s="492"/>
      <c r="AG55" s="492"/>
      <c r="AH55" s="492"/>
      <c r="AI55" s="492"/>
      <c r="AJ55" s="492"/>
      <c r="AK55" s="45"/>
      <c r="AL55" s="117" t="e">
        <f>I69</f>
        <v>#VALUE!</v>
      </c>
      <c r="AM55" s="118" t="e">
        <f>INDEX(P45:AJ65,$I$70,$D$70)</f>
        <v>#VALUE!</v>
      </c>
      <c r="AN55" s="118" t="e">
        <f>(((AN52-AM52)/(AO52-AM52))*(AO55-AM55))+AM55</f>
        <v>#VALUE!</v>
      </c>
      <c r="AO55" s="118" t="e">
        <f>INDEX(P45:AJ65,$I$70,$E$70)</f>
        <v>#VALUE!</v>
      </c>
      <c r="AP55" s="185"/>
      <c r="AQ55" s="46"/>
    </row>
    <row r="56" spans="1:59" ht="19.5" thickBot="1" x14ac:dyDescent="0.35">
      <c r="B56" s="57"/>
      <c r="C56" s="51"/>
      <c r="D56" s="83" t="e">
        <f>H50</f>
        <v>#VALUE!</v>
      </c>
      <c r="E56" s="105" t="e">
        <f>INDEX(C17:W37,$H$51,$D$51)</f>
        <v>#VALUE!</v>
      </c>
      <c r="F56" s="105" t="e">
        <f>(((F55-E55)/(G55-E55))*(G56-E56))+E56</f>
        <v>#VALUE!</v>
      </c>
      <c r="G56" s="105" t="e">
        <f>INDEX(C17:W37,$H$51,$E$51)</f>
        <v>#VALUE!</v>
      </c>
      <c r="H56" s="51"/>
      <c r="I56" s="108" t="s">
        <v>43</v>
      </c>
      <c r="J56" s="108" t="e">
        <f>F57*(C3*C5)/144</f>
        <v>#VALUE!</v>
      </c>
      <c r="K56" s="108" t="s">
        <v>42</v>
      </c>
      <c r="L56" s="54"/>
      <c r="N56" s="79"/>
      <c r="O56" s="124">
        <f t="shared" si="154"/>
        <v>66</v>
      </c>
      <c r="P56" s="184">
        <v>12</v>
      </c>
      <c r="Q56" s="491"/>
      <c r="R56" s="298">
        <v>17.14</v>
      </c>
      <c r="S56" s="298">
        <v>22.76</v>
      </c>
      <c r="T56" s="298">
        <v>28.38</v>
      </c>
      <c r="U56" s="298">
        <v>34</v>
      </c>
      <c r="V56" s="298">
        <v>39.619999999999997</v>
      </c>
      <c r="W56" s="298">
        <v>45.239999999999995</v>
      </c>
      <c r="X56" s="298">
        <v>50.859999999999992</v>
      </c>
      <c r="Y56" s="298">
        <v>56.47999999999999</v>
      </c>
      <c r="Z56" s="298">
        <v>62.099999999999987</v>
      </c>
      <c r="AA56" s="492"/>
      <c r="AB56" s="492"/>
      <c r="AC56" s="492"/>
      <c r="AD56" s="492"/>
      <c r="AE56" s="492"/>
      <c r="AF56" s="492"/>
      <c r="AG56" s="492"/>
      <c r="AH56" s="492"/>
      <c r="AI56" s="492"/>
      <c r="AJ56" s="492"/>
      <c r="AK56" s="45"/>
      <c r="AL56" s="327"/>
      <c r="AM56" s="327"/>
      <c r="AN56" s="327"/>
      <c r="AO56" s="327"/>
      <c r="AP56" s="327"/>
      <c r="AQ56" s="46"/>
    </row>
    <row r="57" spans="1:59" ht="19.5" thickBot="1" x14ac:dyDescent="0.35">
      <c r="B57" s="57"/>
      <c r="C57" s="51"/>
      <c r="D57" s="83" t="e">
        <f>C45</f>
        <v>#VALUE!</v>
      </c>
      <c r="E57" s="105" t="e">
        <f>(((D57-D56)/(D58-D56))*(E58-E56))+E56</f>
        <v>#VALUE!</v>
      </c>
      <c r="F57" s="106" t="e">
        <f>IF(AND(F55&gt;72,D57&gt;72),5/0,IF(F55=120,E57,(((F56-E56)/(G56-E56))*(G57-E57))+E57))</f>
        <v>#VALUE!</v>
      </c>
      <c r="G57" s="105" t="e">
        <f>(((D57-D56)/(D58-D56))*(G58-G56))+G56</f>
        <v>#VALUE!</v>
      </c>
      <c r="H57" s="51"/>
      <c r="I57" s="108"/>
      <c r="J57" s="108"/>
      <c r="K57" s="108"/>
      <c r="L57" s="54"/>
      <c r="N57" s="79"/>
      <c r="O57" s="124">
        <f t="shared" si="154"/>
        <v>72</v>
      </c>
      <c r="P57" s="184">
        <v>13</v>
      </c>
      <c r="Q57" s="491"/>
      <c r="R57" s="298">
        <v>18.489999999999998</v>
      </c>
      <c r="S57" s="298">
        <v>24.48</v>
      </c>
      <c r="T57" s="298">
        <v>30.48</v>
      </c>
      <c r="U57" s="298">
        <v>36.480000000000004</v>
      </c>
      <c r="V57" s="298">
        <v>42.480000000000004</v>
      </c>
      <c r="W57" s="298">
        <v>48.480000000000004</v>
      </c>
      <c r="X57" s="298">
        <v>54.480000000000004</v>
      </c>
      <c r="Y57" s="298">
        <v>60.42</v>
      </c>
      <c r="Z57" s="298">
        <v>66.42</v>
      </c>
      <c r="AA57" s="492"/>
      <c r="AB57" s="492"/>
      <c r="AC57" s="492"/>
      <c r="AD57" s="492"/>
      <c r="AE57" s="492"/>
      <c r="AF57" s="492"/>
      <c r="AG57" s="492"/>
      <c r="AH57" s="492"/>
      <c r="AI57" s="492"/>
      <c r="AJ57" s="492"/>
      <c r="AK57" s="45"/>
      <c r="AL57" s="45"/>
      <c r="AM57" s="327"/>
      <c r="AN57" s="186"/>
      <c r="AO57" s="185"/>
      <c r="AP57" s="325"/>
      <c r="AQ57" s="46"/>
    </row>
    <row r="58" spans="1:59" ht="19.5" thickBot="1" x14ac:dyDescent="0.35">
      <c r="B58" s="57"/>
      <c r="C58" s="51"/>
      <c r="D58" s="83" t="e">
        <f>I50</f>
        <v>#VALUE!</v>
      </c>
      <c r="E58" s="105" t="e">
        <f>INDEX(C17:W37,$I$51,$D$51)</f>
        <v>#VALUE!</v>
      </c>
      <c r="F58" s="105" t="e">
        <f>(((F55-E55)/(G55-E55))*(G58-E58))+E58</f>
        <v>#VALUE!</v>
      </c>
      <c r="G58" s="105" t="e">
        <f>INDEX(C17:W37,$I$51,$E$51)</f>
        <v>#VALUE!</v>
      </c>
      <c r="H58" s="51"/>
      <c r="I58" s="108"/>
      <c r="J58" s="108"/>
      <c r="K58" s="108"/>
      <c r="L58" s="54"/>
      <c r="N58" s="79"/>
      <c r="O58" s="124">
        <f t="shared" si="154"/>
        <v>78</v>
      </c>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AN49</f>
        <v>#VALUE!</v>
      </c>
      <c r="AP58" s="325" t="s">
        <v>141</v>
      </c>
      <c r="AQ58" s="46"/>
    </row>
    <row r="59" spans="1:59" ht="19.5" thickBot="1" x14ac:dyDescent="0.35">
      <c r="B59" s="57"/>
      <c r="C59" s="51"/>
      <c r="D59" s="51"/>
      <c r="E59" s="51"/>
      <c r="F59" s="51"/>
      <c r="G59" s="51"/>
      <c r="H59" s="51"/>
      <c r="I59" s="108"/>
      <c r="J59" s="108"/>
      <c r="K59" s="108"/>
      <c r="L59" s="54"/>
      <c r="N59" s="79"/>
      <c r="O59" s="124">
        <f t="shared" si="154"/>
        <v>84</v>
      </c>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AN54</f>
        <v>#VALUE!</v>
      </c>
      <c r="AP59" s="185" t="s">
        <v>141</v>
      </c>
      <c r="AQ59" s="77"/>
    </row>
    <row r="60" spans="1:59" ht="15.75" thickBot="1" x14ac:dyDescent="0.3">
      <c r="B60" s="57"/>
      <c r="C60" s="51"/>
      <c r="D60" s="51"/>
      <c r="E60" s="51"/>
      <c r="F60" s="51"/>
      <c r="G60" s="51"/>
      <c r="H60" s="51"/>
      <c r="I60" s="51"/>
      <c r="J60" s="51"/>
      <c r="K60" s="51"/>
      <c r="L60" s="54"/>
      <c r="N60" s="79"/>
      <c r="O60" s="124">
        <f t="shared" si="154"/>
        <v>90</v>
      </c>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59" ht="15.75" thickBot="1" x14ac:dyDescent="0.3">
      <c r="B61" s="57"/>
      <c r="C61" s="51"/>
      <c r="D61" s="51"/>
      <c r="E61" s="51"/>
      <c r="F61" s="51"/>
      <c r="G61" s="51"/>
      <c r="H61" s="51"/>
      <c r="I61" s="51"/>
      <c r="J61" s="51"/>
      <c r="K61" s="51"/>
      <c r="L61" s="54"/>
      <c r="N61" s="79"/>
      <c r="O61" s="124">
        <f t="shared" si="154"/>
        <v>96</v>
      </c>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59" ht="15.75" thickBot="1" x14ac:dyDescent="0.3">
      <c r="A62" s="1"/>
      <c r="B62" s="51"/>
      <c r="C62" s="51"/>
      <c r="D62" s="51"/>
      <c r="E62" s="51"/>
      <c r="F62" s="51"/>
      <c r="G62" s="51"/>
      <c r="H62" s="51"/>
      <c r="I62" s="51"/>
      <c r="J62" s="51"/>
      <c r="K62" s="51"/>
      <c r="L62" s="54"/>
      <c r="N62" s="79"/>
      <c r="O62" s="124">
        <f t="shared" si="154"/>
        <v>102</v>
      </c>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9.5" thickBot="1" x14ac:dyDescent="0.35">
      <c r="A63" s="1"/>
      <c r="B63" s="150" t="s">
        <v>38</v>
      </c>
      <c r="C63" s="112" t="e">
        <f>F10</f>
        <v>#VALUE!</v>
      </c>
      <c r="D63" s="51"/>
      <c r="E63" s="51"/>
      <c r="F63" s="51"/>
      <c r="G63" s="51"/>
      <c r="H63" s="51"/>
      <c r="I63" s="51"/>
      <c r="J63" s="51"/>
      <c r="K63" s="51"/>
      <c r="L63" s="54"/>
      <c r="N63" s="79"/>
      <c r="O63" s="124">
        <f t="shared" si="154"/>
        <v>108</v>
      </c>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9.5" thickBot="1" x14ac:dyDescent="0.35">
      <c r="B64" s="150" t="s">
        <v>39</v>
      </c>
      <c r="C64" s="112" t="e">
        <f>I10</f>
        <v>#VALUE!</v>
      </c>
      <c r="D64" s="2"/>
      <c r="E64" s="51"/>
      <c r="F64" s="51"/>
      <c r="G64" s="51"/>
      <c r="H64" s="51"/>
      <c r="I64" s="51"/>
      <c r="J64" s="51"/>
      <c r="K64" s="51"/>
      <c r="L64" s="54"/>
      <c r="N64" s="79"/>
      <c r="O64" s="124">
        <f t="shared" si="154"/>
        <v>114</v>
      </c>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21.75" thickBot="1" x14ac:dyDescent="0.4">
      <c r="B65" s="454" t="s">
        <v>63</v>
      </c>
      <c r="C65" s="51"/>
      <c r="D65" s="51"/>
      <c r="E65" s="51"/>
      <c r="F65" s="51"/>
      <c r="G65" s="51"/>
      <c r="H65" s="51"/>
      <c r="I65" s="51"/>
      <c r="J65" s="51"/>
      <c r="K65" s="51"/>
      <c r="L65" s="54"/>
      <c r="N65" s="79"/>
      <c r="O65" s="124">
        <f t="shared" si="154"/>
        <v>120</v>
      </c>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57"/>
      <c r="C66" s="2"/>
      <c r="D66" s="51"/>
      <c r="E66" s="51"/>
      <c r="F66" s="51"/>
      <c r="G66" s="51"/>
      <c r="H66" s="51"/>
      <c r="I66" s="51"/>
      <c r="J66" s="51"/>
      <c r="K66" s="51"/>
      <c r="L66" s="54"/>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57"/>
      <c r="C67" s="96"/>
      <c r="D67" s="97" t="s">
        <v>32</v>
      </c>
      <c r="E67" s="98"/>
      <c r="F67" s="98"/>
      <c r="G67" s="100"/>
      <c r="H67" s="97" t="s">
        <v>33</v>
      </c>
      <c r="I67" s="99"/>
      <c r="J67" s="51"/>
      <c r="K67" s="51"/>
      <c r="L67" s="54"/>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57"/>
      <c r="C68" s="92"/>
      <c r="D68" s="93" t="s">
        <v>64</v>
      </c>
      <c r="E68" s="94" t="s">
        <v>65</v>
      </c>
      <c r="F68" s="94"/>
      <c r="G68" s="101"/>
      <c r="H68" s="93" t="s">
        <v>64</v>
      </c>
      <c r="I68" s="95" t="s">
        <v>65</v>
      </c>
      <c r="J68" s="51"/>
      <c r="K68" s="51"/>
      <c r="L68" s="54"/>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57"/>
      <c r="C69" s="90"/>
      <c r="D69" s="88" t="e">
        <f>IF(AND(C63&lt;12,C63&gt;=H3),H3,FLOOR(C63/6,1)*6)</f>
        <v>#VALUE!</v>
      </c>
      <c r="E69" s="84" t="e">
        <f>IF(D69&lt;12,12,D69+6)</f>
        <v>#VALUE!</v>
      </c>
      <c r="F69" s="84"/>
      <c r="G69" s="102"/>
      <c r="H69" s="88" t="e">
        <f>IF(AND(C64&lt;12,C64&gt;=H5),H5,FLOOR(C64/6,1)*6)</f>
        <v>#VALUE!</v>
      </c>
      <c r="I69" s="85" t="e">
        <f>IF(H69&lt;12,12,H69+6)</f>
        <v>#VALUE!</v>
      </c>
      <c r="J69" s="51"/>
      <c r="K69" s="51"/>
      <c r="L69" s="54"/>
      <c r="BG69" s="2"/>
      <c r="BH69" s="2"/>
    </row>
    <row r="70" spans="1:79" ht="24" thickBot="1" x14ac:dyDescent="0.4">
      <c r="A70" s="2"/>
      <c r="B70" s="57"/>
      <c r="C70" s="90" t="s">
        <v>34</v>
      </c>
      <c r="D70" s="88" t="e">
        <f>HLOOKUP(D69,C16:W17,2)</f>
        <v>#VALUE!</v>
      </c>
      <c r="E70" s="84" t="e">
        <f>HLOOKUP(E69,C16:W17,2)</f>
        <v>#VALUE!</v>
      </c>
      <c r="F70" s="84"/>
      <c r="G70" s="102" t="s">
        <v>35</v>
      </c>
      <c r="H70" s="88" t="e">
        <f>VLOOKUP(H69,B17:C37,2)</f>
        <v>#VALUE!</v>
      </c>
      <c r="I70" s="85" t="e">
        <f>VLOOKUP(I69,B17:C37,2)</f>
        <v>#VALUE!</v>
      </c>
      <c r="J70" s="51"/>
      <c r="K70" s="51"/>
      <c r="L70" s="54"/>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57"/>
      <c r="C71" s="91"/>
      <c r="D71" s="89"/>
      <c r="E71" s="86"/>
      <c r="F71" s="86"/>
      <c r="G71" s="103"/>
      <c r="H71" s="89"/>
      <c r="I71" s="87"/>
      <c r="J71" s="51"/>
      <c r="K71" s="51"/>
      <c r="L71" s="54"/>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57"/>
      <c r="C72" s="51"/>
      <c r="D72" s="51"/>
      <c r="E72" s="51"/>
      <c r="F72" s="51"/>
      <c r="G72" s="51"/>
      <c r="H72" s="51"/>
      <c r="I72" s="51"/>
      <c r="J72" s="51"/>
      <c r="K72" s="51"/>
      <c r="L72" s="54"/>
      <c r="N72" s="997"/>
      <c r="O72" s="423" t="s">
        <v>243</v>
      </c>
      <c r="P72" s="422"/>
      <c r="Q72" s="40"/>
      <c r="R72" s="423" t="s">
        <v>248</v>
      </c>
      <c r="S72" s="40"/>
      <c r="T72" s="40"/>
      <c r="U72" s="423" t="s">
        <v>249</v>
      </c>
      <c r="V72" s="40"/>
      <c r="W72" s="169"/>
      <c r="X72" s="193"/>
      <c r="Y72" s="41"/>
      <c r="Z72" s="496" t="s">
        <v>149</v>
      </c>
      <c r="AA72" s="40"/>
      <c r="AB72" s="40" t="e">
        <f>(AO58*D12*2)+(AO59*G12*2)</f>
        <v>#VALUE!</v>
      </c>
      <c r="AC72" s="40" t="s">
        <v>141</v>
      </c>
      <c r="AD72" s="585"/>
      <c r="AE72" s="40"/>
      <c r="AF72" s="40"/>
      <c r="AG72" s="40"/>
      <c r="AH72" s="40"/>
      <c r="AI72" s="40"/>
      <c r="AJ72" s="169"/>
      <c r="BF72" s="2"/>
      <c r="BG72" s="2"/>
    </row>
    <row r="73" spans="1:79" ht="21" x14ac:dyDescent="0.35">
      <c r="A73" s="2"/>
      <c r="B73" s="151" t="s">
        <v>57</v>
      </c>
      <c r="C73" s="51"/>
      <c r="D73" s="2"/>
      <c r="E73" s="51"/>
      <c r="F73" s="51"/>
      <c r="G73" s="51"/>
      <c r="H73" s="51"/>
      <c r="I73" s="51"/>
      <c r="J73" s="51"/>
      <c r="K73" s="51"/>
      <c r="L73" s="54"/>
      <c r="N73" s="504"/>
      <c r="O73" s="223" t="s">
        <v>142</v>
      </c>
      <c r="P73" s="40">
        <v>0.13619999999999999</v>
      </c>
      <c r="Q73" s="40" t="s">
        <v>139</v>
      </c>
      <c r="R73" s="40" t="s">
        <v>313</v>
      </c>
      <c r="S73" s="40">
        <f>0.5</f>
        <v>0.5</v>
      </c>
      <c r="T73" s="40" t="s">
        <v>141</v>
      </c>
      <c r="U73" s="581" t="str">
        <f>IF(C4&gt;107.815,"GA_8.25",IF(AND(C3&lt;=107.815,C4&lt;=35.815),"OP_8.25","SE_8.25"))</f>
        <v>GA_8.25</v>
      </c>
      <c r="V73" s="583" t="e">
        <f>INDEX(BC_ROOF!J2:K10, MATCH(U73,BC_ROOF!J2:J10,0),2)</f>
        <v>#VALUE!</v>
      </c>
      <c r="W73" s="169" t="s">
        <v>141</v>
      </c>
      <c r="X73" s="193"/>
      <c r="Y73" s="41"/>
      <c r="Z73" s="496" t="s">
        <v>247</v>
      </c>
      <c r="AA73" s="40"/>
      <c r="AB73" s="415" t="e">
        <f>P76</f>
        <v>#VALUE!</v>
      </c>
      <c r="AC73" s="40" t="s">
        <v>141</v>
      </c>
      <c r="AD73" s="40"/>
      <c r="AE73" s="415"/>
      <c r="AF73" s="40"/>
      <c r="AG73" s="40"/>
      <c r="AH73" s="40"/>
      <c r="AI73" s="40"/>
      <c r="AJ73" s="169"/>
      <c r="BF73" s="2"/>
    </row>
    <row r="74" spans="1:79" ht="15.75" x14ac:dyDescent="0.25">
      <c r="A74" s="2"/>
      <c r="B74" s="57"/>
      <c r="C74" s="51"/>
      <c r="D74" s="83"/>
      <c r="E74" s="83" t="e">
        <f>D69</f>
        <v>#VALUE!</v>
      </c>
      <c r="F74" s="104" t="e">
        <f>C63</f>
        <v>#VALUE!</v>
      </c>
      <c r="G74" s="83" t="e">
        <f>E69</f>
        <v>#VALUE!</v>
      </c>
      <c r="H74" s="51"/>
      <c r="I74" s="51"/>
      <c r="J74" s="51"/>
      <c r="K74" s="51"/>
      <c r="L74" s="54"/>
      <c r="N74" s="420"/>
      <c r="O74" s="40" t="s">
        <v>231</v>
      </c>
      <c r="P74" s="40" t="str">
        <f>C5</f>
        <v>ENTER HEIGHT</v>
      </c>
      <c r="Q74" s="40" t="s">
        <v>151</v>
      </c>
      <c r="R74" s="40" t="s">
        <v>244</v>
      </c>
      <c r="S74" s="40" t="e">
        <f>D13</f>
        <v>#VALUE!</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57"/>
      <c r="C75" s="51"/>
      <c r="D75" s="83" t="e">
        <f>H69</f>
        <v>#VALUE!</v>
      </c>
      <c r="E75" s="105" t="e">
        <f>INDEX(C17:W37,$H$70,$D$70)</f>
        <v>#VALUE!</v>
      </c>
      <c r="F75" s="105" t="e">
        <f>(((F74-E74)/(G74-E74))*(G75-E75))+E75</f>
        <v>#VALUE!</v>
      </c>
      <c r="G75" s="105" t="e">
        <f>INDEX(C17:W37,$H$70,$E$70)</f>
        <v>#VALUE!</v>
      </c>
      <c r="H75" s="51"/>
      <c r="I75" s="51"/>
      <c r="J75" s="51"/>
      <c r="K75" s="51"/>
      <c r="L75" s="54"/>
      <c r="N75" s="41"/>
      <c r="O75" s="40"/>
      <c r="P75" s="40"/>
      <c r="Q75" s="40"/>
      <c r="R75" s="40"/>
      <c r="S75" s="40"/>
      <c r="T75" s="40"/>
      <c r="U75" s="40"/>
      <c r="V75" s="40"/>
      <c r="W75" s="169"/>
      <c r="X75" s="193"/>
      <c r="Y75" s="41"/>
      <c r="Z75" s="496" t="s">
        <v>248</v>
      </c>
      <c r="AA75" s="40"/>
      <c r="AB75" s="40" t="e">
        <f>S76</f>
        <v>#VALUE!</v>
      </c>
      <c r="AC75" s="40" t="s">
        <v>141</v>
      </c>
      <c r="AD75" s="40"/>
      <c r="AE75" s="40"/>
      <c r="AF75" s="40"/>
      <c r="AG75" s="40"/>
      <c r="AH75" s="40"/>
      <c r="AI75" s="40"/>
      <c r="AJ75" s="169"/>
    </row>
    <row r="76" spans="1:79" ht="18.75" x14ac:dyDescent="0.3">
      <c r="A76" s="2"/>
      <c r="B76" s="57"/>
      <c r="C76" s="51"/>
      <c r="D76" s="83" t="e">
        <f>C64</f>
        <v>#VALUE!</v>
      </c>
      <c r="E76" s="105" t="e">
        <f>(((D76-D75)/(D77-D75))*(E77-E75))+E75</f>
        <v>#VALUE!</v>
      </c>
      <c r="F76" s="106" t="e">
        <f>IF(AND(F74&gt;72,D76&gt;72),5/0,IF(F74=120,E76,(((F75-E75)/(G75-E75))*(G76-E76))+E76))</f>
        <v>#VALUE!</v>
      </c>
      <c r="G76" s="105" t="e">
        <f>(((D76-D75)/(D77-D75))*(G77-G75))+G75</f>
        <v>#VALUE!</v>
      </c>
      <c r="H76" s="51"/>
      <c r="I76" s="108" t="s">
        <v>43</v>
      </c>
      <c r="J76" s="108" t="e">
        <f>F76*(C4*C5)/144</f>
        <v>#VALUE!</v>
      </c>
      <c r="K76" s="108" t="s">
        <v>42</v>
      </c>
      <c r="L76" s="54"/>
      <c r="N76" s="41"/>
      <c r="O76" s="499" t="s">
        <v>247</v>
      </c>
      <c r="P76" s="40" t="e">
        <f>4*(P73*P74)</f>
        <v>#VALUE!</v>
      </c>
      <c r="Q76" s="40" t="s">
        <v>141</v>
      </c>
      <c r="R76" s="495" t="s">
        <v>248</v>
      </c>
      <c r="S76" s="40" t="e">
        <f>S74*2*S73</f>
        <v>#VALUE!</v>
      </c>
      <c r="T76" s="40" t="s">
        <v>141</v>
      </c>
      <c r="U76" s="582" t="s">
        <v>249</v>
      </c>
      <c r="V76" s="583" t="e">
        <f>V73</f>
        <v>#VALUE!</v>
      </c>
      <c r="W76" s="169" t="s">
        <v>141</v>
      </c>
      <c r="X76" s="193"/>
      <c r="Y76" s="41"/>
      <c r="Z76" s="496" t="s">
        <v>245</v>
      </c>
      <c r="AA76" s="40"/>
      <c r="AB76" s="40" t="e">
        <f>S83</f>
        <v>#VALUE!</v>
      </c>
      <c r="AC76" s="40" t="s">
        <v>141</v>
      </c>
      <c r="AD76" s="40"/>
      <c r="AE76" s="40"/>
      <c r="AF76" s="40"/>
      <c r="AG76" s="40"/>
      <c r="AH76" s="40"/>
      <c r="AI76" s="40"/>
      <c r="AJ76" s="169"/>
      <c r="BS76" s="2"/>
      <c r="BT76" s="2"/>
      <c r="BU76" s="2"/>
      <c r="BV76" s="2"/>
      <c r="BW76" s="2"/>
      <c r="BX76" s="2"/>
      <c r="BY76" s="2"/>
      <c r="BZ76" s="2"/>
      <c r="CA76" s="2"/>
    </row>
    <row r="77" spans="1:79" ht="18.75" x14ac:dyDescent="0.3">
      <c r="B77" s="57"/>
      <c r="C77" s="51"/>
      <c r="D77" s="83" t="e">
        <f>I69</f>
        <v>#VALUE!</v>
      </c>
      <c r="E77" s="105" t="e">
        <f>INDEX(C17:W37,$I$70,$D$70)</f>
        <v>#VALUE!</v>
      </c>
      <c r="F77" s="105" t="e">
        <f>(((F74-E74)/(G74-E74))*(G77-E77))+E77</f>
        <v>#VALUE!</v>
      </c>
      <c r="G77" s="105" t="e">
        <f>INDEX(C17:W37,$I$70,$E$70)</f>
        <v>#VALUE!</v>
      </c>
      <c r="H77" s="51"/>
      <c r="I77" s="108"/>
      <c r="J77" s="108"/>
      <c r="K77" s="108"/>
      <c r="L77" s="54"/>
      <c r="N77" s="41"/>
      <c r="O77" s="423"/>
      <c r="P77" s="40"/>
      <c r="Q77" s="40"/>
      <c r="R77" s="40"/>
      <c r="S77" s="40"/>
      <c r="T77" s="40"/>
      <c r="U77" s="40"/>
      <c r="V77" s="40"/>
      <c r="W77" s="169"/>
      <c r="X77" s="193"/>
      <c r="Y77" s="41"/>
      <c r="Z77" s="496" t="s">
        <v>246</v>
      </c>
      <c r="AA77" s="40"/>
      <c r="AB77" s="40" t="e">
        <f>V83</f>
        <v>#VALUE!</v>
      </c>
      <c r="AC77" s="40" t="s">
        <v>141</v>
      </c>
      <c r="AD77" s="40"/>
      <c r="AE77" s="40"/>
      <c r="AF77" s="40"/>
      <c r="AG77" s="40"/>
      <c r="AH77" s="40"/>
      <c r="AI77" s="40"/>
      <c r="AJ77" s="169"/>
      <c r="BS77" s="2"/>
      <c r="BT77" s="2"/>
      <c r="BU77" s="2"/>
      <c r="BV77" s="2"/>
      <c r="BW77" s="2"/>
      <c r="BX77" s="2"/>
      <c r="BY77" s="2"/>
      <c r="BZ77" s="2"/>
      <c r="CA77" s="2"/>
    </row>
    <row r="78" spans="1:79" x14ac:dyDescent="0.25">
      <c r="B78" s="57"/>
      <c r="C78" s="51"/>
      <c r="D78" s="51"/>
      <c r="E78" s="51"/>
      <c r="F78" s="51"/>
      <c r="G78" s="51"/>
      <c r="H78" s="51"/>
      <c r="I78" s="51"/>
      <c r="J78" s="51"/>
      <c r="K78" s="51"/>
      <c r="L78" s="54"/>
      <c r="N78" s="41"/>
      <c r="O78" s="423"/>
      <c r="P78" s="40"/>
      <c r="Q78" s="40"/>
      <c r="R78" s="40"/>
      <c r="S78" s="40"/>
      <c r="T78" s="40"/>
      <c r="U78" s="40"/>
      <c r="V78" s="40"/>
      <c r="W78" s="169"/>
      <c r="X78" s="193"/>
      <c r="Y78" s="41"/>
      <c r="Z78" s="496" t="s">
        <v>249</v>
      </c>
      <c r="AA78" s="40"/>
      <c r="AB78" s="40" t="e">
        <f>V76</f>
        <v>#VALUE!</v>
      </c>
      <c r="AC78" s="40" t="s">
        <v>141</v>
      </c>
      <c r="AD78" s="40"/>
      <c r="AE78" s="40"/>
      <c r="AF78" s="40"/>
      <c r="AG78" s="40"/>
      <c r="AH78" s="40"/>
      <c r="AI78" s="40"/>
      <c r="AJ78" s="169"/>
      <c r="BS78" s="2"/>
      <c r="BT78" s="2"/>
      <c r="BU78" s="2"/>
      <c r="BV78" s="2"/>
      <c r="BW78" s="2"/>
      <c r="BX78" s="2"/>
      <c r="BY78" s="2"/>
      <c r="BZ78" s="2"/>
      <c r="CA78" s="2"/>
    </row>
    <row r="79" spans="1:79" x14ac:dyDescent="0.25">
      <c r="B79" s="57"/>
      <c r="C79" s="51"/>
      <c r="D79" s="51"/>
      <c r="E79" s="51"/>
      <c r="F79" s="51"/>
      <c r="G79" s="51"/>
      <c r="H79" s="51"/>
      <c r="I79" s="51"/>
      <c r="J79" s="51"/>
      <c r="K79" s="51"/>
      <c r="L79" s="54"/>
      <c r="N79" s="41"/>
      <c r="O79" s="423" t="s">
        <v>148</v>
      </c>
      <c r="P79" s="40"/>
      <c r="Q79" s="40"/>
      <c r="R79" s="423" t="s">
        <v>245</v>
      </c>
      <c r="S79" s="40"/>
      <c r="T79" s="40"/>
      <c r="U79" s="423" t="s">
        <v>246</v>
      </c>
      <c r="V79" s="40"/>
      <c r="W79" s="169"/>
      <c r="X79" s="193"/>
      <c r="Y79" s="41"/>
      <c r="Z79" s="40"/>
      <c r="AA79" s="40"/>
      <c r="AB79" s="40"/>
      <c r="AC79" s="40"/>
      <c r="AD79" s="40"/>
      <c r="AE79" s="40"/>
      <c r="AF79" s="40"/>
      <c r="AG79" s="40"/>
      <c r="AH79" s="40"/>
      <c r="AI79" s="40"/>
      <c r="AJ79" s="169"/>
      <c r="BS79" s="2"/>
      <c r="BT79" s="2"/>
      <c r="BU79" s="2"/>
      <c r="BV79" s="2"/>
      <c r="BW79" s="2"/>
      <c r="BX79" s="2"/>
      <c r="BY79" s="2"/>
      <c r="BZ79" s="2"/>
      <c r="CA79" s="2"/>
    </row>
    <row r="80" spans="1:79" x14ac:dyDescent="0.25">
      <c r="B80" s="57"/>
      <c r="C80" s="51"/>
      <c r="D80" s="51"/>
      <c r="E80" s="51"/>
      <c r="F80" s="51"/>
      <c r="G80" s="51"/>
      <c r="H80" s="51"/>
      <c r="I80" s="51"/>
      <c r="J80" s="51"/>
      <c r="K80" s="51"/>
      <c r="L80" s="54"/>
      <c r="N80" s="41"/>
      <c r="O80" s="223" t="s">
        <v>142</v>
      </c>
      <c r="P80" s="40">
        <v>8.9999999999999998E-4</v>
      </c>
      <c r="Q80" s="40" t="s">
        <v>147</v>
      </c>
      <c r="R80" s="40" t="s">
        <v>142</v>
      </c>
      <c r="S80" s="783">
        <f>0.0958333333333333*2</f>
        <v>0.1916666666666666</v>
      </c>
      <c r="T80" s="40" t="s">
        <v>141</v>
      </c>
      <c r="U80" s="40" t="s">
        <v>142</v>
      </c>
      <c r="V80" s="40">
        <v>4.8500000000000001E-2</v>
      </c>
      <c r="W80" s="169" t="s">
        <v>141</v>
      </c>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62" ht="21.75" thickBot="1" x14ac:dyDescent="0.4">
      <c r="B81" s="151" t="s">
        <v>66</v>
      </c>
      <c r="C81" s="51"/>
      <c r="D81" s="51"/>
      <c r="E81" s="51"/>
      <c r="F81" s="51"/>
      <c r="G81" s="51"/>
      <c r="H81" s="51"/>
      <c r="I81" s="51"/>
      <c r="J81" s="51"/>
      <c r="K81" s="51"/>
      <c r="L81" s="54"/>
      <c r="N81" s="41"/>
      <c r="O81" s="223" t="s">
        <v>152</v>
      </c>
      <c r="P81" s="40" t="e">
        <f>(C3*C5*2)+(C4*C5*2)</f>
        <v>#VALUE!</v>
      </c>
      <c r="Q81" s="40" t="s">
        <v>153</v>
      </c>
      <c r="R81" s="40" t="s">
        <v>231</v>
      </c>
      <c r="S81" s="40" t="str">
        <f>C5</f>
        <v>ENTER HEIGHT</v>
      </c>
      <c r="T81" s="40" t="s">
        <v>151</v>
      </c>
      <c r="U81" s="40" t="s">
        <v>230</v>
      </c>
      <c r="V81" s="40" t="str">
        <f>C4</f>
        <v>ENTER WIDTH</v>
      </c>
      <c r="W81" s="169" t="s">
        <v>151</v>
      </c>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62" ht="18.75" x14ac:dyDescent="0.3">
      <c r="A82" s="2"/>
      <c r="B82" s="152"/>
      <c r="C82" s="51"/>
      <c r="D82" s="107"/>
      <c r="E82" s="159"/>
      <c r="F82" s="51"/>
      <c r="G82" s="523"/>
      <c r="H82" s="524" t="s">
        <v>270</v>
      </c>
      <c r="I82" s="525"/>
      <c r="J82" s="526"/>
      <c r="K82" s="51"/>
      <c r="L82" s="54"/>
      <c r="N82" s="41"/>
      <c r="O82" s="223"/>
      <c r="P82" s="40"/>
      <c r="Q82" s="40"/>
      <c r="R82" s="40" t="s">
        <v>374</v>
      </c>
      <c r="S82" s="40">
        <f>0.93*2</f>
        <v>1.86</v>
      </c>
      <c r="T82" s="40" t="s">
        <v>141</v>
      </c>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62" ht="18.75" x14ac:dyDescent="0.3">
      <c r="A83" s="2"/>
      <c r="B83" s="152" t="s">
        <v>189</v>
      </c>
      <c r="C83" s="51"/>
      <c r="D83" s="107" t="str">
        <f>IF(OR(C3&gt;I3,C4&gt;I4,C5&gt;I5),"",(J56*2)+(J76*2))</f>
        <v/>
      </c>
      <c r="E83" s="159" t="s">
        <v>42</v>
      </c>
      <c r="F83" s="51"/>
      <c r="G83" s="518"/>
      <c r="H83" s="198" t="str">
        <f>C1&amp;"_ENG_FA"</f>
        <v>BCJE443_ENG_FA</v>
      </c>
      <c r="I83" s="107" t="e">
        <f>(J56*2)+(J76*2)</f>
        <v>#VALUE!</v>
      </c>
      <c r="J83" s="519" t="s">
        <v>42</v>
      </c>
      <c r="K83" s="51"/>
      <c r="L83" s="54"/>
      <c r="N83" s="41"/>
      <c r="O83" s="435" t="s">
        <v>148</v>
      </c>
      <c r="P83" s="415" t="e">
        <f>P80*P81</f>
        <v>#VALUE!</v>
      </c>
      <c r="Q83" s="40" t="s">
        <v>141</v>
      </c>
      <c r="R83" s="495" t="s">
        <v>245</v>
      </c>
      <c r="S83" s="40" t="e">
        <f>IF(D12&gt;=3,((S80*S81)+S82)*(D12-1),0)</f>
        <v>#VALUE!</v>
      </c>
      <c r="T83" s="40" t="s">
        <v>141</v>
      </c>
      <c r="U83" s="495" t="s">
        <v>246</v>
      </c>
      <c r="V83" s="40" t="e">
        <f>IF(D12&gt;=3,((V80*V81)*(D12-1)),0)</f>
        <v>#VALUE!</v>
      </c>
      <c r="W83" s="169" t="s">
        <v>141</v>
      </c>
      <c r="X83" s="193"/>
      <c r="Y83" s="41"/>
      <c r="Z83" s="40"/>
      <c r="AA83" s="40"/>
      <c r="AB83" s="40"/>
      <c r="AC83" s="40"/>
      <c r="AD83" s="40"/>
      <c r="AE83" s="40"/>
      <c r="AF83" s="40"/>
      <c r="AG83" s="40"/>
      <c r="AH83" s="40"/>
      <c r="AI83" s="40"/>
      <c r="AJ83" s="169"/>
      <c r="BS83" s="2"/>
      <c r="BT83" s="2"/>
      <c r="BU83" s="2"/>
      <c r="BV83" s="2"/>
      <c r="BW83" s="2"/>
      <c r="BX83" s="2"/>
      <c r="BY83" s="2"/>
      <c r="BZ83" s="2"/>
      <c r="CA83" s="2"/>
    </row>
    <row r="84" spans="1:162" ht="18.75" x14ac:dyDescent="0.3">
      <c r="A84" s="2"/>
      <c r="B84" s="152" t="s">
        <v>190</v>
      </c>
      <c r="C84" s="51"/>
      <c r="D84" s="107" t="e">
        <f>((C3*C5*2)+(C4*C5*2))/144</f>
        <v>#VALUE!</v>
      </c>
      <c r="E84" s="159" t="s">
        <v>42</v>
      </c>
      <c r="F84" s="51"/>
      <c r="G84" s="520"/>
      <c r="H84" s="198" t="str">
        <f>C1&amp;"_ENG_FACE_AREA"</f>
        <v>BCJE443_ENG_FACE_AREA</v>
      </c>
      <c r="I84" s="107" t="e">
        <f>((C3*C5*2)+(C4*C5*2))/144</f>
        <v>#VALUE!</v>
      </c>
      <c r="J84" s="519" t="s">
        <v>42</v>
      </c>
      <c r="K84" s="51"/>
      <c r="L84" s="54"/>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62" ht="18.75" x14ac:dyDescent="0.3">
      <c r="A85" s="2"/>
      <c r="B85" s="152" t="s">
        <v>191</v>
      </c>
      <c r="C85" s="51"/>
      <c r="D85" s="107" t="e">
        <f>(D83/D84)*100</f>
        <v>#VALUE!</v>
      </c>
      <c r="E85" s="159" t="s">
        <v>13</v>
      </c>
      <c r="F85" s="51"/>
      <c r="G85" s="520"/>
      <c r="H85" s="198" t="str">
        <f>C1&amp;"_ENG_FA%"</f>
        <v>BCJE443_ENG_FA%</v>
      </c>
      <c r="I85" s="107" t="e">
        <f>(I83/I84)*100</f>
        <v>#VALUE!</v>
      </c>
      <c r="J85" s="519" t="s">
        <v>13</v>
      </c>
      <c r="K85" s="51"/>
      <c r="L85" s="54"/>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62" ht="19.5" thickBot="1" x14ac:dyDescent="0.35">
      <c r="A86" s="2"/>
      <c r="B86" s="57"/>
      <c r="C86" s="82"/>
      <c r="D86" s="51"/>
      <c r="E86" s="51"/>
      <c r="F86" s="51"/>
      <c r="G86" s="520"/>
      <c r="H86" s="198" t="str">
        <f>C1&amp;"_ENG_VEL"</f>
        <v>BCJE443_ENG_VEL</v>
      </c>
      <c r="I86" s="510" t="e">
        <f>C6/I83</f>
        <v>#VALUE!</v>
      </c>
      <c r="J86" s="527" t="s">
        <v>45</v>
      </c>
      <c r="K86" s="51"/>
      <c r="L86" s="54"/>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62" ht="18.75" x14ac:dyDescent="0.3">
      <c r="B87" s="470" t="s">
        <v>68</v>
      </c>
      <c r="C87" s="40"/>
      <c r="D87" s="494" t="e">
        <f>C6/D83</f>
        <v>#VALUE!</v>
      </c>
      <c r="E87" s="159" t="s">
        <v>45</v>
      </c>
      <c r="F87" s="471"/>
      <c r="G87" s="528" t="s">
        <v>69</v>
      </c>
      <c r="H87" s="516" t="str">
        <f>C1&amp;"_ENG_P_IN"</f>
        <v>BCJE443_ENG_P_IN</v>
      </c>
      <c r="I87" s="107" t="e">
        <f>1.70654844438105E-07*I86^2 + 7.72494047896E-19* - 2.15105711021124E-16</f>
        <v>#VALUE!</v>
      </c>
      <c r="J87" s="527" t="s">
        <v>85</v>
      </c>
      <c r="K87" s="51"/>
      <c r="L87" s="54"/>
      <c r="BS87" s="2"/>
      <c r="BT87" s="2"/>
      <c r="BU87" s="2"/>
      <c r="BV87" s="2"/>
      <c r="BW87" s="2"/>
      <c r="BX87" s="2"/>
      <c r="BY87" s="2"/>
      <c r="BZ87" s="2"/>
      <c r="CA87" s="2"/>
    </row>
    <row r="88" spans="1:162" ht="19.5" thickBot="1" x14ac:dyDescent="0.35">
      <c r="B88" s="472" t="s">
        <v>69</v>
      </c>
      <c r="C88" s="473" t="s">
        <v>6</v>
      </c>
      <c r="D88" s="494" t="e">
        <f>1.92846395595771E-07*D87^2 + 5.4210108624E-20*D87 + 1.346145417358E-15</f>
        <v>#VALUE!</v>
      </c>
      <c r="E88" s="159" t="s">
        <v>85</v>
      </c>
      <c r="F88" s="471"/>
      <c r="G88" s="521"/>
      <c r="H88" s="529" t="str">
        <f>C1&amp;"_ENG_P_EX"</f>
        <v>BCJE443_ENG_P_EX</v>
      </c>
      <c r="I88" s="530" t="e">
        <f>1.45002333746652E-07*I86^2 + 7.99599102208E-19*+ 5.27355936696949E-16</f>
        <v>#VALUE!</v>
      </c>
      <c r="J88" s="522" t="s">
        <v>85</v>
      </c>
      <c r="K88" s="51"/>
      <c r="L88" s="54"/>
      <c r="BS88" s="2"/>
      <c r="BT88" s="2"/>
      <c r="BU88" s="2"/>
      <c r="BV88" s="2"/>
      <c r="BW88" s="2"/>
      <c r="BX88" s="2"/>
      <c r="BY88" s="2"/>
      <c r="BZ88" s="2"/>
      <c r="CA88" s="2"/>
    </row>
    <row r="89" spans="1:162" ht="19.5" thickBot="1" x14ac:dyDescent="0.35">
      <c r="B89" s="474"/>
      <c r="C89" s="473" t="s">
        <v>7</v>
      </c>
      <c r="D89" s="494" t="e">
        <f>1.77306881380401E-07*D87^2 + 6.423897871977E-18*D87 - 4.86416462663897E-15</f>
        <v>#VALUE!</v>
      </c>
      <c r="E89" s="159" t="s">
        <v>85</v>
      </c>
      <c r="F89" s="471"/>
      <c r="G89" s="471"/>
      <c r="H89" s="51"/>
      <c r="I89" s="51"/>
      <c r="J89" s="51"/>
      <c r="K89" s="51"/>
      <c r="L89" s="54"/>
      <c r="N89" s="918"/>
      <c r="O89" s="919" t="s">
        <v>412</v>
      </c>
      <c r="P89" s="920"/>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19"/>
      <c r="BG89" s="919"/>
      <c r="BH89" s="919"/>
      <c r="BI89" s="919"/>
      <c r="BJ89" s="919"/>
      <c r="BK89" s="919"/>
      <c r="BL89" s="919"/>
      <c r="BM89" s="919"/>
      <c r="BN89" s="919"/>
      <c r="BO89" s="919"/>
      <c r="BP89" s="919"/>
      <c r="BQ89" s="919"/>
      <c r="BR89" s="919"/>
      <c r="BS89" s="919"/>
      <c r="BT89" s="919"/>
      <c r="BU89" s="919"/>
      <c r="BV89" s="919"/>
      <c r="BW89" s="919"/>
      <c r="BX89" s="919"/>
      <c r="BY89" s="919"/>
      <c r="BZ89" s="919"/>
      <c r="CA89" s="919"/>
      <c r="CB89" s="919"/>
      <c r="CC89" s="919"/>
      <c r="CD89" s="919"/>
      <c r="CE89" s="919"/>
      <c r="CF89" s="919"/>
      <c r="CG89" s="919"/>
      <c r="CH89" s="919"/>
      <c r="CI89" s="919"/>
      <c r="CJ89" s="919"/>
      <c r="CK89" s="919"/>
      <c r="CL89" s="919"/>
      <c r="CM89" s="919"/>
      <c r="CN89" s="919"/>
      <c r="CO89" s="919"/>
      <c r="CP89" s="919"/>
      <c r="CQ89" s="919"/>
      <c r="CR89" s="919"/>
      <c r="CS89" s="919"/>
      <c r="CT89" s="919"/>
      <c r="CU89" s="919"/>
      <c r="CV89" s="919"/>
      <c r="CW89" s="919"/>
      <c r="CX89" s="919"/>
      <c r="CY89" s="919"/>
      <c r="CZ89" s="919"/>
      <c r="DA89" s="919"/>
      <c r="DB89" s="919"/>
      <c r="DC89" s="919"/>
      <c r="DD89" s="919"/>
      <c r="DE89" s="919"/>
      <c r="DF89" s="919"/>
      <c r="DG89" s="919"/>
      <c r="DH89" s="919"/>
      <c r="DI89" s="919"/>
      <c r="DJ89" s="919"/>
      <c r="DK89" s="919"/>
      <c r="DL89" s="919"/>
      <c r="DM89" s="919"/>
      <c r="DN89" s="919"/>
      <c r="DO89" s="919"/>
      <c r="DP89" s="919"/>
      <c r="DQ89" s="919"/>
      <c r="DR89" s="919"/>
      <c r="DS89" s="919"/>
      <c r="DT89" s="919"/>
      <c r="DU89" s="919"/>
      <c r="DV89" s="919"/>
      <c r="DW89" s="919"/>
      <c r="DX89" s="919"/>
      <c r="DY89" s="919"/>
      <c r="DZ89" s="919"/>
      <c r="EA89" s="919"/>
      <c r="EB89" s="919"/>
      <c r="EC89" s="919"/>
      <c r="ED89" s="919"/>
      <c r="EE89" s="919"/>
      <c r="EF89" s="919"/>
      <c r="EG89" s="919"/>
      <c r="EH89" s="919"/>
      <c r="EI89" s="919"/>
      <c r="EJ89" s="919"/>
      <c r="EK89" s="919"/>
      <c r="EL89" s="919"/>
      <c r="EM89" s="919"/>
      <c r="EN89" s="919"/>
      <c r="EO89" s="919"/>
      <c r="EP89" s="919"/>
      <c r="EQ89" s="919"/>
      <c r="ER89" s="919"/>
      <c r="ES89" s="919"/>
      <c r="ET89" s="919"/>
      <c r="EU89" s="919"/>
      <c r="EV89" s="919"/>
      <c r="EW89" s="919"/>
      <c r="EX89" s="919"/>
      <c r="EY89" s="919"/>
      <c r="EZ89" s="919"/>
      <c r="FA89" s="919"/>
      <c r="FB89" s="919"/>
      <c r="FC89" s="919"/>
      <c r="FD89" s="919"/>
      <c r="FE89" s="919"/>
      <c r="FF89" s="921"/>
    </row>
    <row r="90" spans="1:162" ht="15.75" thickBot="1" x14ac:dyDescent="0.3">
      <c r="A90" s="1"/>
      <c r="B90" s="192"/>
      <c r="C90" s="192"/>
      <c r="D90" s="192"/>
      <c r="E90" s="192"/>
      <c r="F90" s="471"/>
      <c r="G90" s="471"/>
      <c r="H90" s="51"/>
      <c r="I90" s="51"/>
      <c r="J90" s="51"/>
      <c r="K90" s="51"/>
      <c r="L90" s="54"/>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13"/>
      <c r="EK90" s="913"/>
      <c r="EL90" s="913"/>
      <c r="EM90" s="913"/>
      <c r="EN90" s="913"/>
      <c r="EO90" s="913"/>
      <c r="EP90" s="913"/>
      <c r="EQ90" s="913"/>
      <c r="ER90" s="913"/>
      <c r="ES90" s="913"/>
      <c r="ET90" s="913"/>
      <c r="EU90" s="913"/>
      <c r="EV90" s="913"/>
      <c r="EW90" s="913"/>
      <c r="EX90" s="913"/>
      <c r="EY90" s="913"/>
      <c r="EZ90" s="913"/>
      <c r="FA90" s="913"/>
      <c r="FB90" s="913"/>
      <c r="FC90" s="913"/>
      <c r="FD90" s="913"/>
      <c r="FE90" s="913"/>
      <c r="FF90" s="923"/>
    </row>
    <row r="91" spans="1:162" ht="15.75" thickBot="1" x14ac:dyDescent="0.3">
      <c r="A91" s="1"/>
      <c r="B91" s="192"/>
      <c r="C91" s="192"/>
      <c r="D91" s="192"/>
      <c r="E91" s="192"/>
      <c r="F91" s="475"/>
      <c r="G91" s="475"/>
      <c r="H91" s="52"/>
      <c r="I91" s="52"/>
      <c r="J91" s="52"/>
      <c r="K91" s="52"/>
      <c r="L91" s="59"/>
      <c r="N91" s="922"/>
      <c r="O91" s="916">
        <v>9.5</v>
      </c>
      <c r="P91" s="913"/>
      <c r="Q91" s="924" t="s">
        <v>414</v>
      </c>
      <c r="R91" s="924" t="s">
        <v>414</v>
      </c>
      <c r="S91" s="925">
        <f t="shared" ref="S91:Z102" si="155">S46-R46</f>
        <v>1.5699999999999994</v>
      </c>
      <c r="T91" s="925">
        <f t="shared" si="155"/>
        <v>1.5600000000000005</v>
      </c>
      <c r="U91" s="925">
        <f t="shared" si="155"/>
        <v>1.5700000000000003</v>
      </c>
      <c r="V91" s="925">
        <f t="shared" si="155"/>
        <v>1.5700000000000003</v>
      </c>
      <c r="W91" s="925">
        <f t="shared" si="155"/>
        <v>1.5699999999999985</v>
      </c>
      <c r="X91" s="925">
        <f t="shared" si="155"/>
        <v>1.5600000000000005</v>
      </c>
      <c r="Y91" s="925">
        <f t="shared" si="155"/>
        <v>1.5700000000000003</v>
      </c>
      <c r="Z91" s="925">
        <f t="shared" si="155"/>
        <v>1.5699999999999985</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13"/>
      <c r="EK91" s="913"/>
      <c r="EL91" s="913"/>
      <c r="EM91" s="913"/>
      <c r="EN91" s="913"/>
      <c r="EO91" s="913"/>
      <c r="EP91" s="913"/>
      <c r="EQ91" s="913"/>
      <c r="ER91" s="913"/>
      <c r="ES91" s="913"/>
      <c r="ET91" s="913"/>
      <c r="EU91" s="913"/>
      <c r="EV91" s="913"/>
      <c r="EW91" s="913"/>
      <c r="EX91" s="913"/>
      <c r="EY91" s="913"/>
      <c r="EZ91" s="913"/>
      <c r="FA91" s="913"/>
      <c r="FB91" s="913"/>
      <c r="FC91" s="913"/>
      <c r="FD91" s="913"/>
      <c r="FE91" s="913"/>
      <c r="FF91" s="923"/>
    </row>
    <row r="92" spans="1:162" ht="15.75" thickBot="1" x14ac:dyDescent="0.3">
      <c r="A92" s="1"/>
      <c r="B92" s="192"/>
      <c r="C92" s="192"/>
      <c r="D92" s="192"/>
      <c r="E92" s="192"/>
      <c r="F92" s="475"/>
      <c r="G92" s="475"/>
      <c r="H92" s="52"/>
      <c r="I92" s="52"/>
      <c r="J92" s="52"/>
      <c r="K92" s="52"/>
      <c r="L92" s="59"/>
      <c r="N92" s="922"/>
      <c r="O92" s="917">
        <v>12</v>
      </c>
      <c r="P92" s="913"/>
      <c r="Q92" s="925" t="s">
        <v>414</v>
      </c>
      <c r="R92" s="925" t="s">
        <v>414</v>
      </c>
      <c r="S92" s="925">
        <f t="shared" si="155"/>
        <v>1.5699999999999998</v>
      </c>
      <c r="T92" s="925">
        <f t="shared" si="155"/>
        <v>1.5600000000000005</v>
      </c>
      <c r="U92" s="925">
        <f t="shared" si="155"/>
        <v>1.5699999999999994</v>
      </c>
      <c r="V92" s="925">
        <f t="shared" si="155"/>
        <v>1.5700000000000003</v>
      </c>
      <c r="W92" s="925">
        <f t="shared" si="155"/>
        <v>1.5700000000000003</v>
      </c>
      <c r="X92" s="925">
        <f t="shared" si="155"/>
        <v>1.5700000000000003</v>
      </c>
      <c r="Y92" s="925">
        <f t="shared" si="155"/>
        <v>1.5700000000000003</v>
      </c>
      <c r="Z92" s="925">
        <f t="shared" si="155"/>
        <v>1.5699999999999985</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13"/>
      <c r="EK92" s="913"/>
      <c r="EL92" s="913"/>
      <c r="EM92" s="913"/>
      <c r="EN92" s="913"/>
      <c r="EO92" s="913"/>
      <c r="EP92" s="913"/>
      <c r="EQ92" s="913"/>
      <c r="ER92" s="913"/>
      <c r="ES92" s="913"/>
      <c r="ET92" s="913"/>
      <c r="EU92" s="913"/>
      <c r="EV92" s="913"/>
      <c r="EW92" s="913"/>
      <c r="EX92" s="913"/>
      <c r="EY92" s="913"/>
      <c r="EZ92" s="913"/>
      <c r="FA92" s="913"/>
      <c r="FB92" s="913"/>
      <c r="FC92" s="913"/>
      <c r="FD92" s="913"/>
      <c r="FE92" s="913"/>
      <c r="FF92" s="923"/>
    </row>
    <row r="93" spans="1:162" ht="15.75" thickBot="1" x14ac:dyDescent="0.3">
      <c r="A93" s="1"/>
      <c r="B93" s="192"/>
      <c r="C93" s="192"/>
      <c r="D93" s="192"/>
      <c r="E93" s="192"/>
      <c r="F93" s="475"/>
      <c r="G93" s="475"/>
      <c r="H93" s="52"/>
      <c r="I93" s="52"/>
      <c r="J93" s="52"/>
      <c r="K93" s="52"/>
      <c r="L93" s="59"/>
      <c r="N93" s="922"/>
      <c r="O93" s="917">
        <v>18</v>
      </c>
      <c r="P93" s="913"/>
      <c r="Q93" s="925" t="s">
        <v>414</v>
      </c>
      <c r="R93" s="925" t="s">
        <v>414</v>
      </c>
      <c r="S93" s="925">
        <f t="shared" si="155"/>
        <v>1.9299999999999997</v>
      </c>
      <c r="T93" s="925">
        <f t="shared" si="155"/>
        <v>1.9399999999999995</v>
      </c>
      <c r="U93" s="925">
        <f t="shared" si="155"/>
        <v>1.9399999999999995</v>
      </c>
      <c r="V93" s="925">
        <f t="shared" si="155"/>
        <v>1.9399999999999995</v>
      </c>
      <c r="W93" s="925">
        <f t="shared" si="155"/>
        <v>1.9399999999999995</v>
      </c>
      <c r="X93" s="925">
        <f t="shared" si="155"/>
        <v>1.9400000000000013</v>
      </c>
      <c r="Y93" s="925">
        <f t="shared" si="155"/>
        <v>1.9400000000000013</v>
      </c>
      <c r="Z93" s="925">
        <f t="shared" si="155"/>
        <v>1.9400000000000013</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13"/>
      <c r="EL93" s="913"/>
      <c r="EM93" s="913"/>
      <c r="EN93" s="913"/>
      <c r="EO93" s="913"/>
      <c r="EP93" s="913"/>
      <c r="EQ93" s="913"/>
      <c r="ER93" s="913"/>
      <c r="ES93" s="913"/>
      <c r="ET93" s="913"/>
      <c r="EU93" s="913"/>
      <c r="EV93" s="913"/>
      <c r="EW93" s="913"/>
      <c r="EX93" s="913"/>
      <c r="EY93" s="913"/>
      <c r="EZ93" s="913"/>
      <c r="FA93" s="913"/>
      <c r="FB93" s="913"/>
      <c r="FC93" s="913"/>
      <c r="FD93" s="913"/>
      <c r="FE93" s="913"/>
      <c r="FF93" s="923"/>
    </row>
    <row r="94" spans="1:162" ht="18.75" customHeight="1" thickBot="1" x14ac:dyDescent="0.3">
      <c r="A94" s="2"/>
      <c r="B94" s="476"/>
      <c r="C94" s="160"/>
      <c r="D94" s="160"/>
      <c r="E94" s="160"/>
      <c r="F94" s="160"/>
      <c r="G94" s="160"/>
      <c r="H94" s="55"/>
      <c r="I94" s="55"/>
      <c r="J94" s="55"/>
      <c r="K94" s="55"/>
      <c r="L94" s="56"/>
      <c r="N94" s="922"/>
      <c r="O94" s="917">
        <v>24</v>
      </c>
      <c r="P94" s="913"/>
      <c r="Q94" s="925" t="s">
        <v>414</v>
      </c>
      <c r="R94" s="925" t="s">
        <v>414</v>
      </c>
      <c r="S94" s="925">
        <f t="shared" si="155"/>
        <v>2.3000000000000007</v>
      </c>
      <c r="T94" s="925">
        <f t="shared" si="155"/>
        <v>2.2999999999999989</v>
      </c>
      <c r="U94" s="925">
        <f t="shared" si="155"/>
        <v>2.3000000000000007</v>
      </c>
      <c r="V94" s="925">
        <f t="shared" si="155"/>
        <v>2.3000000000000007</v>
      </c>
      <c r="W94" s="925">
        <f t="shared" si="155"/>
        <v>2.3000000000000007</v>
      </c>
      <c r="X94" s="925">
        <f t="shared" si="155"/>
        <v>2.3000000000000007</v>
      </c>
      <c r="Y94" s="925">
        <f t="shared" si="155"/>
        <v>2.3000000000000007</v>
      </c>
      <c r="Z94" s="925">
        <f t="shared" si="155"/>
        <v>2.3000000000000007</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13"/>
      <c r="EK94" s="913"/>
      <c r="EL94" s="913"/>
      <c r="EM94" s="913"/>
      <c r="EN94" s="913"/>
      <c r="EO94" s="913"/>
      <c r="EP94" s="913"/>
      <c r="EQ94" s="913"/>
      <c r="ER94" s="913"/>
      <c r="ES94" s="913"/>
      <c r="ET94" s="913"/>
      <c r="EU94" s="913"/>
      <c r="EV94" s="913"/>
      <c r="EW94" s="913"/>
      <c r="EX94" s="913"/>
      <c r="EY94" s="913"/>
      <c r="EZ94" s="913"/>
      <c r="FA94" s="913"/>
      <c r="FB94" s="913"/>
      <c r="FC94" s="913"/>
      <c r="FD94" s="913"/>
      <c r="FE94" s="913"/>
      <c r="FF94" s="923"/>
    </row>
    <row r="95" spans="1:162" ht="18.75" customHeight="1" thickBot="1" x14ac:dyDescent="0.3">
      <c r="A95" s="2"/>
      <c r="N95" s="922"/>
      <c r="O95" s="917">
        <v>30</v>
      </c>
      <c r="P95" s="913"/>
      <c r="Q95" s="925" t="s">
        <v>414</v>
      </c>
      <c r="R95" s="925" t="s">
        <v>414</v>
      </c>
      <c r="S95" s="925">
        <f t="shared" si="155"/>
        <v>3.0399999999999991</v>
      </c>
      <c r="T95" s="925">
        <f t="shared" si="155"/>
        <v>3.0400000000000009</v>
      </c>
      <c r="U95" s="925">
        <f t="shared" si="155"/>
        <v>3.0400000000000009</v>
      </c>
      <c r="V95" s="925">
        <f t="shared" si="155"/>
        <v>3.0399999999999991</v>
      </c>
      <c r="W95" s="925">
        <f t="shared" si="155"/>
        <v>3.0399999999999991</v>
      </c>
      <c r="X95" s="925">
        <f t="shared" si="155"/>
        <v>3.0399999999999991</v>
      </c>
      <c r="Y95" s="925">
        <f t="shared" si="155"/>
        <v>3.0399999999999991</v>
      </c>
      <c r="Z95" s="925">
        <f t="shared" si="155"/>
        <v>3.0400000000000027</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13"/>
      <c r="EK95" s="913"/>
      <c r="EL95" s="913"/>
      <c r="EM95" s="913"/>
      <c r="EN95" s="913"/>
      <c r="EO95" s="913"/>
      <c r="EP95" s="913"/>
      <c r="EQ95" s="913"/>
      <c r="ER95" s="913"/>
      <c r="ES95" s="913"/>
      <c r="ET95" s="913"/>
      <c r="EU95" s="913"/>
      <c r="EV95" s="913"/>
      <c r="EW95" s="913"/>
      <c r="EX95" s="913"/>
      <c r="EY95" s="913"/>
      <c r="EZ95" s="913"/>
      <c r="FA95" s="913"/>
      <c r="FB95" s="913"/>
      <c r="FC95" s="913"/>
      <c r="FD95" s="913"/>
      <c r="FE95" s="913"/>
      <c r="FF95" s="923"/>
    </row>
    <row r="96" spans="1:162" ht="15.75" thickBot="1" x14ac:dyDescent="0.3">
      <c r="A96" s="2"/>
      <c r="N96" s="922"/>
      <c r="O96" s="917">
        <v>36</v>
      </c>
      <c r="P96" s="913"/>
      <c r="Q96" s="925" t="s">
        <v>414</v>
      </c>
      <c r="R96" s="925" t="s">
        <v>414</v>
      </c>
      <c r="S96" s="925">
        <f t="shared" si="155"/>
        <v>3.41</v>
      </c>
      <c r="T96" s="925">
        <f t="shared" si="155"/>
        <v>3.4200000000000017</v>
      </c>
      <c r="U96" s="925">
        <f t="shared" si="155"/>
        <v>3.4200000000000017</v>
      </c>
      <c r="V96" s="925">
        <f t="shared" si="155"/>
        <v>3.4200000000000017</v>
      </c>
      <c r="W96" s="925">
        <f t="shared" si="155"/>
        <v>3.4200000000000017</v>
      </c>
      <c r="X96" s="925">
        <f t="shared" si="155"/>
        <v>3.4200000000000017</v>
      </c>
      <c r="Y96" s="925">
        <f t="shared" si="155"/>
        <v>3.3699999999999903</v>
      </c>
      <c r="Z96" s="925">
        <f t="shared" si="155"/>
        <v>3.4200000000000017</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13"/>
      <c r="EK96" s="913"/>
      <c r="EL96" s="913"/>
      <c r="EM96" s="913"/>
      <c r="EN96" s="913"/>
      <c r="EO96" s="913"/>
      <c r="EP96" s="913"/>
      <c r="EQ96" s="913"/>
      <c r="ER96" s="913"/>
      <c r="ES96" s="913"/>
      <c r="ET96" s="913"/>
      <c r="EU96" s="913"/>
      <c r="EV96" s="913"/>
      <c r="EW96" s="913"/>
      <c r="EX96" s="913"/>
      <c r="EY96" s="913"/>
      <c r="EZ96" s="913"/>
      <c r="FA96" s="913"/>
      <c r="FB96" s="913"/>
      <c r="FC96" s="913"/>
      <c r="FD96" s="913"/>
      <c r="FE96" s="913"/>
      <c r="FF96" s="923"/>
    </row>
    <row r="97" spans="1:162" ht="15.75" thickBot="1" x14ac:dyDescent="0.3">
      <c r="A97" s="2"/>
      <c r="N97" s="922"/>
      <c r="O97" s="917">
        <v>42</v>
      </c>
      <c r="P97" s="913"/>
      <c r="Q97" s="925" t="s">
        <v>414</v>
      </c>
      <c r="R97" s="925" t="s">
        <v>414</v>
      </c>
      <c r="S97" s="925">
        <f t="shared" si="155"/>
        <v>3.7800000000000011</v>
      </c>
      <c r="T97" s="925">
        <f t="shared" si="155"/>
        <v>3.7799999999999994</v>
      </c>
      <c r="U97" s="925">
        <f t="shared" si="155"/>
        <v>3.7800000000000011</v>
      </c>
      <c r="V97" s="925">
        <f t="shared" si="155"/>
        <v>3.7800000000000011</v>
      </c>
      <c r="W97" s="925">
        <f t="shared" si="155"/>
        <v>3.7800000000000011</v>
      </c>
      <c r="X97" s="925">
        <f t="shared" si="155"/>
        <v>3.7800000000000011</v>
      </c>
      <c r="Y97" s="925">
        <f t="shared" si="155"/>
        <v>3.7800000000000011</v>
      </c>
      <c r="Z97" s="925">
        <f t="shared" si="155"/>
        <v>3.7800000000000011</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13"/>
      <c r="EK97" s="913"/>
      <c r="EL97" s="913"/>
      <c r="EM97" s="913"/>
      <c r="EN97" s="913"/>
      <c r="EO97" s="913"/>
      <c r="EP97" s="913"/>
      <c r="EQ97" s="913"/>
      <c r="ER97" s="913"/>
      <c r="ES97" s="913"/>
      <c r="ET97" s="913"/>
      <c r="EU97" s="913"/>
      <c r="EV97" s="913"/>
      <c r="EW97" s="913"/>
      <c r="EX97" s="913"/>
      <c r="EY97" s="913"/>
      <c r="EZ97" s="913"/>
      <c r="FA97" s="913"/>
      <c r="FB97" s="913"/>
      <c r="FC97" s="913"/>
      <c r="FD97" s="913"/>
      <c r="FE97" s="913"/>
      <c r="FF97" s="923"/>
    </row>
    <row r="98" spans="1:162" ht="15.75" thickBot="1" x14ac:dyDescent="0.3">
      <c r="A98" s="2"/>
      <c r="N98" s="922"/>
      <c r="O98" s="917">
        <v>48</v>
      </c>
      <c r="P98" s="913"/>
      <c r="Q98" s="925" t="s">
        <v>414</v>
      </c>
      <c r="R98" s="925" t="s">
        <v>414</v>
      </c>
      <c r="S98" s="925">
        <f t="shared" si="155"/>
        <v>4.1500000000000021</v>
      </c>
      <c r="T98" s="925">
        <f t="shared" si="155"/>
        <v>4.1499999999999986</v>
      </c>
      <c r="U98" s="925">
        <f t="shared" si="155"/>
        <v>4.1500000000000021</v>
      </c>
      <c r="V98" s="925">
        <f t="shared" si="155"/>
        <v>4.1499999999999986</v>
      </c>
      <c r="W98" s="925">
        <f t="shared" si="155"/>
        <v>4.1499999999999986</v>
      </c>
      <c r="X98" s="925">
        <f t="shared" si="155"/>
        <v>4.1499999999999986</v>
      </c>
      <c r="Y98" s="925">
        <f t="shared" si="155"/>
        <v>4.1499999999999986</v>
      </c>
      <c r="Z98" s="925">
        <f t="shared" si="155"/>
        <v>4.1499999999999986</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13"/>
      <c r="EK98" s="913"/>
      <c r="EL98" s="913"/>
      <c r="EM98" s="913"/>
      <c r="EN98" s="913"/>
      <c r="EO98" s="913"/>
      <c r="EP98" s="913"/>
      <c r="EQ98" s="913"/>
      <c r="ER98" s="913"/>
      <c r="ES98" s="913"/>
      <c r="ET98" s="913"/>
      <c r="EU98" s="913"/>
      <c r="EV98" s="913"/>
      <c r="EW98" s="913"/>
      <c r="EX98" s="913"/>
      <c r="EY98" s="913"/>
      <c r="EZ98" s="913"/>
      <c r="FA98" s="913"/>
      <c r="FB98" s="913"/>
      <c r="FC98" s="913"/>
      <c r="FD98" s="913"/>
      <c r="FE98" s="913"/>
      <c r="FF98" s="923"/>
    </row>
    <row r="99" spans="1:162" ht="15.75" thickBot="1" x14ac:dyDescent="0.3">
      <c r="A99" s="2"/>
      <c r="N99" s="922"/>
      <c r="O99" s="917">
        <v>54</v>
      </c>
      <c r="P99" s="913"/>
      <c r="Q99" s="925" t="s">
        <v>414</v>
      </c>
      <c r="R99" s="925" t="s">
        <v>414</v>
      </c>
      <c r="S99" s="925">
        <f t="shared" si="155"/>
        <v>4.5199999999999996</v>
      </c>
      <c r="T99" s="925">
        <f t="shared" si="155"/>
        <v>4.5100000000000016</v>
      </c>
      <c r="U99" s="925">
        <f t="shared" si="155"/>
        <v>4.5199999999999996</v>
      </c>
      <c r="V99" s="925">
        <f t="shared" si="155"/>
        <v>4.5199999999999996</v>
      </c>
      <c r="W99" s="925">
        <f t="shared" si="155"/>
        <v>4.5200000000000031</v>
      </c>
      <c r="X99" s="925">
        <f t="shared" si="155"/>
        <v>4.519999999999996</v>
      </c>
      <c r="Y99" s="925">
        <f t="shared" si="155"/>
        <v>4.519999999999996</v>
      </c>
      <c r="Z99" s="925">
        <f t="shared" si="155"/>
        <v>4.519999999999996</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13"/>
      <c r="EK99" s="913"/>
      <c r="EL99" s="913"/>
      <c r="EM99" s="913"/>
      <c r="EN99" s="913"/>
      <c r="EO99" s="913"/>
      <c r="EP99" s="913"/>
      <c r="EQ99" s="913"/>
      <c r="ER99" s="913"/>
      <c r="ES99" s="913"/>
      <c r="ET99" s="913"/>
      <c r="EU99" s="913"/>
      <c r="EV99" s="913"/>
      <c r="EW99" s="913"/>
      <c r="EX99" s="913"/>
      <c r="EY99" s="913"/>
      <c r="EZ99" s="913"/>
      <c r="FA99" s="913"/>
      <c r="FB99" s="913"/>
      <c r="FC99" s="913"/>
      <c r="FD99" s="913"/>
      <c r="FE99" s="913"/>
      <c r="FF99" s="923"/>
    </row>
    <row r="100" spans="1:162" ht="15.75" thickBot="1" x14ac:dyDescent="0.3">
      <c r="A100" s="2"/>
      <c r="N100" s="922"/>
      <c r="O100" s="917">
        <v>60</v>
      </c>
      <c r="P100" s="913"/>
      <c r="Q100" s="925" t="s">
        <v>414</v>
      </c>
      <c r="R100" s="925" t="s">
        <v>414</v>
      </c>
      <c r="S100" s="925">
        <f t="shared" si="155"/>
        <v>5.25</v>
      </c>
      <c r="T100" s="925">
        <f t="shared" si="155"/>
        <v>5.2600000000000016</v>
      </c>
      <c r="U100" s="925">
        <f t="shared" si="155"/>
        <v>5.25</v>
      </c>
      <c r="V100" s="925">
        <f t="shared" si="155"/>
        <v>5.2499999999999964</v>
      </c>
      <c r="W100" s="925">
        <f t="shared" si="155"/>
        <v>5.25</v>
      </c>
      <c r="X100" s="925">
        <f t="shared" si="155"/>
        <v>5.25</v>
      </c>
      <c r="Y100" s="925">
        <f t="shared" si="155"/>
        <v>5.25</v>
      </c>
      <c r="Z100" s="925">
        <f t="shared" si="155"/>
        <v>5.25</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13"/>
      <c r="EK100" s="913"/>
      <c r="EL100" s="913"/>
      <c r="EM100" s="913"/>
      <c r="EN100" s="913"/>
      <c r="EO100" s="913"/>
      <c r="EP100" s="913"/>
      <c r="EQ100" s="913"/>
      <c r="ER100" s="913"/>
      <c r="ES100" s="913"/>
      <c r="ET100" s="913"/>
      <c r="EU100" s="913"/>
      <c r="EV100" s="913"/>
      <c r="EW100" s="913"/>
      <c r="EX100" s="913"/>
      <c r="EY100" s="913"/>
      <c r="EZ100" s="913"/>
      <c r="FA100" s="913"/>
      <c r="FB100" s="913"/>
      <c r="FC100" s="913"/>
      <c r="FD100" s="913"/>
      <c r="FE100" s="913"/>
      <c r="FF100" s="923"/>
    </row>
    <row r="101" spans="1:162" ht="15.75" thickBot="1" x14ac:dyDescent="0.3">
      <c r="A101" s="2"/>
      <c r="N101" s="922"/>
      <c r="O101" s="917">
        <v>66</v>
      </c>
      <c r="P101" s="913"/>
      <c r="Q101" s="925" t="s">
        <v>414</v>
      </c>
      <c r="R101" s="925" t="s">
        <v>414</v>
      </c>
      <c r="S101" s="925">
        <f t="shared" si="155"/>
        <v>5.620000000000001</v>
      </c>
      <c r="T101" s="925">
        <f t="shared" si="155"/>
        <v>5.6199999999999974</v>
      </c>
      <c r="U101" s="925">
        <f t="shared" si="155"/>
        <v>5.620000000000001</v>
      </c>
      <c r="V101" s="925">
        <f t="shared" si="155"/>
        <v>5.6199999999999974</v>
      </c>
      <c r="W101" s="925">
        <f t="shared" si="155"/>
        <v>5.6199999999999974</v>
      </c>
      <c r="X101" s="925">
        <f t="shared" si="155"/>
        <v>5.6199999999999974</v>
      </c>
      <c r="Y101" s="925">
        <f t="shared" si="155"/>
        <v>5.6199999999999974</v>
      </c>
      <c r="Z101" s="925">
        <f t="shared" si="155"/>
        <v>5.6199999999999974</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13"/>
      <c r="EK101" s="913"/>
      <c r="EL101" s="913"/>
      <c r="EM101" s="913"/>
      <c r="EN101" s="913"/>
      <c r="EO101" s="913"/>
      <c r="EP101" s="913"/>
      <c r="EQ101" s="913"/>
      <c r="ER101" s="913"/>
      <c r="ES101" s="913"/>
      <c r="ET101" s="913"/>
      <c r="EU101" s="913"/>
      <c r="EV101" s="913"/>
      <c r="EW101" s="913"/>
      <c r="EX101" s="913"/>
      <c r="EY101" s="913"/>
      <c r="EZ101" s="913"/>
      <c r="FA101" s="913"/>
      <c r="FB101" s="913"/>
      <c r="FC101" s="913"/>
      <c r="FD101" s="913"/>
      <c r="FE101" s="913"/>
      <c r="FF101" s="923"/>
    </row>
    <row r="102" spans="1:162" ht="15.75" thickBot="1" x14ac:dyDescent="0.3">
      <c r="A102" s="2"/>
      <c r="N102" s="922"/>
      <c r="O102" s="917">
        <v>72</v>
      </c>
      <c r="P102" s="913"/>
      <c r="Q102" s="925" t="s">
        <v>414</v>
      </c>
      <c r="R102" s="925" t="s">
        <v>414</v>
      </c>
      <c r="S102" s="925">
        <f t="shared" si="155"/>
        <v>5.990000000000002</v>
      </c>
      <c r="T102" s="925">
        <f t="shared" si="155"/>
        <v>6</v>
      </c>
      <c r="U102" s="925">
        <f t="shared" si="155"/>
        <v>6.0000000000000036</v>
      </c>
      <c r="V102" s="925">
        <f t="shared" si="155"/>
        <v>6</v>
      </c>
      <c r="W102" s="925">
        <f t="shared" si="155"/>
        <v>6</v>
      </c>
      <c r="X102" s="925">
        <f t="shared" si="155"/>
        <v>6</v>
      </c>
      <c r="Y102" s="925">
        <f t="shared" si="155"/>
        <v>5.9399999999999977</v>
      </c>
      <c r="Z102" s="925">
        <f t="shared" si="155"/>
        <v>6</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13"/>
      <c r="EK102" s="913"/>
      <c r="EL102" s="913"/>
      <c r="EM102" s="913"/>
      <c r="EN102" s="913"/>
      <c r="EO102" s="913"/>
      <c r="EP102" s="913"/>
      <c r="EQ102" s="913"/>
      <c r="ER102" s="913"/>
      <c r="ES102" s="913"/>
      <c r="ET102" s="913"/>
      <c r="EU102" s="913"/>
      <c r="EV102" s="913"/>
      <c r="EW102" s="913"/>
      <c r="EX102" s="913"/>
      <c r="EY102" s="913"/>
      <c r="EZ102" s="913"/>
      <c r="FA102" s="913"/>
      <c r="FB102" s="913"/>
      <c r="FC102" s="913"/>
      <c r="FD102" s="913"/>
      <c r="FE102" s="913"/>
      <c r="FF102" s="923"/>
    </row>
    <row r="103" spans="1:162" ht="15.75" thickBot="1" x14ac:dyDescent="0.3">
      <c r="A103" s="2"/>
      <c r="N103" s="922"/>
      <c r="O103" s="917"/>
      <c r="P103" s="913"/>
      <c r="Q103" s="925"/>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13"/>
      <c r="EK103" s="913"/>
      <c r="EL103" s="913"/>
      <c r="EM103" s="913"/>
      <c r="EN103" s="913"/>
      <c r="EO103" s="913"/>
      <c r="EP103" s="913"/>
      <c r="EQ103" s="913"/>
      <c r="ER103" s="913"/>
      <c r="ES103" s="913"/>
      <c r="ET103" s="913"/>
      <c r="EU103" s="913"/>
      <c r="EV103" s="913"/>
      <c r="EW103" s="913"/>
      <c r="EX103" s="913"/>
      <c r="EY103" s="913"/>
      <c r="EZ103" s="913"/>
      <c r="FA103" s="913"/>
      <c r="FB103" s="913"/>
      <c r="FC103" s="913"/>
      <c r="FD103" s="913"/>
      <c r="FE103" s="913"/>
      <c r="FF103" s="923"/>
    </row>
    <row r="104" spans="1:162" ht="15.75" thickBot="1" x14ac:dyDescent="0.3">
      <c r="N104" s="922"/>
      <c r="O104" s="917"/>
      <c r="P104" s="913"/>
      <c r="Q104" s="925"/>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13"/>
      <c r="EK104" s="913"/>
      <c r="EL104" s="913"/>
      <c r="EM104" s="913"/>
      <c r="EN104" s="913"/>
      <c r="EO104" s="913"/>
      <c r="EP104" s="913"/>
      <c r="EQ104" s="913"/>
      <c r="ER104" s="913"/>
      <c r="ES104" s="913"/>
      <c r="ET104" s="913"/>
      <c r="EU104" s="913"/>
      <c r="EV104" s="913"/>
      <c r="EW104" s="913"/>
      <c r="EX104" s="913"/>
      <c r="EY104" s="913"/>
      <c r="EZ104" s="913"/>
      <c r="FA104" s="913"/>
      <c r="FB104" s="913"/>
      <c r="FC104" s="913"/>
      <c r="FD104" s="913"/>
      <c r="FE104" s="913"/>
      <c r="FF104" s="923"/>
    </row>
    <row r="105" spans="1:162" ht="15.75" thickBot="1" x14ac:dyDescent="0.3">
      <c r="N105" s="922"/>
      <c r="O105" s="917"/>
      <c r="P105" s="913"/>
      <c r="Q105" s="925"/>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13"/>
      <c r="EK105" s="913"/>
      <c r="EL105" s="913"/>
      <c r="EM105" s="913"/>
      <c r="EN105" s="913"/>
      <c r="EO105" s="913"/>
      <c r="EP105" s="913"/>
      <c r="EQ105" s="913"/>
      <c r="ER105" s="913"/>
      <c r="ES105" s="913"/>
      <c r="ET105" s="913"/>
      <c r="EU105" s="913"/>
      <c r="EV105" s="913"/>
      <c r="EW105" s="913"/>
      <c r="EX105" s="913"/>
      <c r="EY105" s="913"/>
      <c r="EZ105" s="913"/>
      <c r="FA105" s="913"/>
      <c r="FB105" s="913"/>
      <c r="FC105" s="913"/>
      <c r="FD105" s="913"/>
      <c r="FE105" s="913"/>
      <c r="FF105" s="923"/>
    </row>
    <row r="106" spans="1:162" x14ac:dyDescent="0.25">
      <c r="N106" s="922"/>
      <c r="O106" s="913"/>
      <c r="P106" s="913"/>
      <c r="Q106" s="913"/>
      <c r="R106" s="913"/>
      <c r="S106" s="913"/>
      <c r="T106" s="913"/>
      <c r="U106" s="913"/>
      <c r="V106" s="913"/>
      <c r="W106" s="913"/>
      <c r="X106" s="913"/>
      <c r="Y106" s="913"/>
      <c r="Z106" s="913"/>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13"/>
      <c r="EK106" s="913"/>
      <c r="EL106" s="913"/>
      <c r="EM106" s="913"/>
      <c r="EN106" s="913"/>
      <c r="EO106" s="913"/>
      <c r="EP106" s="913"/>
      <c r="EQ106" s="913"/>
      <c r="ER106" s="913"/>
      <c r="ES106" s="913"/>
      <c r="ET106" s="913"/>
      <c r="EU106" s="913"/>
      <c r="EV106" s="913"/>
      <c r="EW106" s="913"/>
      <c r="EX106" s="913"/>
      <c r="EY106" s="913"/>
      <c r="EZ106" s="913"/>
      <c r="FA106" s="913"/>
      <c r="FB106" s="913"/>
      <c r="FC106" s="913"/>
      <c r="FD106" s="913"/>
      <c r="FE106" s="913"/>
      <c r="FF106" s="923"/>
    </row>
    <row r="107" spans="1:162" x14ac:dyDescent="0.25">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13"/>
      <c r="EK107" s="913"/>
      <c r="EL107" s="913"/>
      <c r="EM107" s="913"/>
      <c r="EN107" s="913"/>
      <c r="EO107" s="913"/>
      <c r="EP107" s="913"/>
      <c r="EQ107" s="913"/>
      <c r="ER107" s="913"/>
      <c r="ES107" s="913"/>
      <c r="ET107" s="913"/>
      <c r="EU107" s="913"/>
      <c r="EV107" s="913"/>
      <c r="EW107" s="913"/>
      <c r="EX107" s="913"/>
      <c r="EY107" s="913"/>
      <c r="EZ107" s="913"/>
      <c r="FA107" s="913"/>
      <c r="FB107" s="913"/>
      <c r="FC107" s="913"/>
      <c r="FD107" s="913"/>
      <c r="FE107" s="913"/>
      <c r="FF107" s="923"/>
    </row>
    <row r="108" spans="1:162" ht="15.75" thickBot="1" x14ac:dyDescent="0.3">
      <c r="N108" s="922"/>
      <c r="O108" s="913" t="s">
        <v>416</v>
      </c>
      <c r="P108" s="924"/>
      <c r="Q108" s="924"/>
      <c r="R108" s="924"/>
      <c r="S108" s="924"/>
      <c r="T108" s="924"/>
      <c r="U108" s="924"/>
      <c r="V108" s="924"/>
      <c r="W108" s="924"/>
      <c r="X108" s="924"/>
      <c r="Y108" s="924"/>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13"/>
      <c r="EK108" s="913"/>
      <c r="EL108" s="913"/>
      <c r="EM108" s="913"/>
      <c r="EN108" s="913"/>
      <c r="EO108" s="913"/>
      <c r="EP108" s="913"/>
      <c r="EQ108" s="913"/>
      <c r="ER108" s="913"/>
      <c r="ES108" s="913"/>
      <c r="ET108" s="913"/>
      <c r="EU108" s="913"/>
      <c r="EV108" s="913"/>
      <c r="EW108" s="913"/>
      <c r="EX108" s="913"/>
      <c r="EY108" s="913"/>
      <c r="EZ108" s="913"/>
      <c r="FA108" s="913"/>
      <c r="FB108" s="913"/>
      <c r="FC108" s="913"/>
      <c r="FD108" s="913"/>
      <c r="FE108" s="913"/>
      <c r="FF108" s="923"/>
    </row>
    <row r="109" spans="1:162" ht="15.75" thickBot="1" x14ac:dyDescent="0.3">
      <c r="N109" s="922"/>
      <c r="O109" s="913"/>
      <c r="P109" s="913"/>
      <c r="Q109" s="914">
        <v>9</v>
      </c>
      <c r="R109" s="915">
        <v>12</v>
      </c>
      <c r="S109" s="915">
        <f t="shared" ref="S109:Z109" si="156">R109+6</f>
        <v>18</v>
      </c>
      <c r="T109" s="915">
        <f t="shared" si="156"/>
        <v>24</v>
      </c>
      <c r="U109" s="915">
        <f t="shared" si="156"/>
        <v>30</v>
      </c>
      <c r="V109" s="915">
        <f t="shared" si="156"/>
        <v>36</v>
      </c>
      <c r="W109" s="915">
        <f t="shared" si="156"/>
        <v>42</v>
      </c>
      <c r="X109" s="915">
        <f t="shared" si="156"/>
        <v>48</v>
      </c>
      <c r="Y109" s="915">
        <f t="shared" si="156"/>
        <v>54</v>
      </c>
      <c r="Z109" s="915">
        <f t="shared" si="156"/>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13"/>
      <c r="EK109" s="913"/>
      <c r="EL109" s="913"/>
      <c r="EM109" s="913"/>
      <c r="EN109" s="913"/>
      <c r="EO109" s="913"/>
      <c r="EP109" s="913"/>
      <c r="EQ109" s="913"/>
      <c r="ER109" s="913"/>
      <c r="ES109" s="913"/>
      <c r="ET109" s="913"/>
      <c r="EU109" s="913"/>
      <c r="EV109" s="913"/>
      <c r="EW109" s="913"/>
      <c r="EX109" s="913"/>
      <c r="EY109" s="913"/>
      <c r="EZ109" s="913"/>
      <c r="FA109" s="913"/>
      <c r="FB109" s="913"/>
      <c r="FC109" s="913"/>
      <c r="FD109" s="913"/>
      <c r="FE109" s="913"/>
      <c r="FF109" s="923"/>
    </row>
    <row r="110" spans="1:162" ht="15.75" thickBot="1" x14ac:dyDescent="0.3">
      <c r="N110" s="922"/>
      <c r="O110" s="916">
        <v>9.5</v>
      </c>
      <c r="P110" s="913"/>
      <c r="Q110" s="924" t="s">
        <v>414</v>
      </c>
      <c r="R110" s="924" t="s">
        <v>414</v>
      </c>
      <c r="S110" s="924" t="s">
        <v>414</v>
      </c>
      <c r="T110" s="924" t="s">
        <v>414</v>
      </c>
      <c r="U110" s="924" t="s">
        <v>414</v>
      </c>
      <c r="V110" s="924" t="s">
        <v>414</v>
      </c>
      <c r="W110" s="924" t="s">
        <v>414</v>
      </c>
      <c r="X110" s="924" t="s">
        <v>414</v>
      </c>
      <c r="Y110" s="924" t="s">
        <v>414</v>
      </c>
      <c r="Z110" s="924" t="s">
        <v>414</v>
      </c>
      <c r="AA110" s="913" t="s">
        <v>417</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13"/>
      <c r="EK110" s="913"/>
      <c r="EL110" s="913"/>
      <c r="EM110" s="913"/>
      <c r="EN110" s="913"/>
      <c r="EO110" s="913"/>
      <c r="EP110" s="913"/>
      <c r="EQ110" s="913"/>
      <c r="ER110" s="913"/>
      <c r="ES110" s="913"/>
      <c r="ET110" s="913"/>
      <c r="EU110" s="913"/>
      <c r="EV110" s="913"/>
      <c r="EW110" s="913"/>
      <c r="EX110" s="913"/>
      <c r="EY110" s="913"/>
      <c r="EZ110" s="913"/>
      <c r="FA110" s="913"/>
      <c r="FB110" s="913"/>
      <c r="FC110" s="913"/>
      <c r="FD110" s="913"/>
      <c r="FE110" s="913"/>
      <c r="FF110" s="923"/>
    </row>
    <row r="111" spans="1:162" ht="15.75" thickBot="1" x14ac:dyDescent="0.3">
      <c r="N111" s="922"/>
      <c r="O111" s="917">
        <v>12</v>
      </c>
      <c r="P111" s="913"/>
      <c r="Q111" s="925"/>
      <c r="R111" s="932">
        <f t="shared" ref="R111:Z121" si="157">R47-R46</f>
        <v>0.19999999999999973</v>
      </c>
      <c r="S111" s="932">
        <f t="shared" si="157"/>
        <v>0.20000000000000018</v>
      </c>
      <c r="T111" s="932">
        <f t="shared" si="157"/>
        <v>0.20000000000000018</v>
      </c>
      <c r="U111" s="932">
        <f t="shared" si="157"/>
        <v>0.19999999999999929</v>
      </c>
      <c r="V111" s="932">
        <f t="shared" si="157"/>
        <v>0.19999999999999929</v>
      </c>
      <c r="W111" s="932">
        <f t="shared" si="157"/>
        <v>0.20000000000000107</v>
      </c>
      <c r="X111" s="932">
        <f t="shared" si="157"/>
        <v>0.21000000000000085</v>
      </c>
      <c r="Y111" s="932">
        <f t="shared" si="157"/>
        <v>0.21000000000000085</v>
      </c>
      <c r="Z111" s="932">
        <f t="shared" si="157"/>
        <v>0.21000000000000085</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13"/>
      <c r="EL111" s="913"/>
      <c r="EM111" s="913"/>
      <c r="EN111" s="913"/>
      <c r="EO111" s="913"/>
      <c r="EP111" s="913"/>
      <c r="EQ111" s="913"/>
      <c r="ER111" s="913"/>
      <c r="ES111" s="913"/>
      <c r="ET111" s="913"/>
      <c r="EU111" s="913"/>
      <c r="EV111" s="913"/>
      <c r="EW111" s="913"/>
      <c r="EX111" s="913"/>
      <c r="EY111" s="913"/>
      <c r="EZ111" s="913"/>
      <c r="FA111" s="913"/>
      <c r="FB111" s="913"/>
      <c r="FC111" s="913"/>
      <c r="FD111" s="913"/>
      <c r="FE111" s="913"/>
      <c r="FF111" s="923"/>
    </row>
    <row r="112" spans="1:162" ht="15.75" thickBot="1" x14ac:dyDescent="0.3">
      <c r="N112" s="922"/>
      <c r="O112" s="917">
        <f t="shared" ref="O112:O121" si="158">O111+6</f>
        <v>18</v>
      </c>
      <c r="P112" s="913"/>
      <c r="Q112" s="925"/>
      <c r="R112" s="932">
        <f t="shared" si="157"/>
        <v>1.35</v>
      </c>
      <c r="S112" s="932">
        <f t="shared" si="157"/>
        <v>1.71</v>
      </c>
      <c r="T112" s="932">
        <f t="shared" si="157"/>
        <v>2.089999999999999</v>
      </c>
      <c r="U112" s="932">
        <f t="shared" si="157"/>
        <v>2.4599999999999991</v>
      </c>
      <c r="V112" s="932">
        <f t="shared" si="157"/>
        <v>2.8299999999999983</v>
      </c>
      <c r="W112" s="932">
        <f t="shared" si="157"/>
        <v>3.1999999999999975</v>
      </c>
      <c r="X112" s="932">
        <f t="shared" si="157"/>
        <v>3.5699999999999985</v>
      </c>
      <c r="Y112" s="932">
        <f t="shared" si="157"/>
        <v>3.9399999999999995</v>
      </c>
      <c r="Z112" s="932">
        <f t="shared" si="157"/>
        <v>4.3100000000000023</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13"/>
      <c r="EL112" s="913"/>
      <c r="EM112" s="913"/>
      <c r="EN112" s="913"/>
      <c r="EO112" s="913"/>
      <c r="EP112" s="913"/>
      <c r="EQ112" s="913"/>
      <c r="ER112" s="913"/>
      <c r="ES112" s="913"/>
      <c r="ET112" s="913"/>
      <c r="EU112" s="913"/>
      <c r="EV112" s="913"/>
      <c r="EW112" s="913"/>
      <c r="EX112" s="913"/>
      <c r="EY112" s="913"/>
      <c r="EZ112" s="913"/>
      <c r="FA112" s="913"/>
      <c r="FB112" s="913"/>
      <c r="FC112" s="913"/>
      <c r="FD112" s="913"/>
      <c r="FE112" s="913"/>
      <c r="FF112" s="923"/>
    </row>
    <row r="113" spans="14:162" ht="15.75" thickBot="1" x14ac:dyDescent="0.3">
      <c r="N113" s="922"/>
      <c r="O113" s="917">
        <f t="shared" si="158"/>
        <v>24</v>
      </c>
      <c r="P113" s="913"/>
      <c r="Q113" s="925"/>
      <c r="R113" s="932">
        <f t="shared" si="157"/>
        <v>1.3499999999999996</v>
      </c>
      <c r="S113" s="932">
        <f t="shared" si="157"/>
        <v>1.7200000000000006</v>
      </c>
      <c r="T113" s="932">
        <f t="shared" si="157"/>
        <v>2.08</v>
      </c>
      <c r="U113" s="932">
        <f t="shared" si="157"/>
        <v>2.4400000000000013</v>
      </c>
      <c r="V113" s="932">
        <f t="shared" si="157"/>
        <v>2.8000000000000025</v>
      </c>
      <c r="W113" s="932">
        <f t="shared" si="157"/>
        <v>3.1600000000000037</v>
      </c>
      <c r="X113" s="932">
        <f t="shared" si="157"/>
        <v>3.5200000000000031</v>
      </c>
      <c r="Y113" s="932">
        <f t="shared" si="157"/>
        <v>3.8800000000000026</v>
      </c>
      <c r="Z113" s="932">
        <f t="shared" si="157"/>
        <v>4.240000000000002</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13"/>
      <c r="EL113" s="913"/>
      <c r="EM113" s="913"/>
      <c r="EN113" s="913"/>
      <c r="EO113" s="913"/>
      <c r="EP113" s="913"/>
      <c r="EQ113" s="913"/>
      <c r="ER113" s="913"/>
      <c r="ES113" s="913"/>
      <c r="ET113" s="913"/>
      <c r="EU113" s="913"/>
      <c r="EV113" s="913"/>
      <c r="EW113" s="913"/>
      <c r="EX113" s="913"/>
      <c r="EY113" s="913"/>
      <c r="EZ113" s="913"/>
      <c r="FA113" s="913"/>
      <c r="FB113" s="913"/>
      <c r="FC113" s="913"/>
      <c r="FD113" s="913"/>
      <c r="FE113" s="913"/>
      <c r="FF113" s="923"/>
    </row>
    <row r="114" spans="14:162" ht="15.75" thickBot="1" x14ac:dyDescent="0.3">
      <c r="N114" s="922"/>
      <c r="O114" s="917">
        <f t="shared" si="158"/>
        <v>30</v>
      </c>
      <c r="P114" s="913"/>
      <c r="Q114" s="925"/>
      <c r="R114" s="932">
        <f t="shared" si="157"/>
        <v>1.9000000000000004</v>
      </c>
      <c r="S114" s="932">
        <f t="shared" si="157"/>
        <v>2.6399999999999988</v>
      </c>
      <c r="T114" s="932">
        <f t="shared" si="157"/>
        <v>3.3800000000000008</v>
      </c>
      <c r="U114" s="932">
        <f t="shared" si="157"/>
        <v>4.120000000000001</v>
      </c>
      <c r="V114" s="932">
        <f t="shared" si="157"/>
        <v>4.8599999999999994</v>
      </c>
      <c r="W114" s="932">
        <f t="shared" si="157"/>
        <v>5.5999999999999979</v>
      </c>
      <c r="X114" s="932">
        <f t="shared" si="157"/>
        <v>6.3399999999999963</v>
      </c>
      <c r="Y114" s="932">
        <f t="shared" si="157"/>
        <v>7.0799999999999947</v>
      </c>
      <c r="Z114" s="932">
        <f t="shared" si="157"/>
        <v>7.8199999999999967</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13"/>
      <c r="EL114" s="913"/>
      <c r="EM114" s="913"/>
      <c r="EN114" s="913"/>
      <c r="EO114" s="913"/>
      <c r="EP114" s="913"/>
      <c r="EQ114" s="913"/>
      <c r="ER114" s="913"/>
      <c r="ES114" s="913"/>
      <c r="ET114" s="913"/>
      <c r="EU114" s="913"/>
      <c r="EV114" s="913"/>
      <c r="EW114" s="913"/>
      <c r="EX114" s="913"/>
      <c r="EY114" s="913"/>
      <c r="EZ114" s="913"/>
      <c r="FA114" s="913"/>
      <c r="FB114" s="913"/>
      <c r="FC114" s="913"/>
      <c r="FD114" s="913"/>
      <c r="FE114" s="913"/>
      <c r="FF114" s="923"/>
    </row>
    <row r="115" spans="14:162" ht="15.75" thickBot="1" x14ac:dyDescent="0.3">
      <c r="N115" s="922"/>
      <c r="O115" s="917">
        <f t="shared" si="158"/>
        <v>36</v>
      </c>
      <c r="P115" s="913"/>
      <c r="Q115" s="925"/>
      <c r="R115" s="932">
        <f t="shared" si="157"/>
        <v>1.3399999999999999</v>
      </c>
      <c r="S115" s="932">
        <f t="shared" si="157"/>
        <v>1.7100000000000009</v>
      </c>
      <c r="T115" s="932">
        <f t="shared" si="157"/>
        <v>2.0900000000000016</v>
      </c>
      <c r="U115" s="932">
        <f t="shared" si="157"/>
        <v>2.4700000000000024</v>
      </c>
      <c r="V115" s="932">
        <f t="shared" si="157"/>
        <v>2.850000000000005</v>
      </c>
      <c r="W115" s="932">
        <f t="shared" si="157"/>
        <v>3.2300000000000075</v>
      </c>
      <c r="X115" s="932">
        <f t="shared" si="157"/>
        <v>3.6100000000000101</v>
      </c>
      <c r="Y115" s="932">
        <f t="shared" si="157"/>
        <v>3.9400000000000013</v>
      </c>
      <c r="Z115" s="932">
        <f t="shared" si="157"/>
        <v>4.32</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13"/>
      <c r="EK115" s="913"/>
      <c r="EL115" s="913"/>
      <c r="EM115" s="913"/>
      <c r="EN115" s="913"/>
      <c r="EO115" s="913"/>
      <c r="EP115" s="913"/>
      <c r="EQ115" s="913"/>
      <c r="ER115" s="913"/>
      <c r="ES115" s="913"/>
      <c r="ET115" s="913"/>
      <c r="EU115" s="913"/>
      <c r="EV115" s="913"/>
      <c r="EW115" s="913"/>
      <c r="EX115" s="913"/>
      <c r="EY115" s="913"/>
      <c r="EZ115" s="913"/>
      <c r="FA115" s="913"/>
      <c r="FB115" s="913"/>
      <c r="FC115" s="913"/>
      <c r="FD115" s="913"/>
      <c r="FE115" s="913"/>
      <c r="FF115" s="923"/>
    </row>
    <row r="116" spans="14:162" ht="15.75" thickBot="1" x14ac:dyDescent="0.3">
      <c r="N116" s="922"/>
      <c r="O116" s="917">
        <f t="shared" si="158"/>
        <v>42</v>
      </c>
      <c r="P116" s="913"/>
      <c r="Q116" s="925"/>
      <c r="R116" s="932">
        <f t="shared" si="157"/>
        <v>1.3499999999999996</v>
      </c>
      <c r="S116" s="932">
        <f t="shared" si="157"/>
        <v>1.7200000000000006</v>
      </c>
      <c r="T116" s="932">
        <f t="shared" si="157"/>
        <v>2.0799999999999983</v>
      </c>
      <c r="U116" s="932">
        <f t="shared" si="157"/>
        <v>2.4399999999999977</v>
      </c>
      <c r="V116" s="932">
        <f t="shared" si="157"/>
        <v>2.7999999999999972</v>
      </c>
      <c r="W116" s="932">
        <f t="shared" si="157"/>
        <v>3.1599999999999966</v>
      </c>
      <c r="X116" s="932">
        <f t="shared" si="157"/>
        <v>3.519999999999996</v>
      </c>
      <c r="Y116" s="932">
        <f t="shared" si="157"/>
        <v>3.9300000000000068</v>
      </c>
      <c r="Z116" s="932">
        <f t="shared" si="157"/>
        <v>4.2900000000000063</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13"/>
      <c r="EK116" s="913"/>
      <c r="EL116" s="913"/>
      <c r="EM116" s="913"/>
      <c r="EN116" s="913"/>
      <c r="EO116" s="913"/>
      <c r="EP116" s="913"/>
      <c r="EQ116" s="913"/>
      <c r="ER116" s="913"/>
      <c r="ES116" s="913"/>
      <c r="ET116" s="913"/>
      <c r="EU116" s="913"/>
      <c r="EV116" s="913"/>
      <c r="EW116" s="913"/>
      <c r="EX116" s="913"/>
      <c r="EY116" s="913"/>
      <c r="EZ116" s="913"/>
      <c r="FA116" s="913"/>
      <c r="FB116" s="913"/>
      <c r="FC116" s="913"/>
      <c r="FD116" s="913"/>
      <c r="FE116" s="913"/>
      <c r="FF116" s="923"/>
    </row>
    <row r="117" spans="14:162" ht="15.75" thickBot="1" x14ac:dyDescent="0.3">
      <c r="N117" s="922"/>
      <c r="O117" s="917">
        <f t="shared" si="158"/>
        <v>48</v>
      </c>
      <c r="P117" s="913"/>
      <c r="Q117" s="925"/>
      <c r="R117" s="932">
        <f t="shared" si="157"/>
        <v>1.3499999999999996</v>
      </c>
      <c r="S117" s="932">
        <f t="shared" si="157"/>
        <v>1.7200000000000006</v>
      </c>
      <c r="T117" s="932">
        <f t="shared" si="157"/>
        <v>2.09</v>
      </c>
      <c r="U117" s="932">
        <f t="shared" si="157"/>
        <v>2.4600000000000009</v>
      </c>
      <c r="V117" s="932">
        <f t="shared" si="157"/>
        <v>2.8299999999999983</v>
      </c>
      <c r="W117" s="932">
        <f t="shared" si="157"/>
        <v>3.1999999999999957</v>
      </c>
      <c r="X117" s="932">
        <f t="shared" si="157"/>
        <v>3.5699999999999932</v>
      </c>
      <c r="Y117" s="932">
        <f t="shared" si="157"/>
        <v>3.9399999999999906</v>
      </c>
      <c r="Z117" s="932">
        <f t="shared" si="157"/>
        <v>4.3099999999999881</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13"/>
      <c r="EK117" s="913"/>
      <c r="EL117" s="913"/>
      <c r="EM117" s="913"/>
      <c r="EN117" s="913"/>
      <c r="EO117" s="913"/>
      <c r="EP117" s="913"/>
      <c r="EQ117" s="913"/>
      <c r="ER117" s="913"/>
      <c r="ES117" s="913"/>
      <c r="ET117" s="913"/>
      <c r="EU117" s="913"/>
      <c r="EV117" s="913"/>
      <c r="EW117" s="913"/>
      <c r="EX117" s="913"/>
      <c r="EY117" s="913"/>
      <c r="EZ117" s="913"/>
      <c r="FA117" s="913"/>
      <c r="FB117" s="913"/>
      <c r="FC117" s="913"/>
      <c r="FD117" s="913"/>
      <c r="FE117" s="913"/>
      <c r="FF117" s="923"/>
    </row>
    <row r="118" spans="14:162" ht="15.75" thickBot="1" x14ac:dyDescent="0.3">
      <c r="N118" s="922"/>
      <c r="O118" s="917">
        <f t="shared" si="158"/>
        <v>54</v>
      </c>
      <c r="P118" s="913"/>
      <c r="Q118" s="925"/>
      <c r="R118" s="932">
        <f t="shared" si="157"/>
        <v>1.3500000000000014</v>
      </c>
      <c r="S118" s="932">
        <f t="shared" si="157"/>
        <v>1.7199999999999989</v>
      </c>
      <c r="T118" s="932">
        <f t="shared" si="157"/>
        <v>2.0800000000000018</v>
      </c>
      <c r="U118" s="932">
        <f t="shared" si="157"/>
        <v>2.4499999999999993</v>
      </c>
      <c r="V118" s="932">
        <f t="shared" si="157"/>
        <v>2.8200000000000003</v>
      </c>
      <c r="W118" s="932">
        <f t="shared" si="157"/>
        <v>3.1900000000000048</v>
      </c>
      <c r="X118" s="932">
        <f t="shared" si="157"/>
        <v>3.5600000000000023</v>
      </c>
      <c r="Y118" s="932">
        <f t="shared" si="157"/>
        <v>3.9299999999999997</v>
      </c>
      <c r="Z118" s="932">
        <f t="shared" si="157"/>
        <v>4.2999999999999972</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13"/>
      <c r="EK118" s="913"/>
      <c r="EL118" s="913"/>
      <c r="EM118" s="913"/>
      <c r="EN118" s="913"/>
      <c r="EO118" s="913"/>
      <c r="EP118" s="913"/>
      <c r="EQ118" s="913"/>
      <c r="ER118" s="913"/>
      <c r="ES118" s="913"/>
      <c r="ET118" s="913"/>
      <c r="EU118" s="913"/>
      <c r="EV118" s="913"/>
      <c r="EW118" s="913"/>
      <c r="EX118" s="913"/>
      <c r="EY118" s="913"/>
      <c r="EZ118" s="913"/>
      <c r="FA118" s="913"/>
      <c r="FB118" s="913"/>
      <c r="FC118" s="913"/>
      <c r="FD118" s="913"/>
      <c r="FE118" s="913"/>
      <c r="FF118" s="923"/>
    </row>
    <row r="119" spans="14:162" ht="15.75" thickBot="1" x14ac:dyDescent="0.3">
      <c r="N119" s="922"/>
      <c r="O119" s="917">
        <f t="shared" si="158"/>
        <v>60</v>
      </c>
      <c r="P119" s="913"/>
      <c r="Q119" s="925"/>
      <c r="R119" s="932">
        <f t="shared" si="157"/>
        <v>1.8999999999999986</v>
      </c>
      <c r="S119" s="932">
        <f t="shared" si="157"/>
        <v>2.629999999999999</v>
      </c>
      <c r="T119" s="932">
        <f t="shared" si="157"/>
        <v>3.379999999999999</v>
      </c>
      <c r="U119" s="932">
        <f t="shared" si="157"/>
        <v>4.1099999999999994</v>
      </c>
      <c r="V119" s="932">
        <f t="shared" si="157"/>
        <v>4.8399999999999963</v>
      </c>
      <c r="W119" s="932">
        <f t="shared" si="157"/>
        <v>5.5699999999999932</v>
      </c>
      <c r="X119" s="932">
        <f t="shared" si="157"/>
        <v>6.2999999999999972</v>
      </c>
      <c r="Y119" s="932">
        <f t="shared" si="157"/>
        <v>7.0300000000000011</v>
      </c>
      <c r="Z119" s="932">
        <f t="shared" si="157"/>
        <v>7.7600000000000051</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13"/>
      <c r="EK119" s="913"/>
      <c r="EL119" s="913"/>
      <c r="EM119" s="913"/>
      <c r="EN119" s="913"/>
      <c r="EO119" s="913"/>
      <c r="EP119" s="913"/>
      <c r="EQ119" s="913"/>
      <c r="ER119" s="913"/>
      <c r="ES119" s="913"/>
      <c r="ET119" s="913"/>
      <c r="EU119" s="913"/>
      <c r="EV119" s="913"/>
      <c r="EW119" s="913"/>
      <c r="EX119" s="913"/>
      <c r="EY119" s="913"/>
      <c r="EZ119" s="913"/>
      <c r="FA119" s="913"/>
      <c r="FB119" s="913"/>
      <c r="FC119" s="913"/>
      <c r="FD119" s="913"/>
      <c r="FE119" s="913"/>
      <c r="FF119" s="923"/>
    </row>
    <row r="120" spans="14:162" ht="15.75" thickBot="1" x14ac:dyDescent="0.3">
      <c r="N120" s="922"/>
      <c r="O120" s="917">
        <f t="shared" si="158"/>
        <v>66</v>
      </c>
      <c r="P120" s="913"/>
      <c r="Q120" s="925"/>
      <c r="R120" s="932">
        <f t="shared" si="157"/>
        <v>1.3500000000000014</v>
      </c>
      <c r="S120" s="932">
        <f t="shared" si="157"/>
        <v>1.7200000000000024</v>
      </c>
      <c r="T120" s="932">
        <f t="shared" si="157"/>
        <v>2.0799999999999983</v>
      </c>
      <c r="U120" s="932">
        <f t="shared" si="157"/>
        <v>2.4499999999999993</v>
      </c>
      <c r="V120" s="932">
        <f t="shared" si="157"/>
        <v>2.8200000000000003</v>
      </c>
      <c r="W120" s="932">
        <f t="shared" si="157"/>
        <v>3.1899999999999977</v>
      </c>
      <c r="X120" s="932">
        <f t="shared" si="157"/>
        <v>3.5599999999999952</v>
      </c>
      <c r="Y120" s="932">
        <f t="shared" si="157"/>
        <v>3.9299999999999926</v>
      </c>
      <c r="Z120" s="932">
        <f t="shared" si="157"/>
        <v>4.2999999999999901</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13"/>
      <c r="EK120" s="913"/>
      <c r="EL120" s="913"/>
      <c r="EM120" s="913"/>
      <c r="EN120" s="913"/>
      <c r="EO120" s="913"/>
      <c r="EP120" s="913"/>
      <c r="EQ120" s="913"/>
      <c r="ER120" s="913"/>
      <c r="ES120" s="913"/>
      <c r="ET120" s="913"/>
      <c r="EU120" s="913"/>
      <c r="EV120" s="913"/>
      <c r="EW120" s="913"/>
      <c r="EX120" s="913"/>
      <c r="EY120" s="913"/>
      <c r="EZ120" s="913"/>
      <c r="FA120" s="913"/>
      <c r="FB120" s="913"/>
      <c r="FC120" s="913"/>
      <c r="FD120" s="913"/>
      <c r="FE120" s="913"/>
      <c r="FF120" s="923"/>
    </row>
    <row r="121" spans="14:162" ht="15.75" thickBot="1" x14ac:dyDescent="0.3">
      <c r="N121" s="922"/>
      <c r="O121" s="917">
        <f t="shared" si="158"/>
        <v>72</v>
      </c>
      <c r="P121" s="913"/>
      <c r="Q121" s="925"/>
      <c r="R121" s="932">
        <f t="shared" si="157"/>
        <v>1.3499999999999979</v>
      </c>
      <c r="S121" s="932">
        <f t="shared" si="157"/>
        <v>1.7199999999999989</v>
      </c>
      <c r="T121" s="932">
        <f t="shared" si="157"/>
        <v>2.1000000000000014</v>
      </c>
      <c r="U121" s="932">
        <f t="shared" si="157"/>
        <v>2.480000000000004</v>
      </c>
      <c r="V121" s="932">
        <f t="shared" si="157"/>
        <v>2.8600000000000065</v>
      </c>
      <c r="W121" s="932">
        <f t="shared" si="157"/>
        <v>3.2400000000000091</v>
      </c>
      <c r="X121" s="932">
        <f t="shared" si="157"/>
        <v>3.6200000000000117</v>
      </c>
      <c r="Y121" s="932">
        <f t="shared" si="157"/>
        <v>3.9400000000000119</v>
      </c>
      <c r="Z121" s="932">
        <f t="shared" si="157"/>
        <v>4.3200000000000145</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13"/>
      <c r="EK121" s="913"/>
      <c r="EL121" s="913"/>
      <c r="EM121" s="913"/>
      <c r="EN121" s="913"/>
      <c r="EO121" s="913"/>
      <c r="EP121" s="913"/>
      <c r="EQ121" s="913"/>
      <c r="ER121" s="913"/>
      <c r="ES121" s="913"/>
      <c r="ET121" s="913"/>
      <c r="EU121" s="913"/>
      <c r="EV121" s="913"/>
      <c r="EW121" s="913"/>
      <c r="EX121" s="913"/>
      <c r="EY121" s="913"/>
      <c r="EZ121" s="913"/>
      <c r="FA121" s="913"/>
      <c r="FB121" s="913"/>
      <c r="FC121" s="913"/>
      <c r="FD121" s="913"/>
      <c r="FE121" s="913"/>
      <c r="FF121" s="923"/>
    </row>
    <row r="122" spans="14:162" x14ac:dyDescent="0.25">
      <c r="N122" s="922"/>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13"/>
      <c r="EK122" s="913"/>
      <c r="EL122" s="913"/>
      <c r="EM122" s="913"/>
      <c r="EN122" s="913"/>
      <c r="EO122" s="913"/>
      <c r="EP122" s="913"/>
      <c r="EQ122" s="913"/>
      <c r="ER122" s="913"/>
      <c r="ES122" s="913"/>
      <c r="ET122" s="913"/>
      <c r="EU122" s="913"/>
      <c r="EV122" s="913"/>
      <c r="EW122" s="913"/>
      <c r="EX122" s="913"/>
      <c r="EY122" s="913"/>
      <c r="EZ122" s="913"/>
      <c r="FA122" s="913"/>
      <c r="FB122" s="913"/>
      <c r="FC122" s="913"/>
      <c r="FD122" s="913"/>
      <c r="FE122" s="913"/>
      <c r="FF122" s="923"/>
    </row>
    <row r="123" spans="14:162" x14ac:dyDescent="0.25">
      <c r="N123" s="922"/>
      <c r="O123" s="913"/>
      <c r="P123" s="913"/>
      <c r="Q123" s="913"/>
      <c r="R123" s="913"/>
      <c r="S123" s="913"/>
      <c r="T123" s="913"/>
      <c r="U123" s="913"/>
      <c r="V123" s="913"/>
      <c r="W123" s="913"/>
      <c r="X123" s="913"/>
      <c r="Y123" s="913"/>
      <c r="Z123" s="913"/>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13"/>
      <c r="EK123" s="913"/>
      <c r="EL123" s="913"/>
      <c r="EM123" s="913"/>
      <c r="EN123" s="913"/>
      <c r="EO123" s="913"/>
      <c r="EP123" s="913"/>
      <c r="EQ123" s="913"/>
      <c r="ER123" s="913"/>
      <c r="ES123" s="913"/>
      <c r="ET123" s="913"/>
      <c r="EU123" s="913"/>
      <c r="EV123" s="913"/>
      <c r="EW123" s="913"/>
      <c r="EX123" s="913"/>
      <c r="EY123" s="913"/>
      <c r="EZ123" s="913"/>
      <c r="FA123" s="913"/>
      <c r="FB123" s="913"/>
      <c r="FC123" s="913"/>
      <c r="FD123" s="913"/>
      <c r="FE123" s="913"/>
      <c r="FF123" s="923"/>
    </row>
    <row r="124" spans="14:162" x14ac:dyDescent="0.25">
      <c r="N124" s="922"/>
      <c r="O124" s="913"/>
      <c r="P124" s="913"/>
      <c r="Q124" s="913"/>
      <c r="R124" s="913"/>
      <c r="S124" s="913"/>
      <c r="T124" s="913"/>
      <c r="U124" s="913"/>
      <c r="V124" s="913"/>
      <c r="W124" s="913"/>
      <c r="X124" s="913"/>
      <c r="Y124" s="913"/>
      <c r="Z124" s="913"/>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13"/>
      <c r="EK124" s="913"/>
      <c r="EL124" s="913"/>
      <c r="EM124" s="913"/>
      <c r="EN124" s="913"/>
      <c r="EO124" s="913"/>
      <c r="EP124" s="913"/>
      <c r="EQ124" s="913"/>
      <c r="ER124" s="913"/>
      <c r="ES124" s="913"/>
      <c r="ET124" s="913"/>
      <c r="EU124" s="913"/>
      <c r="EV124" s="913"/>
      <c r="EW124" s="913"/>
      <c r="EX124" s="913"/>
      <c r="EY124" s="913"/>
      <c r="EZ124" s="913"/>
      <c r="FA124" s="913"/>
      <c r="FB124" s="913"/>
      <c r="FC124" s="913"/>
      <c r="FD124" s="913"/>
      <c r="FE124" s="913"/>
      <c r="FF124" s="923"/>
    </row>
    <row r="125" spans="14:162" x14ac:dyDescent="0.25">
      <c r="N125" s="922"/>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13"/>
      <c r="EK125" s="913"/>
      <c r="EL125" s="913"/>
      <c r="EM125" s="913"/>
      <c r="EN125" s="913"/>
      <c r="EO125" s="913"/>
      <c r="EP125" s="913"/>
      <c r="EQ125" s="913"/>
      <c r="ER125" s="913"/>
      <c r="ES125" s="913"/>
      <c r="ET125" s="913"/>
      <c r="EU125" s="913"/>
      <c r="EV125" s="913"/>
      <c r="EW125" s="913"/>
      <c r="EX125" s="913"/>
      <c r="EY125" s="913"/>
      <c r="EZ125" s="913"/>
      <c r="FA125" s="913"/>
      <c r="FB125" s="913"/>
      <c r="FC125" s="913"/>
      <c r="FD125" s="913"/>
      <c r="FE125" s="913"/>
      <c r="FF125" s="923"/>
    </row>
    <row r="126" spans="14:162" x14ac:dyDescent="0.25">
      <c r="N126" s="922" t="s">
        <v>418</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13"/>
      <c r="EK126" s="913"/>
      <c r="EL126" s="913"/>
      <c r="EM126" s="913"/>
      <c r="EN126" s="913"/>
      <c r="EO126" s="913"/>
      <c r="EP126" s="913"/>
      <c r="EQ126" s="913"/>
      <c r="ER126" s="913"/>
      <c r="ES126" s="913"/>
      <c r="ET126" s="913"/>
      <c r="EU126" s="913"/>
      <c r="EV126" s="913"/>
      <c r="EW126" s="913"/>
      <c r="EX126" s="913"/>
      <c r="EY126" s="913"/>
      <c r="EZ126" s="913"/>
      <c r="FA126" s="913"/>
      <c r="FB126" s="913"/>
      <c r="FC126" s="913"/>
      <c r="FD126" s="913"/>
      <c r="FE126" s="913"/>
      <c r="FF126" s="923"/>
    </row>
    <row r="127" spans="14:162"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13"/>
      <c r="EK127" s="913"/>
      <c r="EL127" s="913"/>
      <c r="EM127" s="913"/>
      <c r="EN127" s="913"/>
      <c r="EO127" s="913"/>
      <c r="EP127" s="913"/>
      <c r="EQ127" s="913"/>
      <c r="ER127" s="913"/>
      <c r="ES127" s="913"/>
      <c r="ET127" s="913"/>
      <c r="EU127" s="913"/>
      <c r="EV127" s="913"/>
      <c r="EW127" s="913"/>
      <c r="EX127" s="913"/>
      <c r="EY127" s="913"/>
      <c r="EZ127" s="913"/>
      <c r="FA127" s="913"/>
      <c r="FB127" s="913"/>
      <c r="FC127" s="913"/>
      <c r="FD127" s="913"/>
      <c r="FE127" s="913"/>
      <c r="FF127" s="923"/>
    </row>
    <row r="128" spans="14:162" x14ac:dyDescent="0.25">
      <c r="N128" s="922" t="s">
        <v>419</v>
      </c>
      <c r="O128" s="913">
        <v>12</v>
      </c>
      <c r="P128" s="913">
        <v>24</v>
      </c>
      <c r="Q128" s="913">
        <v>36</v>
      </c>
      <c r="R128" s="913">
        <v>48</v>
      </c>
      <c r="S128" s="913">
        <v>60</v>
      </c>
      <c r="T128" s="913">
        <v>72</v>
      </c>
      <c r="U128" s="913">
        <v>84</v>
      </c>
      <c r="V128" s="913">
        <v>96</v>
      </c>
      <c r="W128" s="913">
        <v>108</v>
      </c>
      <c r="X128" s="913">
        <v>120</v>
      </c>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13"/>
      <c r="EK128" s="913"/>
      <c r="EL128" s="913"/>
      <c r="EM128" s="913"/>
      <c r="EN128" s="913"/>
      <c r="EO128" s="913"/>
      <c r="EP128" s="913"/>
      <c r="EQ128" s="913"/>
      <c r="ER128" s="913"/>
      <c r="ES128" s="913"/>
      <c r="ET128" s="913"/>
      <c r="EU128" s="913"/>
      <c r="EV128" s="913"/>
      <c r="EW128" s="913"/>
      <c r="EX128" s="913"/>
      <c r="EY128" s="913"/>
      <c r="EZ128" s="913"/>
      <c r="FA128" s="913"/>
      <c r="FB128" s="913"/>
      <c r="FC128" s="913"/>
      <c r="FD128" s="913"/>
      <c r="FE128" s="913"/>
      <c r="FF128" s="923"/>
    </row>
    <row r="129" spans="14:162" x14ac:dyDescent="0.25">
      <c r="N129" s="926" t="s">
        <v>149</v>
      </c>
      <c r="O129" s="913">
        <v>568.34</v>
      </c>
      <c r="P129" s="913">
        <v>592.32000000000005</v>
      </c>
      <c r="Q129" s="913">
        <v>616.32000000000005</v>
      </c>
      <c r="R129" s="913">
        <v>640.32000000000005</v>
      </c>
      <c r="S129" s="913">
        <v>664.2</v>
      </c>
      <c r="T129" s="913">
        <v>701.28</v>
      </c>
      <c r="U129" s="913">
        <v>725.28</v>
      </c>
      <c r="V129" s="913">
        <v>749.28</v>
      </c>
      <c r="W129" s="913">
        <v>773.04</v>
      </c>
      <c r="X129" s="913">
        <v>797.04</v>
      </c>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13"/>
      <c r="EL129" s="913"/>
      <c r="EM129" s="913"/>
      <c r="EN129" s="913"/>
      <c r="EO129" s="913"/>
      <c r="EP129" s="913"/>
      <c r="EQ129" s="913"/>
      <c r="ER129" s="913"/>
      <c r="ES129" s="913"/>
      <c r="ET129" s="913"/>
      <c r="EU129" s="913"/>
      <c r="EV129" s="913"/>
      <c r="EW129" s="913"/>
      <c r="EX129" s="913"/>
      <c r="EY129" s="913"/>
      <c r="EZ129" s="913"/>
      <c r="FA129" s="913"/>
      <c r="FB129" s="913"/>
      <c r="FC129" s="913"/>
      <c r="FD129" s="913"/>
      <c r="FE129" s="913"/>
      <c r="FF129" s="923"/>
    </row>
    <row r="130" spans="14:162" x14ac:dyDescent="0.25">
      <c r="N130" s="922" t="s">
        <v>247</v>
      </c>
      <c r="O130" s="913">
        <v>39.2256</v>
      </c>
      <c r="P130" s="913">
        <v>39.2256</v>
      </c>
      <c r="Q130" s="913">
        <v>39.2256</v>
      </c>
      <c r="R130" s="913">
        <v>39.2256</v>
      </c>
      <c r="S130" s="913">
        <v>39.2256</v>
      </c>
      <c r="T130" s="913">
        <v>39.2256</v>
      </c>
      <c r="U130" s="913">
        <v>39.2256</v>
      </c>
      <c r="V130" s="913">
        <v>39.2256</v>
      </c>
      <c r="W130" s="913">
        <v>39.2256</v>
      </c>
      <c r="X130" s="913">
        <v>39.2256</v>
      </c>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13"/>
      <c r="EK130" s="913"/>
      <c r="EL130" s="913"/>
      <c r="EM130" s="913"/>
      <c r="EN130" s="913"/>
      <c r="EO130" s="913"/>
      <c r="EP130" s="913"/>
      <c r="EQ130" s="913"/>
      <c r="ER130" s="913"/>
      <c r="ES130" s="913"/>
      <c r="ET130" s="913"/>
      <c r="EU130" s="913"/>
      <c r="EV130" s="913"/>
      <c r="EW130" s="913"/>
      <c r="EX130" s="913"/>
      <c r="EY130" s="913"/>
      <c r="EZ130" s="913"/>
      <c r="FA130" s="913"/>
      <c r="FB130" s="913"/>
      <c r="FC130" s="913"/>
      <c r="FD130" s="913"/>
      <c r="FE130" s="913"/>
      <c r="FF130" s="923"/>
    </row>
    <row r="131" spans="14:162" x14ac:dyDescent="0.25">
      <c r="N131" s="926" t="s">
        <v>148</v>
      </c>
      <c r="O131" s="927">
        <v>32.659199999999998</v>
      </c>
      <c r="P131" s="913">
        <v>34.214399999999998</v>
      </c>
      <c r="Q131" s="927">
        <v>35.769599999999997</v>
      </c>
      <c r="R131" s="927">
        <v>37.324799999999996</v>
      </c>
      <c r="S131" s="927">
        <v>38.879999999999995</v>
      </c>
      <c r="T131" s="927">
        <v>40.435200000000002</v>
      </c>
      <c r="U131" s="927">
        <v>41.990400000000001</v>
      </c>
      <c r="V131" s="927">
        <v>43.5456</v>
      </c>
      <c r="W131" s="927">
        <v>45.1008</v>
      </c>
      <c r="X131" s="927">
        <v>46.655999999999999</v>
      </c>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13"/>
      <c r="EK131" s="913"/>
      <c r="EL131" s="913"/>
      <c r="EM131" s="913"/>
      <c r="EN131" s="913"/>
      <c r="EO131" s="913"/>
      <c r="EP131" s="913"/>
      <c r="EQ131" s="913"/>
      <c r="ER131" s="913"/>
      <c r="ES131" s="913"/>
      <c r="ET131" s="913"/>
      <c r="EU131" s="913"/>
      <c r="EV131" s="913"/>
      <c r="EW131" s="913"/>
      <c r="EX131" s="913"/>
      <c r="EY131" s="913"/>
      <c r="EZ131" s="913"/>
      <c r="FA131" s="913"/>
      <c r="FB131" s="913"/>
      <c r="FC131" s="913"/>
      <c r="FD131" s="913"/>
      <c r="FE131" s="913"/>
      <c r="FF131" s="923"/>
    </row>
    <row r="132" spans="14:162" x14ac:dyDescent="0.25">
      <c r="N132" s="922" t="s">
        <v>248</v>
      </c>
      <c r="O132" s="913">
        <v>10</v>
      </c>
      <c r="P132" s="913">
        <v>10</v>
      </c>
      <c r="Q132" s="913">
        <v>10</v>
      </c>
      <c r="R132" s="913">
        <v>10</v>
      </c>
      <c r="S132" s="913">
        <v>10</v>
      </c>
      <c r="T132" s="913">
        <v>12</v>
      </c>
      <c r="U132" s="913">
        <v>12</v>
      </c>
      <c r="V132" s="913">
        <v>12</v>
      </c>
      <c r="W132" s="913">
        <v>12</v>
      </c>
      <c r="X132" s="913">
        <v>12</v>
      </c>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13"/>
      <c r="EK132" s="913"/>
      <c r="EL132" s="913"/>
      <c r="EM132" s="913"/>
      <c r="EN132" s="913"/>
      <c r="EO132" s="913"/>
      <c r="EP132" s="913"/>
      <c r="EQ132" s="913"/>
      <c r="ER132" s="913"/>
      <c r="ES132" s="913"/>
      <c r="ET132" s="913"/>
      <c r="EU132" s="913"/>
      <c r="EV132" s="913"/>
      <c r="EW132" s="913"/>
      <c r="EX132" s="913"/>
      <c r="EY132" s="913"/>
      <c r="EZ132" s="913"/>
      <c r="FA132" s="913"/>
      <c r="FB132" s="913"/>
      <c r="FC132" s="913"/>
      <c r="FD132" s="913"/>
      <c r="FE132" s="913"/>
      <c r="FF132" s="923"/>
    </row>
    <row r="133" spans="14:162" x14ac:dyDescent="0.25">
      <c r="N133" s="922" t="s">
        <v>245</v>
      </c>
      <c r="O133" s="913">
        <v>46.979999999999983</v>
      </c>
      <c r="P133" s="913">
        <v>46.979999999999983</v>
      </c>
      <c r="Q133" s="913">
        <v>46.979999999999983</v>
      </c>
      <c r="R133" s="913">
        <v>46.979999999999983</v>
      </c>
      <c r="S133" s="913">
        <v>46.979999999999983</v>
      </c>
      <c r="T133" s="913">
        <v>46.979999999999983</v>
      </c>
      <c r="U133" s="913">
        <v>46.979999999999983</v>
      </c>
      <c r="V133" s="913">
        <v>46.979999999999983</v>
      </c>
      <c r="W133" s="913">
        <v>46.979999999999983</v>
      </c>
      <c r="X133" s="913">
        <v>46.979999999999983</v>
      </c>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13"/>
      <c r="EK133" s="913"/>
      <c r="EL133" s="913"/>
      <c r="EM133" s="913"/>
      <c r="EN133" s="913"/>
      <c r="EO133" s="913"/>
      <c r="EP133" s="913"/>
      <c r="EQ133" s="913"/>
      <c r="ER133" s="913"/>
      <c r="ES133" s="913"/>
      <c r="ET133" s="913"/>
      <c r="EU133" s="913"/>
      <c r="EV133" s="913"/>
      <c r="EW133" s="913"/>
      <c r="EX133" s="913"/>
      <c r="EY133" s="913"/>
      <c r="EZ133" s="913"/>
      <c r="FA133" s="913"/>
      <c r="FB133" s="913"/>
      <c r="FC133" s="913"/>
      <c r="FD133" s="913"/>
      <c r="FE133" s="913"/>
      <c r="FF133" s="923"/>
    </row>
    <row r="134" spans="14:162" x14ac:dyDescent="0.25">
      <c r="N134" s="922" t="s">
        <v>246</v>
      </c>
      <c r="O134" s="913">
        <v>1.7460000000000002</v>
      </c>
      <c r="P134" s="913">
        <v>3.4920000000000004</v>
      </c>
      <c r="Q134" s="913">
        <v>5.2379999999999995</v>
      </c>
      <c r="R134" s="913">
        <v>6.9840000000000009</v>
      </c>
      <c r="S134" s="913">
        <v>8.73</v>
      </c>
      <c r="T134" s="913">
        <v>10.475999999999999</v>
      </c>
      <c r="U134" s="913">
        <v>12.222</v>
      </c>
      <c r="V134" s="913">
        <v>13.968000000000002</v>
      </c>
      <c r="W134" s="913">
        <v>15.714000000000002</v>
      </c>
      <c r="X134" s="913">
        <v>17.46</v>
      </c>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13"/>
      <c r="EK134" s="913"/>
      <c r="EL134" s="913"/>
      <c r="EM134" s="913"/>
      <c r="EN134" s="913"/>
      <c r="EO134" s="913"/>
      <c r="EP134" s="913"/>
      <c r="EQ134" s="913"/>
      <c r="ER134" s="913"/>
      <c r="ES134" s="913"/>
      <c r="ET134" s="913"/>
      <c r="EU134" s="913"/>
      <c r="EV134" s="913"/>
      <c r="EW134" s="913"/>
      <c r="EX134" s="913"/>
      <c r="EY134" s="913"/>
      <c r="EZ134" s="913"/>
      <c r="FA134" s="913"/>
      <c r="FB134" s="913"/>
      <c r="FC134" s="913"/>
      <c r="FD134" s="913"/>
      <c r="FE134" s="913"/>
      <c r="FF134" s="923"/>
    </row>
    <row r="135" spans="14:162" x14ac:dyDescent="0.25">
      <c r="N135" s="922" t="s">
        <v>249</v>
      </c>
      <c r="O135" s="913">
        <v>45.832699999999996</v>
      </c>
      <c r="P135" s="913">
        <v>84.13669999999999</v>
      </c>
      <c r="Q135" s="913">
        <v>122.44069999999999</v>
      </c>
      <c r="R135" s="913">
        <v>160.74469999999997</v>
      </c>
      <c r="S135" s="913">
        <v>199.04869999999997</v>
      </c>
      <c r="T135" s="913">
        <v>237.35269999999997</v>
      </c>
      <c r="U135" s="913">
        <v>275.6567</v>
      </c>
      <c r="V135" s="913">
        <v>313.96069999999997</v>
      </c>
      <c r="W135" s="913">
        <v>419.31600000000003</v>
      </c>
      <c r="X135" s="913">
        <v>462.22800000000001</v>
      </c>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13"/>
      <c r="EK135" s="913"/>
      <c r="EL135" s="913"/>
      <c r="EM135" s="913"/>
      <c r="EN135" s="913"/>
      <c r="EO135" s="913"/>
      <c r="EP135" s="913"/>
      <c r="EQ135" s="913"/>
      <c r="ER135" s="913"/>
      <c r="ES135" s="913"/>
      <c r="ET135" s="913"/>
      <c r="EU135" s="913"/>
      <c r="EV135" s="913"/>
      <c r="EW135" s="913"/>
      <c r="EX135" s="913"/>
      <c r="EY135" s="913"/>
      <c r="EZ135" s="913"/>
      <c r="FA135" s="913"/>
      <c r="FB135" s="913"/>
      <c r="FC135" s="913"/>
      <c r="FD135" s="913"/>
      <c r="FE135" s="913"/>
      <c r="FF135" s="923"/>
    </row>
    <row r="136" spans="14:162"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13"/>
      <c r="EK136" s="913"/>
      <c r="EL136" s="913"/>
      <c r="EM136" s="913"/>
      <c r="EN136" s="913"/>
      <c r="EO136" s="913"/>
      <c r="EP136" s="913"/>
      <c r="EQ136" s="913"/>
      <c r="ER136" s="913"/>
      <c r="ES136" s="913"/>
      <c r="ET136" s="913"/>
      <c r="EU136" s="913"/>
      <c r="EV136" s="913"/>
      <c r="EW136" s="913"/>
      <c r="EX136" s="913"/>
      <c r="EY136" s="913"/>
      <c r="EZ136" s="913"/>
      <c r="FA136" s="913"/>
      <c r="FB136" s="913"/>
      <c r="FC136" s="913"/>
      <c r="FD136" s="913"/>
      <c r="FE136" s="913"/>
      <c r="FF136" s="923"/>
    </row>
    <row r="137" spans="14:162" x14ac:dyDescent="0.25">
      <c r="N137" s="922" t="s">
        <v>77</v>
      </c>
      <c r="O137" s="913">
        <v>744.7835</v>
      </c>
      <c r="P137" s="913">
        <v>810.36869999999999</v>
      </c>
      <c r="Q137" s="913">
        <v>875.97390000000007</v>
      </c>
      <c r="R137" s="913">
        <v>941.57910000000004</v>
      </c>
      <c r="S137" s="913">
        <v>1007.0643</v>
      </c>
      <c r="T137" s="913">
        <v>1087.7494999999999</v>
      </c>
      <c r="U137" s="913">
        <v>1153.3546999999999</v>
      </c>
      <c r="V137" s="913">
        <v>1218.9598999999998</v>
      </c>
      <c r="W137" s="913">
        <v>1351.3764000000001</v>
      </c>
      <c r="X137" s="913">
        <v>1421.5896</v>
      </c>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13"/>
      <c r="EK137" s="913"/>
      <c r="EL137" s="913"/>
      <c r="EM137" s="913"/>
      <c r="EN137" s="913"/>
      <c r="EO137" s="913"/>
      <c r="EP137" s="913"/>
      <c r="EQ137" s="913"/>
      <c r="ER137" s="913"/>
      <c r="ES137" s="913"/>
      <c r="ET137" s="913"/>
      <c r="EU137" s="913"/>
      <c r="EV137" s="913"/>
      <c r="EW137" s="913"/>
      <c r="EX137" s="913"/>
      <c r="EY137" s="913"/>
      <c r="EZ137" s="913"/>
      <c r="FA137" s="913"/>
      <c r="FB137" s="913"/>
      <c r="FC137" s="913"/>
      <c r="FD137" s="913"/>
      <c r="FE137" s="913"/>
      <c r="FF137" s="923"/>
    </row>
    <row r="138" spans="14:162" x14ac:dyDescent="0.25">
      <c r="N138" s="922" t="s">
        <v>76</v>
      </c>
      <c r="O138" s="913">
        <v>74.478350000000006</v>
      </c>
      <c r="P138" s="913">
        <v>81.036869999999993</v>
      </c>
      <c r="Q138" s="913">
        <v>87.597390000000004</v>
      </c>
      <c r="R138" s="913">
        <v>94.157910000000001</v>
      </c>
      <c r="S138" s="913">
        <v>100.70643</v>
      </c>
      <c r="T138" s="913">
        <v>90.645791666666653</v>
      </c>
      <c r="U138" s="913">
        <v>96.112891666666656</v>
      </c>
      <c r="V138" s="913">
        <v>101.57999166666666</v>
      </c>
      <c r="W138" s="913">
        <v>112.61470000000001</v>
      </c>
      <c r="X138" s="913">
        <v>118.4658</v>
      </c>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13"/>
      <c r="EK138" s="913"/>
      <c r="EL138" s="913"/>
      <c r="EM138" s="913"/>
      <c r="EN138" s="913"/>
      <c r="EO138" s="913"/>
      <c r="EP138" s="913"/>
      <c r="EQ138" s="913"/>
      <c r="ER138" s="913"/>
      <c r="ES138" s="913"/>
      <c r="ET138" s="913"/>
      <c r="EU138" s="913"/>
      <c r="EV138" s="913"/>
      <c r="EW138" s="913"/>
      <c r="EX138" s="913"/>
      <c r="EY138" s="913"/>
      <c r="EZ138" s="913"/>
      <c r="FA138" s="913"/>
      <c r="FB138" s="913"/>
      <c r="FC138" s="913"/>
      <c r="FD138" s="913"/>
      <c r="FE138" s="913"/>
      <c r="FF138" s="923"/>
    </row>
    <row r="139" spans="14:162"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13"/>
      <c r="EK139" s="913"/>
      <c r="EL139" s="913"/>
      <c r="EM139" s="913"/>
      <c r="EN139" s="913"/>
      <c r="EO139" s="913"/>
      <c r="EP139" s="913"/>
      <c r="EQ139" s="913"/>
      <c r="ER139" s="913"/>
      <c r="ES139" s="913"/>
      <c r="ET139" s="913"/>
      <c r="EU139" s="913"/>
      <c r="EV139" s="913"/>
      <c r="EW139" s="913"/>
      <c r="EX139" s="913"/>
      <c r="EY139" s="913"/>
      <c r="EZ139" s="913"/>
      <c r="FA139" s="913"/>
      <c r="FB139" s="913"/>
      <c r="FC139" s="913"/>
      <c r="FD139" s="913"/>
      <c r="FE139" s="913"/>
      <c r="FF139" s="923"/>
    </row>
    <row r="140" spans="14:162"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13"/>
      <c r="EK140" s="913"/>
      <c r="EL140" s="913"/>
      <c r="EM140" s="913"/>
      <c r="EN140" s="913"/>
      <c r="EO140" s="913"/>
      <c r="EP140" s="913"/>
      <c r="EQ140" s="913"/>
      <c r="ER140" s="913"/>
      <c r="ES140" s="913"/>
      <c r="ET140" s="913"/>
      <c r="EU140" s="913"/>
      <c r="EV140" s="913"/>
      <c r="EW140" s="913"/>
      <c r="EX140" s="913"/>
      <c r="EY140" s="913"/>
      <c r="EZ140" s="913"/>
      <c r="FA140" s="913"/>
      <c r="FB140" s="913"/>
      <c r="FC140" s="913"/>
      <c r="FD140" s="913"/>
      <c r="FE140" s="913"/>
      <c r="FF140" s="923"/>
    </row>
    <row r="141" spans="14:162" ht="150.75" customHeight="1" x14ac:dyDescent="0.25">
      <c r="N141" s="922" t="s">
        <v>420</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13"/>
      <c r="EK141" s="913"/>
      <c r="EL141" s="913"/>
      <c r="EM141" s="913"/>
      <c r="EN141" s="913"/>
      <c r="EO141" s="913"/>
      <c r="EP141" s="913"/>
      <c r="EQ141" s="913"/>
      <c r="ER141" s="913"/>
      <c r="ES141" s="913"/>
      <c r="ET141" s="913"/>
      <c r="EU141" s="913"/>
      <c r="EV141" s="913"/>
      <c r="EW141" s="913"/>
      <c r="EX141" s="913"/>
      <c r="EY141" s="913"/>
      <c r="EZ141" s="913"/>
      <c r="FA141" s="913"/>
      <c r="FB141" s="913"/>
      <c r="FC141" s="913"/>
      <c r="FD141" s="913"/>
      <c r="FE141" s="913"/>
      <c r="FF141" s="923"/>
    </row>
    <row r="142" spans="14:162"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13"/>
      <c r="EK142" s="913"/>
      <c r="EL142" s="913"/>
      <c r="EM142" s="913"/>
      <c r="EN142" s="913"/>
      <c r="EO142" s="913"/>
      <c r="EP142" s="913"/>
      <c r="EQ142" s="913"/>
      <c r="ER142" s="913"/>
      <c r="ES142" s="913"/>
      <c r="ET142" s="913"/>
      <c r="EU142" s="913"/>
      <c r="EV142" s="913"/>
      <c r="EW142" s="913"/>
      <c r="EX142" s="913"/>
      <c r="EY142" s="913"/>
      <c r="EZ142" s="913"/>
      <c r="FA142" s="913"/>
      <c r="FB142" s="913"/>
      <c r="FC142" s="913"/>
      <c r="FD142" s="913"/>
      <c r="FE142" s="913"/>
      <c r="FF142" s="923"/>
    </row>
    <row r="143" spans="14:162" x14ac:dyDescent="0.25">
      <c r="N143" s="922" t="s">
        <v>215</v>
      </c>
      <c r="O143" s="913">
        <v>12</v>
      </c>
      <c r="P143" s="913">
        <v>24</v>
      </c>
      <c r="Q143" s="913">
        <v>36</v>
      </c>
      <c r="R143" s="913">
        <v>48</v>
      </c>
      <c r="S143" s="913">
        <v>60</v>
      </c>
      <c r="T143" s="913">
        <v>72</v>
      </c>
      <c r="U143" s="913">
        <v>84</v>
      </c>
      <c r="V143" s="913">
        <v>96</v>
      </c>
      <c r="W143" s="913">
        <v>108</v>
      </c>
      <c r="X143" s="913">
        <v>120</v>
      </c>
      <c r="Y143" s="913">
        <v>132</v>
      </c>
      <c r="Z143" s="913">
        <v>144</v>
      </c>
      <c r="AA143" s="913">
        <v>156</v>
      </c>
      <c r="AB143" s="913">
        <v>168</v>
      </c>
      <c r="AC143" s="913">
        <v>180</v>
      </c>
      <c r="AD143" s="913">
        <v>192</v>
      </c>
      <c r="AE143" s="913">
        <v>204</v>
      </c>
      <c r="AF143" s="913">
        <v>216</v>
      </c>
      <c r="AG143" s="913">
        <v>228</v>
      </c>
      <c r="AH143" s="913">
        <v>240</v>
      </c>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13"/>
      <c r="EK143" s="913"/>
      <c r="EL143" s="913"/>
      <c r="EM143" s="913"/>
      <c r="EN143" s="913"/>
      <c r="EO143" s="913"/>
      <c r="EP143" s="913"/>
      <c r="EQ143" s="913"/>
      <c r="ER143" s="913"/>
      <c r="ES143" s="913"/>
      <c r="ET143" s="913"/>
      <c r="EU143" s="913"/>
      <c r="EV143" s="913"/>
      <c r="EW143" s="913"/>
      <c r="EX143" s="913"/>
      <c r="EY143" s="913"/>
      <c r="EZ143" s="913"/>
      <c r="FA143" s="913"/>
      <c r="FB143" s="913"/>
      <c r="FC143" s="913"/>
      <c r="FD143" s="913"/>
      <c r="FE143" s="913"/>
      <c r="FF143" s="923"/>
    </row>
    <row r="144" spans="14:162" x14ac:dyDescent="0.25">
      <c r="N144" s="926" t="s">
        <v>149</v>
      </c>
      <c r="O144" s="913">
        <v>73.959999999999994</v>
      </c>
      <c r="P144" s="913">
        <v>97.94</v>
      </c>
      <c r="Q144" s="913">
        <v>121.94</v>
      </c>
      <c r="R144" s="913">
        <v>145.94</v>
      </c>
      <c r="S144" s="913">
        <v>169.82</v>
      </c>
      <c r="T144" s="913">
        <v>206.9</v>
      </c>
      <c r="U144" s="913">
        <v>230.9</v>
      </c>
      <c r="V144" s="913">
        <v>254.9</v>
      </c>
      <c r="W144" s="913">
        <v>278.66000000000003</v>
      </c>
      <c r="X144" s="913">
        <v>302.66000000000003</v>
      </c>
      <c r="Y144" s="913">
        <v>339.86</v>
      </c>
      <c r="Z144" s="913">
        <v>363.86</v>
      </c>
      <c r="AA144" s="913">
        <v>387.62000000000006</v>
      </c>
      <c r="AB144" s="913">
        <v>411.5</v>
      </c>
      <c r="AC144" s="913">
        <v>435.5</v>
      </c>
      <c r="AD144" s="913">
        <v>472.82000000000005</v>
      </c>
      <c r="AE144" s="913">
        <v>496.58000000000004</v>
      </c>
      <c r="AF144" s="913">
        <v>520.34</v>
      </c>
      <c r="AG144" s="913">
        <v>544.34</v>
      </c>
      <c r="AH144" s="913">
        <v>568.34</v>
      </c>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13"/>
      <c r="EK144" s="913"/>
      <c r="EL144" s="913"/>
      <c r="EM144" s="913"/>
      <c r="EN144" s="913"/>
      <c r="EO144" s="913"/>
      <c r="EP144" s="913"/>
      <c r="EQ144" s="913"/>
      <c r="ER144" s="913"/>
      <c r="ES144" s="913"/>
      <c r="ET144" s="913"/>
      <c r="EU144" s="913"/>
      <c r="EV144" s="913"/>
      <c r="EW144" s="913"/>
      <c r="EX144" s="913"/>
      <c r="EY144" s="913"/>
      <c r="EZ144" s="913"/>
      <c r="FA144" s="913"/>
      <c r="FB144" s="913"/>
      <c r="FC144" s="913"/>
      <c r="FD144" s="913"/>
      <c r="FE144" s="913"/>
      <c r="FF144" s="923"/>
    </row>
    <row r="145" spans="3:162" x14ac:dyDescent="0.25">
      <c r="N145" s="922" t="s">
        <v>247</v>
      </c>
      <c r="O145" s="913">
        <v>39.2256</v>
      </c>
      <c r="P145" s="913">
        <v>39.2256</v>
      </c>
      <c r="Q145" s="913">
        <v>39.2256</v>
      </c>
      <c r="R145" s="913">
        <v>39.2256</v>
      </c>
      <c r="S145" s="913">
        <v>39.2256</v>
      </c>
      <c r="T145" s="913">
        <v>39.2256</v>
      </c>
      <c r="U145" s="913">
        <v>39.2256</v>
      </c>
      <c r="V145" s="913">
        <v>39.2256</v>
      </c>
      <c r="W145" s="913">
        <v>39.2256</v>
      </c>
      <c r="X145" s="913">
        <v>39.2256</v>
      </c>
      <c r="Y145" s="913">
        <v>39.2256</v>
      </c>
      <c r="Z145" s="913">
        <v>39.2256</v>
      </c>
      <c r="AA145" s="913">
        <v>39.2256</v>
      </c>
      <c r="AB145" s="913">
        <v>39.2256</v>
      </c>
      <c r="AC145" s="913">
        <v>39.2256</v>
      </c>
      <c r="AD145" s="913">
        <v>39.2256</v>
      </c>
      <c r="AE145" s="913">
        <v>39.2256</v>
      </c>
      <c r="AF145" s="913">
        <v>39.2256</v>
      </c>
      <c r="AG145" s="913">
        <v>39.2256</v>
      </c>
      <c r="AH145" s="913">
        <v>39.2256</v>
      </c>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13"/>
      <c r="EK145" s="913"/>
      <c r="EL145" s="913"/>
      <c r="EM145" s="913"/>
      <c r="EN145" s="913"/>
      <c r="EO145" s="913"/>
      <c r="EP145" s="913"/>
      <c r="EQ145" s="913"/>
      <c r="ER145" s="913"/>
      <c r="ES145" s="913"/>
      <c r="ET145" s="913"/>
      <c r="EU145" s="913"/>
      <c r="EV145" s="913"/>
      <c r="EW145" s="913"/>
      <c r="EX145" s="913"/>
      <c r="EY145" s="913"/>
      <c r="EZ145" s="913"/>
      <c r="FA145" s="913"/>
      <c r="FB145" s="913"/>
      <c r="FC145" s="913"/>
      <c r="FD145" s="913"/>
      <c r="FE145" s="913"/>
      <c r="FF145" s="923"/>
    </row>
    <row r="146" spans="3:162" x14ac:dyDescent="0.25">
      <c r="N146" s="926" t="s">
        <v>148</v>
      </c>
      <c r="O146" s="927">
        <v>3.1103999999999998</v>
      </c>
      <c r="P146" s="913">
        <v>4.6655999999999995</v>
      </c>
      <c r="Q146" s="927">
        <v>6.2207999999999997</v>
      </c>
      <c r="R146" s="927">
        <v>7.7759999999999998</v>
      </c>
      <c r="S146" s="927">
        <v>9.3311999999999991</v>
      </c>
      <c r="T146" s="927">
        <v>10.8864</v>
      </c>
      <c r="U146" s="927">
        <v>12.441599999999999</v>
      </c>
      <c r="V146" s="927">
        <v>13.9968</v>
      </c>
      <c r="W146" s="927">
        <v>15.552</v>
      </c>
      <c r="X146" s="927">
        <v>17.107199999999999</v>
      </c>
      <c r="Y146" s="913">
        <v>18.662399999999998</v>
      </c>
      <c r="Z146" s="913">
        <v>20.217600000000001</v>
      </c>
      <c r="AA146" s="913">
        <v>21.7728</v>
      </c>
      <c r="AB146" s="913">
        <v>23.327999999999999</v>
      </c>
      <c r="AC146" s="913">
        <v>24.883199999999999</v>
      </c>
      <c r="AD146" s="913">
        <v>26.438399999999998</v>
      </c>
      <c r="AE146" s="913">
        <v>27.993600000000001</v>
      </c>
      <c r="AF146" s="913">
        <v>29.5488</v>
      </c>
      <c r="AG146" s="913">
        <v>31.103999999999999</v>
      </c>
      <c r="AH146" s="913">
        <v>32.659199999999998</v>
      </c>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13"/>
      <c r="EK146" s="913"/>
      <c r="EL146" s="913"/>
      <c r="EM146" s="913"/>
      <c r="EN146" s="913"/>
      <c r="EO146" s="913"/>
      <c r="EP146" s="913"/>
      <c r="EQ146" s="913"/>
      <c r="ER146" s="913"/>
      <c r="ES146" s="913"/>
      <c r="ET146" s="913"/>
      <c r="EU146" s="913"/>
      <c r="EV146" s="913"/>
      <c r="EW146" s="913"/>
      <c r="EX146" s="913"/>
      <c r="EY146" s="913"/>
      <c r="EZ146" s="913"/>
      <c r="FA146" s="913"/>
      <c r="FB146" s="913"/>
      <c r="FC146" s="913"/>
      <c r="FD146" s="913"/>
      <c r="FE146" s="913"/>
      <c r="FF146" s="923"/>
    </row>
    <row r="147" spans="3:162" x14ac:dyDescent="0.25">
      <c r="N147" s="922" t="s">
        <v>248</v>
      </c>
      <c r="O147" s="913">
        <v>4</v>
      </c>
      <c r="P147" s="913">
        <v>4</v>
      </c>
      <c r="Q147" s="913">
        <v>4</v>
      </c>
      <c r="R147" s="913">
        <v>4</v>
      </c>
      <c r="S147" s="913">
        <v>4</v>
      </c>
      <c r="T147" s="913">
        <v>6</v>
      </c>
      <c r="U147" s="913">
        <v>6</v>
      </c>
      <c r="V147" s="913">
        <v>6</v>
      </c>
      <c r="W147" s="913">
        <v>6</v>
      </c>
      <c r="X147" s="913">
        <v>6</v>
      </c>
      <c r="Y147" s="913">
        <v>8</v>
      </c>
      <c r="Z147" s="913">
        <v>8</v>
      </c>
      <c r="AA147" s="913">
        <v>8</v>
      </c>
      <c r="AB147" s="913">
        <v>8</v>
      </c>
      <c r="AC147" s="913">
        <v>8</v>
      </c>
      <c r="AD147" s="913">
        <v>10</v>
      </c>
      <c r="AE147" s="913">
        <v>10</v>
      </c>
      <c r="AF147" s="913">
        <v>10</v>
      </c>
      <c r="AG147" s="913">
        <v>10</v>
      </c>
      <c r="AH147" s="913">
        <v>10</v>
      </c>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13"/>
      <c r="EK147" s="913"/>
      <c r="EL147" s="913"/>
      <c r="EM147" s="913"/>
      <c r="EN147" s="913"/>
      <c r="EO147" s="913"/>
      <c r="EP147" s="913"/>
      <c r="EQ147" s="913"/>
      <c r="ER147" s="913"/>
      <c r="ES147" s="913"/>
      <c r="ET147" s="913"/>
      <c r="EU147" s="913"/>
      <c r="EV147" s="913"/>
      <c r="EW147" s="913"/>
      <c r="EX147" s="913"/>
      <c r="EY147" s="913"/>
      <c r="EZ147" s="913"/>
      <c r="FA147" s="913"/>
      <c r="FB147" s="913"/>
      <c r="FC147" s="913"/>
      <c r="FD147" s="913"/>
      <c r="FE147" s="913"/>
      <c r="FF147" s="923"/>
    </row>
    <row r="148" spans="3:162" x14ac:dyDescent="0.25">
      <c r="N148" s="922" t="s">
        <v>245</v>
      </c>
      <c r="O148" s="913">
        <v>0</v>
      </c>
      <c r="P148" s="913">
        <v>0</v>
      </c>
      <c r="Q148" s="913">
        <v>0</v>
      </c>
      <c r="R148" s="913">
        <v>0</v>
      </c>
      <c r="S148" s="913">
        <v>0</v>
      </c>
      <c r="T148" s="913">
        <v>0</v>
      </c>
      <c r="U148" s="913">
        <v>0</v>
      </c>
      <c r="V148" s="913">
        <v>0</v>
      </c>
      <c r="W148" s="913">
        <v>0</v>
      </c>
      <c r="X148" s="913">
        <v>0</v>
      </c>
      <c r="Y148" s="913">
        <v>31.31999999999999</v>
      </c>
      <c r="Z148" s="913">
        <v>31.31999999999999</v>
      </c>
      <c r="AA148" s="913">
        <v>31.31999999999999</v>
      </c>
      <c r="AB148" s="913">
        <v>31.31999999999999</v>
      </c>
      <c r="AC148" s="913">
        <v>31.31999999999999</v>
      </c>
      <c r="AD148" s="913">
        <v>46.979999999999983</v>
      </c>
      <c r="AE148" s="913">
        <v>46.979999999999983</v>
      </c>
      <c r="AF148" s="913">
        <v>46.979999999999983</v>
      </c>
      <c r="AG148" s="913">
        <v>46.979999999999983</v>
      </c>
      <c r="AH148" s="913">
        <v>46.979999999999983</v>
      </c>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13"/>
      <c r="EK148" s="913"/>
      <c r="EL148" s="913"/>
      <c r="EM148" s="913"/>
      <c r="EN148" s="913"/>
      <c r="EO148" s="913"/>
      <c r="EP148" s="913"/>
      <c r="EQ148" s="913"/>
      <c r="ER148" s="913"/>
      <c r="ES148" s="913"/>
      <c r="ET148" s="913"/>
      <c r="EU148" s="913"/>
      <c r="EV148" s="913"/>
      <c r="EW148" s="913"/>
      <c r="EX148" s="913"/>
      <c r="EY148" s="913"/>
      <c r="EZ148" s="913"/>
      <c r="FA148" s="913"/>
      <c r="FB148" s="913"/>
      <c r="FC148" s="913"/>
      <c r="FD148" s="913"/>
      <c r="FE148" s="913"/>
      <c r="FF148" s="923"/>
    </row>
    <row r="149" spans="3:162" x14ac:dyDescent="0.25">
      <c r="N149" s="922" t="s">
        <v>246</v>
      </c>
      <c r="O149" s="913">
        <v>0</v>
      </c>
      <c r="P149" s="913">
        <v>0</v>
      </c>
      <c r="Q149" s="913">
        <v>0</v>
      </c>
      <c r="R149" s="913">
        <v>0</v>
      </c>
      <c r="S149" s="913">
        <v>0</v>
      </c>
      <c r="T149" s="913">
        <v>0</v>
      </c>
      <c r="U149" s="913">
        <v>0</v>
      </c>
      <c r="V149" s="913">
        <v>0</v>
      </c>
      <c r="W149" s="913">
        <v>0</v>
      </c>
      <c r="X149" s="913">
        <v>0</v>
      </c>
      <c r="Y149" s="913">
        <v>1.1640000000000001</v>
      </c>
      <c r="Z149" s="913">
        <v>1.1640000000000001</v>
      </c>
      <c r="AA149" s="913">
        <v>1.1640000000000001</v>
      </c>
      <c r="AB149" s="913">
        <v>1.1640000000000001</v>
      </c>
      <c r="AC149" s="913">
        <v>1.1640000000000001</v>
      </c>
      <c r="AD149" s="913">
        <v>1.7460000000000002</v>
      </c>
      <c r="AE149" s="913">
        <v>1.7460000000000002</v>
      </c>
      <c r="AF149" s="913">
        <v>1.7460000000000002</v>
      </c>
      <c r="AG149" s="913">
        <v>1.7460000000000002</v>
      </c>
      <c r="AH149" s="913">
        <v>1.7460000000000002</v>
      </c>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13"/>
      <c r="EK149" s="913"/>
      <c r="EL149" s="913"/>
      <c r="EM149" s="913"/>
      <c r="EN149" s="913"/>
      <c r="EO149" s="913"/>
      <c r="EP149" s="913"/>
      <c r="EQ149" s="913"/>
      <c r="ER149" s="913"/>
      <c r="ES149" s="913"/>
      <c r="ET149" s="913"/>
      <c r="EU149" s="913"/>
      <c r="EV149" s="913"/>
      <c r="EW149" s="913"/>
      <c r="EX149" s="913"/>
      <c r="EY149" s="913"/>
      <c r="EZ149" s="913"/>
      <c r="FA149" s="913"/>
      <c r="FB149" s="913"/>
      <c r="FC149" s="913"/>
      <c r="FD149" s="913"/>
      <c r="FE149" s="913"/>
      <c r="FF149" s="923"/>
    </row>
    <row r="150" spans="3:162" x14ac:dyDescent="0.25">
      <c r="C150" s="138"/>
      <c r="N150" s="922" t="s">
        <v>249</v>
      </c>
      <c r="O150" s="913">
        <v>5.0708000000000002</v>
      </c>
      <c r="P150" s="913">
        <v>6.6115999999999993</v>
      </c>
      <c r="Q150" s="913">
        <v>8.1524000000000001</v>
      </c>
      <c r="R150" s="913">
        <v>9.6931999999999992</v>
      </c>
      <c r="S150" s="913">
        <v>11.234</v>
      </c>
      <c r="T150" s="913">
        <v>12.774799999999999</v>
      </c>
      <c r="U150" s="913">
        <v>14.315599999999998</v>
      </c>
      <c r="V150" s="913">
        <v>15.856399999999999</v>
      </c>
      <c r="W150" s="913">
        <v>24.765499999999999</v>
      </c>
      <c r="X150" s="913">
        <v>26.680699999999998</v>
      </c>
      <c r="Y150" s="913">
        <v>28.5959</v>
      </c>
      <c r="Z150" s="913">
        <v>30.511099999999999</v>
      </c>
      <c r="AA150" s="913">
        <v>32.426299999999998</v>
      </c>
      <c r="AB150" s="913">
        <v>34.341499999999996</v>
      </c>
      <c r="AC150" s="913">
        <v>36.256699999999995</v>
      </c>
      <c r="AD150" s="913">
        <v>38.171900000000001</v>
      </c>
      <c r="AE150" s="913">
        <v>40.0871</v>
      </c>
      <c r="AF150" s="913">
        <v>42.002299999999998</v>
      </c>
      <c r="AG150" s="913">
        <v>43.917499999999997</v>
      </c>
      <c r="AH150" s="913">
        <v>45.832699999999996</v>
      </c>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13"/>
      <c r="EK150" s="913"/>
      <c r="EL150" s="913"/>
      <c r="EM150" s="913"/>
      <c r="EN150" s="913"/>
      <c r="EO150" s="913"/>
      <c r="EP150" s="913"/>
      <c r="EQ150" s="913"/>
      <c r="ER150" s="913"/>
      <c r="ES150" s="913"/>
      <c r="ET150" s="913"/>
      <c r="EU150" s="913"/>
      <c r="EV150" s="913"/>
      <c r="EW150" s="913"/>
      <c r="EX150" s="913"/>
      <c r="EY150" s="913"/>
      <c r="EZ150" s="913"/>
      <c r="FA150" s="913"/>
      <c r="FB150" s="913"/>
      <c r="FC150" s="913"/>
      <c r="FD150" s="913"/>
      <c r="FE150" s="913"/>
      <c r="FF150" s="923"/>
    </row>
    <row r="151" spans="3:162"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13"/>
      <c r="EK151" s="913"/>
      <c r="EL151" s="913"/>
      <c r="EM151" s="913"/>
      <c r="EN151" s="913"/>
      <c r="EO151" s="913"/>
      <c r="EP151" s="913"/>
      <c r="EQ151" s="913"/>
      <c r="ER151" s="913"/>
      <c r="ES151" s="913"/>
      <c r="ET151" s="913"/>
      <c r="EU151" s="913"/>
      <c r="EV151" s="913"/>
      <c r="EW151" s="913"/>
      <c r="EX151" s="913"/>
      <c r="EY151" s="913"/>
      <c r="EZ151" s="913"/>
      <c r="FA151" s="913"/>
      <c r="FB151" s="913"/>
      <c r="FC151" s="913"/>
      <c r="FD151" s="913"/>
      <c r="FE151" s="913"/>
      <c r="FF151" s="923"/>
    </row>
    <row r="152" spans="3:162" x14ac:dyDescent="0.25">
      <c r="N152" s="922" t="s">
        <v>77</v>
      </c>
      <c r="O152" s="913">
        <v>125.3668</v>
      </c>
      <c r="P152" s="913">
        <v>152.44280000000001</v>
      </c>
      <c r="Q152" s="913">
        <v>179.53879999999998</v>
      </c>
      <c r="R152" s="913">
        <v>206.63479999999998</v>
      </c>
      <c r="S152" s="913">
        <v>233.61079999999998</v>
      </c>
      <c r="T152" s="913">
        <v>275.78679999999997</v>
      </c>
      <c r="U152" s="913">
        <v>302.88280000000003</v>
      </c>
      <c r="V152" s="913">
        <v>329.97880000000004</v>
      </c>
      <c r="W152" s="913">
        <v>364.20310000000001</v>
      </c>
      <c r="X152" s="913">
        <v>391.67349999999999</v>
      </c>
      <c r="Y152" s="913">
        <v>466.8279</v>
      </c>
      <c r="Z152" s="913">
        <v>494.29829999999998</v>
      </c>
      <c r="AA152" s="913">
        <v>521.52870000000007</v>
      </c>
      <c r="AB152" s="913">
        <v>548.87909999999988</v>
      </c>
      <c r="AC152" s="913">
        <v>576.34949999999992</v>
      </c>
      <c r="AD152" s="913">
        <v>635.38190000000009</v>
      </c>
      <c r="AE152" s="913">
        <v>662.6123</v>
      </c>
      <c r="AF152" s="913">
        <v>689.84270000000004</v>
      </c>
      <c r="AG152" s="913">
        <v>717.31310000000008</v>
      </c>
      <c r="AH152" s="913">
        <v>744.7835</v>
      </c>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13"/>
      <c r="EL152" s="913"/>
      <c r="EM152" s="913"/>
      <c r="EN152" s="913"/>
      <c r="EO152" s="913"/>
      <c r="EP152" s="913"/>
      <c r="EQ152" s="913"/>
      <c r="ER152" s="913"/>
      <c r="ES152" s="913"/>
      <c r="ET152" s="913"/>
      <c r="EU152" s="913"/>
      <c r="EV152" s="913"/>
      <c r="EW152" s="913"/>
      <c r="EX152" s="913"/>
      <c r="EY152" s="913"/>
      <c r="EZ152" s="913"/>
      <c r="FA152" s="913"/>
      <c r="FB152" s="913"/>
      <c r="FC152" s="913"/>
      <c r="FD152" s="913"/>
      <c r="FE152" s="913"/>
      <c r="FF152" s="923"/>
    </row>
    <row r="153" spans="3:162" x14ac:dyDescent="0.25">
      <c r="N153" s="922" t="s">
        <v>76</v>
      </c>
      <c r="O153" s="913">
        <v>31.341699999999999</v>
      </c>
      <c r="P153" s="913">
        <v>38.110700000000001</v>
      </c>
      <c r="Q153" s="913">
        <v>44.884699999999995</v>
      </c>
      <c r="R153" s="913">
        <v>51.658699999999996</v>
      </c>
      <c r="S153" s="913">
        <v>58.402699999999996</v>
      </c>
      <c r="T153" s="913">
        <v>45.964466666666659</v>
      </c>
      <c r="U153" s="913">
        <v>50.480466666666672</v>
      </c>
      <c r="V153" s="913">
        <v>54.99646666666667</v>
      </c>
      <c r="W153" s="913">
        <v>60.700516666666665</v>
      </c>
      <c r="X153" s="913">
        <v>65.27891666666666</v>
      </c>
      <c r="Y153" s="913">
        <v>58.3534875</v>
      </c>
      <c r="Z153" s="913">
        <v>61.787287499999998</v>
      </c>
      <c r="AA153" s="913">
        <v>65.191087500000009</v>
      </c>
      <c r="AB153" s="913">
        <v>68.609887499999985</v>
      </c>
      <c r="AC153" s="913">
        <v>72.04368749999999</v>
      </c>
      <c r="AD153" s="913">
        <v>63.538190000000007</v>
      </c>
      <c r="AE153" s="913">
        <v>66.261229999999998</v>
      </c>
      <c r="AF153" s="913">
        <v>68.984270000000009</v>
      </c>
      <c r="AG153" s="913">
        <v>71.731310000000008</v>
      </c>
      <c r="AH153" s="913">
        <v>74.478350000000006</v>
      </c>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13"/>
      <c r="EL153" s="913"/>
      <c r="EM153" s="913"/>
      <c r="EN153" s="913"/>
      <c r="EO153" s="913"/>
      <c r="EP153" s="913"/>
      <c r="EQ153" s="913"/>
      <c r="ER153" s="913"/>
      <c r="ES153" s="913"/>
      <c r="ET153" s="913"/>
      <c r="EU153" s="913"/>
      <c r="EV153" s="913"/>
      <c r="EW153" s="913"/>
      <c r="EX153" s="913"/>
      <c r="EY153" s="913"/>
      <c r="EZ153" s="913"/>
      <c r="FA153" s="913"/>
      <c r="FB153" s="913"/>
      <c r="FC153" s="913"/>
      <c r="FD153" s="913"/>
      <c r="FE153" s="913"/>
      <c r="FF153" s="923"/>
    </row>
    <row r="154" spans="3:162"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13"/>
      <c r="EL154" s="913"/>
      <c r="EM154" s="913"/>
      <c r="EN154" s="913"/>
      <c r="EO154" s="913"/>
      <c r="EP154" s="913"/>
      <c r="EQ154" s="913"/>
      <c r="ER154" s="913"/>
      <c r="ES154" s="913"/>
      <c r="ET154" s="913"/>
      <c r="EU154" s="913"/>
      <c r="EV154" s="913"/>
      <c r="EW154" s="913"/>
      <c r="EX154" s="913"/>
      <c r="EY154" s="913"/>
      <c r="EZ154" s="913"/>
      <c r="FA154" s="913"/>
      <c r="FB154" s="913"/>
      <c r="FC154" s="913"/>
      <c r="FD154" s="913"/>
      <c r="FE154" s="913"/>
      <c r="FF154" s="923"/>
    </row>
    <row r="155" spans="3:162"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13"/>
      <c r="EL155" s="913"/>
      <c r="EM155" s="913"/>
      <c r="EN155" s="913"/>
      <c r="EO155" s="913"/>
      <c r="EP155" s="913"/>
      <c r="EQ155" s="913"/>
      <c r="ER155" s="913"/>
      <c r="ES155" s="913"/>
      <c r="ET155" s="913"/>
      <c r="EU155" s="913"/>
      <c r="EV155" s="913"/>
      <c r="EW155" s="913"/>
      <c r="EX155" s="913"/>
      <c r="EY155" s="913"/>
      <c r="EZ155" s="913"/>
      <c r="FA155" s="913"/>
      <c r="FB155" s="913"/>
      <c r="FC155" s="913"/>
      <c r="FD155" s="913"/>
      <c r="FE155" s="913"/>
      <c r="FF155" s="923"/>
    </row>
    <row r="156" spans="3:162" x14ac:dyDescent="0.25">
      <c r="N156" s="922" t="s">
        <v>423</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13"/>
      <c r="EK156" s="913"/>
      <c r="EL156" s="913"/>
      <c r="EM156" s="913"/>
      <c r="EN156" s="913"/>
      <c r="EO156" s="913"/>
      <c r="EP156" s="913"/>
      <c r="EQ156" s="913"/>
      <c r="ER156" s="913"/>
      <c r="ES156" s="913"/>
      <c r="ET156" s="913"/>
      <c r="EU156" s="913"/>
      <c r="EV156" s="913"/>
      <c r="EW156" s="913"/>
      <c r="EX156" s="913"/>
      <c r="EY156" s="913"/>
      <c r="EZ156" s="913"/>
      <c r="FA156" s="913"/>
      <c r="FB156" s="913"/>
      <c r="FC156" s="913"/>
      <c r="FD156" s="913"/>
      <c r="FE156" s="913"/>
      <c r="FF156" s="923"/>
    </row>
    <row r="157" spans="3:162"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13"/>
      <c r="EL157" s="913"/>
      <c r="EM157" s="913"/>
      <c r="EN157" s="913"/>
      <c r="EO157" s="913"/>
      <c r="EP157" s="913"/>
      <c r="EQ157" s="913"/>
      <c r="ER157" s="913"/>
      <c r="ES157" s="913"/>
      <c r="ET157" s="913"/>
      <c r="EU157" s="913"/>
      <c r="EV157" s="913"/>
      <c r="EW157" s="913"/>
      <c r="EX157" s="913"/>
      <c r="EY157" s="913"/>
      <c r="EZ157" s="913"/>
      <c r="FA157" s="913"/>
      <c r="FB157" s="913"/>
      <c r="FC157" s="913"/>
      <c r="FD157" s="913"/>
      <c r="FE157" s="913"/>
      <c r="FF157" s="923"/>
    </row>
    <row r="158" spans="3:162" x14ac:dyDescent="0.25">
      <c r="N158" s="922" t="s">
        <v>33</v>
      </c>
      <c r="O158" s="913">
        <v>12</v>
      </c>
      <c r="P158" s="913">
        <v>24</v>
      </c>
      <c r="Q158" s="913">
        <v>36</v>
      </c>
      <c r="R158" s="913">
        <v>48</v>
      </c>
      <c r="S158" s="913">
        <v>60</v>
      </c>
      <c r="T158" s="913">
        <v>72</v>
      </c>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13"/>
      <c r="EK158" s="913"/>
      <c r="EL158" s="913"/>
      <c r="EM158" s="913"/>
      <c r="EN158" s="913"/>
      <c r="EO158" s="913"/>
      <c r="EP158" s="913"/>
      <c r="EQ158" s="913"/>
      <c r="ER158" s="913"/>
      <c r="ES158" s="913"/>
      <c r="ET158" s="913"/>
      <c r="EU158" s="913"/>
      <c r="EV158" s="913"/>
      <c r="EW158" s="913"/>
      <c r="EX158" s="913"/>
      <c r="EY158" s="913"/>
      <c r="EZ158" s="913"/>
      <c r="FA158" s="913"/>
      <c r="FB158" s="913"/>
      <c r="FC158" s="913"/>
      <c r="FD158" s="913"/>
      <c r="FE158" s="913"/>
      <c r="FF158" s="923"/>
    </row>
    <row r="159" spans="3:162" x14ac:dyDescent="0.25">
      <c r="N159" s="926" t="s">
        <v>149</v>
      </c>
      <c r="O159" s="913">
        <v>197.39999999999998</v>
      </c>
      <c r="P159" s="913">
        <v>300.00000000000006</v>
      </c>
      <c r="Q159" s="913">
        <v>445.68</v>
      </c>
      <c r="R159" s="913">
        <v>548.87999999999988</v>
      </c>
      <c r="S159" s="913">
        <v>693.59999999999991</v>
      </c>
      <c r="T159" s="913">
        <v>797.04</v>
      </c>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13"/>
      <c r="EK159" s="913"/>
      <c r="EL159" s="913"/>
      <c r="EM159" s="913"/>
      <c r="EN159" s="913"/>
      <c r="EO159" s="913"/>
      <c r="EP159" s="913"/>
      <c r="EQ159" s="913"/>
      <c r="ER159" s="913"/>
      <c r="ES159" s="913"/>
      <c r="ET159" s="913"/>
      <c r="EU159" s="913"/>
      <c r="EV159" s="913"/>
      <c r="EW159" s="913"/>
      <c r="EX159" s="913"/>
      <c r="EY159" s="913"/>
      <c r="EZ159" s="913"/>
      <c r="FA159" s="913"/>
      <c r="FB159" s="913"/>
      <c r="FC159" s="913"/>
      <c r="FD159" s="913"/>
      <c r="FE159" s="913"/>
      <c r="FF159" s="923"/>
    </row>
    <row r="160" spans="3:162" x14ac:dyDescent="0.25">
      <c r="N160" s="922" t="s">
        <v>247</v>
      </c>
      <c r="O160" s="913">
        <v>6.5375999999999994</v>
      </c>
      <c r="P160" s="913">
        <v>13.075199999999999</v>
      </c>
      <c r="Q160" s="913">
        <v>19.6128</v>
      </c>
      <c r="R160" s="913">
        <v>26.150399999999998</v>
      </c>
      <c r="S160" s="913">
        <v>32.687999999999995</v>
      </c>
      <c r="T160" s="913">
        <v>39.2256</v>
      </c>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13"/>
      <c r="EK160" s="913"/>
      <c r="EL160" s="913"/>
      <c r="EM160" s="913"/>
      <c r="EN160" s="913"/>
      <c r="EO160" s="913"/>
      <c r="EP160" s="913"/>
      <c r="EQ160" s="913"/>
      <c r="ER160" s="913"/>
      <c r="ES160" s="913"/>
      <c r="ET160" s="913"/>
      <c r="EU160" s="913"/>
      <c r="EV160" s="913"/>
      <c r="EW160" s="913"/>
      <c r="EX160" s="913"/>
      <c r="EY160" s="913"/>
      <c r="EZ160" s="913"/>
      <c r="FA160" s="913"/>
      <c r="FB160" s="913"/>
      <c r="FC160" s="913"/>
      <c r="FD160" s="913"/>
      <c r="FE160" s="913"/>
      <c r="FF160" s="923"/>
    </row>
    <row r="161" spans="14:162" x14ac:dyDescent="0.25">
      <c r="N161" s="926" t="s">
        <v>148</v>
      </c>
      <c r="O161" s="913">
        <v>7.7759999999999998</v>
      </c>
      <c r="P161" s="913">
        <v>15.552</v>
      </c>
      <c r="Q161" s="913">
        <v>23.327999999999999</v>
      </c>
      <c r="R161" s="913">
        <v>31.103999999999999</v>
      </c>
      <c r="S161" s="913">
        <v>38.879999999999995</v>
      </c>
      <c r="T161" s="913">
        <v>46.655999999999999</v>
      </c>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13"/>
      <c r="EK161" s="913"/>
      <c r="EL161" s="913"/>
      <c r="EM161" s="913"/>
      <c r="EN161" s="913"/>
      <c r="EO161" s="913"/>
      <c r="EP161" s="913"/>
      <c r="EQ161" s="913"/>
      <c r="ER161" s="913"/>
      <c r="ES161" s="913"/>
      <c r="ET161" s="913"/>
      <c r="EU161" s="913"/>
      <c r="EV161" s="913"/>
      <c r="EW161" s="913"/>
      <c r="EX161" s="913"/>
      <c r="EY161" s="913"/>
      <c r="EZ161" s="913"/>
      <c r="FA161" s="913"/>
      <c r="FB161" s="913"/>
      <c r="FC161" s="913"/>
      <c r="FD161" s="913"/>
      <c r="FE161" s="913"/>
      <c r="FF161" s="923"/>
    </row>
    <row r="162" spans="14:162" x14ac:dyDescent="0.25">
      <c r="N162" s="922" t="s">
        <v>248</v>
      </c>
      <c r="O162" s="913">
        <v>12</v>
      </c>
      <c r="P162" s="913">
        <v>12</v>
      </c>
      <c r="Q162" s="913">
        <v>12</v>
      </c>
      <c r="R162" s="913">
        <v>12</v>
      </c>
      <c r="S162" s="913">
        <v>12</v>
      </c>
      <c r="T162" s="913">
        <v>12</v>
      </c>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13"/>
      <c r="EK162" s="913"/>
      <c r="EL162" s="913"/>
      <c r="EM162" s="913"/>
      <c r="EN162" s="913"/>
      <c r="EO162" s="913"/>
      <c r="EP162" s="913"/>
      <c r="EQ162" s="913"/>
      <c r="ER162" s="913"/>
      <c r="ES162" s="913"/>
      <c r="ET162" s="913"/>
      <c r="EU162" s="913"/>
      <c r="EV162" s="913"/>
      <c r="EW162" s="913"/>
      <c r="EX162" s="913"/>
      <c r="EY162" s="913"/>
      <c r="EZ162" s="913"/>
      <c r="FA162" s="913"/>
      <c r="FB162" s="913"/>
      <c r="FC162" s="913"/>
      <c r="FD162" s="913"/>
      <c r="FE162" s="913"/>
      <c r="FF162" s="923"/>
    </row>
    <row r="163" spans="14:162" x14ac:dyDescent="0.25">
      <c r="N163" s="922" t="s">
        <v>245</v>
      </c>
      <c r="O163" s="913">
        <v>12.479999999999997</v>
      </c>
      <c r="P163" s="913">
        <v>19.379999999999995</v>
      </c>
      <c r="Q163" s="913">
        <v>26.279999999999994</v>
      </c>
      <c r="R163" s="913">
        <v>33.179999999999986</v>
      </c>
      <c r="S163" s="913">
        <v>40.079999999999984</v>
      </c>
      <c r="T163" s="913">
        <v>46.979999999999983</v>
      </c>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13"/>
      <c r="EK163" s="913"/>
      <c r="EL163" s="913"/>
      <c r="EM163" s="913"/>
      <c r="EN163" s="913"/>
      <c r="EO163" s="913"/>
      <c r="EP163" s="913"/>
      <c r="EQ163" s="913"/>
      <c r="ER163" s="913"/>
      <c r="ES163" s="913"/>
      <c r="ET163" s="913"/>
      <c r="EU163" s="913"/>
      <c r="EV163" s="913"/>
      <c r="EW163" s="913"/>
      <c r="EX163" s="913"/>
      <c r="EY163" s="913"/>
      <c r="EZ163" s="913"/>
      <c r="FA163" s="913"/>
      <c r="FB163" s="913"/>
      <c r="FC163" s="913"/>
      <c r="FD163" s="913"/>
      <c r="FE163" s="913"/>
      <c r="FF163" s="923"/>
    </row>
    <row r="164" spans="14:162" x14ac:dyDescent="0.25">
      <c r="N164" s="922" t="s">
        <v>246</v>
      </c>
      <c r="O164" s="913">
        <v>17.46</v>
      </c>
      <c r="P164" s="913">
        <v>17.46</v>
      </c>
      <c r="Q164" s="913">
        <v>17.46</v>
      </c>
      <c r="R164" s="913">
        <v>17.46</v>
      </c>
      <c r="S164" s="913">
        <v>17.46</v>
      </c>
      <c r="T164" s="913">
        <v>17.46</v>
      </c>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13"/>
      <c r="EK164" s="913"/>
      <c r="EL164" s="913"/>
      <c r="EM164" s="913"/>
      <c r="EN164" s="913"/>
      <c r="EO164" s="913"/>
      <c r="EP164" s="913"/>
      <c r="EQ164" s="913"/>
      <c r="ER164" s="913"/>
      <c r="ES164" s="913"/>
      <c r="ET164" s="913"/>
      <c r="EU164" s="913"/>
      <c r="EV164" s="913"/>
      <c r="EW164" s="913"/>
      <c r="EX164" s="913"/>
      <c r="EY164" s="913"/>
      <c r="EZ164" s="913"/>
      <c r="FA164" s="913"/>
      <c r="FB164" s="913"/>
      <c r="FC164" s="913"/>
      <c r="FD164" s="913"/>
      <c r="FE164" s="913"/>
      <c r="FF164" s="923"/>
    </row>
    <row r="165" spans="14:162" x14ac:dyDescent="0.25">
      <c r="N165" s="922" t="s">
        <v>249</v>
      </c>
      <c r="O165" s="913">
        <v>462.22800000000001</v>
      </c>
      <c r="P165" s="913">
        <v>462.22800000000001</v>
      </c>
      <c r="Q165" s="913">
        <v>462.22800000000001</v>
      </c>
      <c r="R165" s="913">
        <v>462.22800000000001</v>
      </c>
      <c r="S165" s="913">
        <v>462.22800000000001</v>
      </c>
      <c r="T165" s="913">
        <v>462.22800000000001</v>
      </c>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13"/>
      <c r="EK165" s="913"/>
      <c r="EL165" s="913"/>
      <c r="EM165" s="913"/>
      <c r="EN165" s="913"/>
      <c r="EO165" s="913"/>
      <c r="EP165" s="913"/>
      <c r="EQ165" s="913"/>
      <c r="ER165" s="913"/>
      <c r="ES165" s="913"/>
      <c r="ET165" s="913"/>
      <c r="EU165" s="913"/>
      <c r="EV165" s="913"/>
      <c r="EW165" s="913"/>
      <c r="EX165" s="913"/>
      <c r="EY165" s="913"/>
      <c r="EZ165" s="913"/>
      <c r="FA165" s="913"/>
      <c r="FB165" s="913"/>
      <c r="FC165" s="913"/>
      <c r="FD165" s="913"/>
      <c r="FE165" s="913"/>
      <c r="FF165" s="923"/>
    </row>
    <row r="166" spans="14:162"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13"/>
      <c r="EK166" s="913"/>
      <c r="EL166" s="913"/>
      <c r="EM166" s="913"/>
      <c r="EN166" s="913"/>
      <c r="EO166" s="913"/>
      <c r="EP166" s="913"/>
      <c r="EQ166" s="913"/>
      <c r="ER166" s="913"/>
      <c r="ES166" s="913"/>
      <c r="ET166" s="913"/>
      <c r="EU166" s="913"/>
      <c r="EV166" s="913"/>
      <c r="EW166" s="913"/>
      <c r="EX166" s="913"/>
      <c r="EY166" s="913"/>
      <c r="EZ166" s="913"/>
      <c r="FA166" s="913"/>
      <c r="FB166" s="913"/>
      <c r="FC166" s="913"/>
      <c r="FD166" s="913"/>
      <c r="FE166" s="913"/>
      <c r="FF166" s="923"/>
    </row>
    <row r="167" spans="14:162" x14ac:dyDescent="0.25">
      <c r="N167" s="922" t="s">
        <v>77</v>
      </c>
      <c r="O167" s="913">
        <v>715.88159999999993</v>
      </c>
      <c r="P167" s="913">
        <v>839.69520000000011</v>
      </c>
      <c r="Q167" s="913">
        <v>1006.5888</v>
      </c>
      <c r="R167" s="913">
        <v>1131.0023999999999</v>
      </c>
      <c r="S167" s="913">
        <v>1296.9359999999999</v>
      </c>
      <c r="T167" s="913">
        <v>1421.5896</v>
      </c>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13"/>
      <c r="EK167" s="913"/>
      <c r="EL167" s="913"/>
      <c r="EM167" s="913"/>
      <c r="EN167" s="913"/>
      <c r="EO167" s="913"/>
      <c r="EP167" s="913"/>
      <c r="EQ167" s="913"/>
      <c r="ER167" s="913"/>
      <c r="ES167" s="913"/>
      <c r="ET167" s="913"/>
      <c r="EU167" s="913"/>
      <c r="EV167" s="913"/>
      <c r="EW167" s="913"/>
      <c r="EX167" s="913"/>
      <c r="EY167" s="913"/>
      <c r="EZ167" s="913"/>
      <c r="FA167" s="913"/>
      <c r="FB167" s="913"/>
      <c r="FC167" s="913"/>
      <c r="FD167" s="913"/>
      <c r="FE167" s="913"/>
      <c r="FF167" s="923"/>
    </row>
    <row r="168" spans="14:162" x14ac:dyDescent="0.25">
      <c r="N168" s="922" t="s">
        <v>76</v>
      </c>
      <c r="O168" s="913">
        <v>59.656799999999997</v>
      </c>
      <c r="P168" s="913">
        <v>69.974600000000009</v>
      </c>
      <c r="Q168" s="913">
        <v>83.882400000000004</v>
      </c>
      <c r="R168" s="913">
        <v>94.250199999999992</v>
      </c>
      <c r="S168" s="913">
        <v>108.07799999999999</v>
      </c>
      <c r="T168" s="913">
        <v>118.4658</v>
      </c>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13"/>
      <c r="EK168" s="913"/>
      <c r="EL168" s="913"/>
      <c r="EM168" s="913"/>
      <c r="EN168" s="913"/>
      <c r="EO168" s="913"/>
      <c r="EP168" s="913"/>
      <c r="EQ168" s="913"/>
      <c r="ER168" s="913"/>
      <c r="ES168" s="913"/>
      <c r="ET168" s="913"/>
      <c r="EU168" s="913"/>
      <c r="EV168" s="913"/>
      <c r="EW168" s="913"/>
      <c r="EX168" s="913"/>
      <c r="EY168" s="913"/>
      <c r="EZ168" s="913"/>
      <c r="FA168" s="913"/>
      <c r="FB168" s="913"/>
      <c r="FC168" s="913"/>
      <c r="FD168" s="913"/>
      <c r="FE168" s="913"/>
      <c r="FF168" s="923"/>
    </row>
    <row r="169" spans="14:162"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13"/>
      <c r="EK169" s="913"/>
      <c r="EL169" s="913"/>
      <c r="EM169" s="913"/>
      <c r="EN169" s="913"/>
      <c r="EO169" s="913"/>
      <c r="EP169" s="913"/>
      <c r="EQ169" s="913"/>
      <c r="ER169" s="913"/>
      <c r="ES169" s="913"/>
      <c r="ET169" s="913"/>
      <c r="EU169" s="913"/>
      <c r="EV169" s="913"/>
      <c r="EW169" s="913"/>
      <c r="EX169" s="913"/>
      <c r="EY169" s="913"/>
      <c r="EZ169" s="913"/>
      <c r="FA169" s="913"/>
      <c r="FB169" s="913"/>
      <c r="FC169" s="913"/>
      <c r="FD169" s="913"/>
      <c r="FE169" s="913"/>
      <c r="FF169" s="923"/>
    </row>
    <row r="170" spans="14:162"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13"/>
      <c r="EK170" s="913"/>
      <c r="EL170" s="913"/>
      <c r="EM170" s="913"/>
      <c r="EN170" s="913"/>
      <c r="EO170" s="913"/>
      <c r="EP170" s="913"/>
      <c r="EQ170" s="913"/>
      <c r="ER170" s="913"/>
      <c r="ES170" s="913"/>
      <c r="ET170" s="913"/>
      <c r="EU170" s="913"/>
      <c r="EV170" s="913"/>
      <c r="EW170" s="913"/>
      <c r="EX170" s="913"/>
      <c r="EY170" s="913"/>
      <c r="EZ170" s="913"/>
      <c r="FA170" s="913"/>
      <c r="FB170" s="913"/>
      <c r="FC170" s="913"/>
      <c r="FD170" s="913"/>
      <c r="FE170" s="913"/>
      <c r="FF170" s="923"/>
    </row>
    <row r="171" spans="14:162"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13"/>
      <c r="EK171" s="913"/>
      <c r="EL171" s="913"/>
      <c r="EM171" s="913"/>
      <c r="EN171" s="913"/>
      <c r="EO171" s="913"/>
      <c r="EP171" s="913"/>
      <c r="EQ171" s="913"/>
      <c r="ER171" s="913"/>
      <c r="ES171" s="913"/>
      <c r="ET171" s="913"/>
      <c r="EU171" s="913"/>
      <c r="EV171" s="913"/>
      <c r="EW171" s="913"/>
      <c r="EX171" s="913"/>
      <c r="EY171" s="913"/>
      <c r="EZ171" s="913"/>
      <c r="FA171" s="913"/>
      <c r="FB171" s="913"/>
      <c r="FC171" s="913"/>
      <c r="FD171" s="913"/>
      <c r="FE171" s="913"/>
      <c r="FF171" s="923"/>
    </row>
    <row r="172" spans="14:162"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13"/>
      <c r="EK172" s="913"/>
      <c r="EL172" s="913"/>
      <c r="EM172" s="913"/>
      <c r="EN172" s="913"/>
      <c r="EO172" s="913"/>
      <c r="EP172" s="913"/>
      <c r="EQ172" s="913"/>
      <c r="ER172" s="913"/>
      <c r="ES172" s="913"/>
      <c r="ET172" s="913"/>
      <c r="EU172" s="913"/>
      <c r="EV172" s="913"/>
      <c r="EW172" s="913"/>
      <c r="EX172" s="913"/>
      <c r="EY172" s="913"/>
      <c r="EZ172" s="913"/>
      <c r="FA172" s="913"/>
      <c r="FB172" s="913"/>
      <c r="FC172" s="913"/>
      <c r="FD172" s="913"/>
      <c r="FE172" s="913"/>
      <c r="FF172" s="923"/>
    </row>
    <row r="173" spans="14:162"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13"/>
      <c r="EK173" s="913"/>
      <c r="EL173" s="913"/>
      <c r="EM173" s="913"/>
      <c r="EN173" s="913"/>
      <c r="EO173" s="913"/>
      <c r="EP173" s="913"/>
      <c r="EQ173" s="913"/>
      <c r="ER173" s="913"/>
      <c r="ES173" s="913"/>
      <c r="ET173" s="913"/>
      <c r="EU173" s="913"/>
      <c r="EV173" s="913"/>
      <c r="EW173" s="913"/>
      <c r="EX173" s="913"/>
      <c r="EY173" s="913"/>
      <c r="EZ173" s="913"/>
      <c r="FA173" s="913"/>
      <c r="FB173" s="913"/>
      <c r="FC173" s="913"/>
      <c r="FD173" s="913"/>
      <c r="FE173" s="913"/>
      <c r="FF173" s="923"/>
    </row>
    <row r="174" spans="14:162"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13"/>
      <c r="EK174" s="913"/>
      <c r="EL174" s="913"/>
      <c r="EM174" s="913"/>
      <c r="EN174" s="913"/>
      <c r="EO174" s="913"/>
      <c r="EP174" s="913"/>
      <c r="EQ174" s="913"/>
      <c r="ER174" s="913"/>
      <c r="ES174" s="913"/>
      <c r="ET174" s="913"/>
      <c r="EU174" s="913"/>
      <c r="EV174" s="913"/>
      <c r="EW174" s="913"/>
      <c r="EX174" s="913"/>
      <c r="EY174" s="913"/>
      <c r="EZ174" s="913"/>
      <c r="FA174" s="913"/>
      <c r="FB174" s="913"/>
      <c r="FC174" s="913"/>
      <c r="FD174" s="913"/>
      <c r="FE174" s="913"/>
      <c r="FF174" s="923"/>
    </row>
    <row r="175" spans="14:162"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13"/>
      <c r="EK175" s="913"/>
      <c r="EL175" s="913"/>
      <c r="EM175" s="913"/>
      <c r="EN175" s="913"/>
      <c r="EO175" s="913"/>
      <c r="EP175" s="913"/>
      <c r="EQ175" s="913"/>
      <c r="ER175" s="913"/>
      <c r="ES175" s="913"/>
      <c r="ET175" s="913"/>
      <c r="EU175" s="913"/>
      <c r="EV175" s="913"/>
      <c r="EW175" s="913"/>
      <c r="EX175" s="913"/>
      <c r="EY175" s="913"/>
      <c r="EZ175" s="913"/>
      <c r="FA175" s="913"/>
      <c r="FB175" s="913"/>
      <c r="FC175" s="913"/>
      <c r="FD175" s="913"/>
      <c r="FE175" s="913"/>
      <c r="FF175" s="923"/>
    </row>
    <row r="176" spans="14:162"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13"/>
      <c r="EK176" s="913"/>
      <c r="EL176" s="913"/>
      <c r="EM176" s="913"/>
      <c r="EN176" s="913"/>
      <c r="EO176" s="913"/>
      <c r="EP176" s="913"/>
      <c r="EQ176" s="913"/>
      <c r="ER176" s="913"/>
      <c r="ES176" s="913"/>
      <c r="ET176" s="913"/>
      <c r="EU176" s="913"/>
      <c r="EV176" s="913"/>
      <c r="EW176" s="913"/>
      <c r="EX176" s="913"/>
      <c r="EY176" s="913"/>
      <c r="EZ176" s="913"/>
      <c r="FA176" s="913"/>
      <c r="FB176" s="913"/>
      <c r="FC176" s="913"/>
      <c r="FD176" s="913"/>
      <c r="FE176" s="913"/>
      <c r="FF176" s="923"/>
    </row>
    <row r="177" spans="14:162"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13"/>
      <c r="EK177" s="913"/>
      <c r="EL177" s="913"/>
      <c r="EM177" s="913"/>
      <c r="EN177" s="913"/>
      <c r="EO177" s="913"/>
      <c r="EP177" s="913"/>
      <c r="EQ177" s="913"/>
      <c r="ER177" s="913"/>
      <c r="ES177" s="913"/>
      <c r="ET177" s="913"/>
      <c r="EU177" s="913"/>
      <c r="EV177" s="913"/>
      <c r="EW177" s="913"/>
      <c r="EX177" s="913"/>
      <c r="EY177" s="913"/>
      <c r="EZ177" s="913"/>
      <c r="FA177" s="913"/>
      <c r="FB177" s="913"/>
      <c r="FC177" s="913"/>
      <c r="FD177" s="913"/>
      <c r="FE177" s="913"/>
      <c r="FF177" s="923"/>
    </row>
    <row r="178" spans="14:162"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13"/>
      <c r="AX178" s="913"/>
      <c r="AY178" s="913"/>
      <c r="AZ178" s="913"/>
      <c r="BA178" s="913"/>
      <c r="BB178" s="913"/>
      <c r="BC178" s="913"/>
      <c r="BD178" s="913"/>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c r="BY178" s="913"/>
      <c r="BZ178" s="913"/>
      <c r="CA178" s="913"/>
      <c r="CB178" s="913"/>
      <c r="CC178" s="913"/>
      <c r="CD178" s="913"/>
      <c r="CE178" s="913"/>
      <c r="CF178" s="913"/>
      <c r="CG178" s="913"/>
      <c r="CH178" s="913"/>
      <c r="CI178" s="913"/>
      <c r="CJ178" s="913"/>
      <c r="CK178" s="913"/>
      <c r="CL178" s="913"/>
      <c r="CM178" s="913"/>
      <c r="CN178" s="913"/>
      <c r="CO178" s="913"/>
      <c r="CP178" s="913"/>
      <c r="CQ178" s="913"/>
      <c r="CR178" s="913"/>
      <c r="CS178" s="913"/>
      <c r="CT178" s="913"/>
      <c r="CU178" s="913"/>
      <c r="CV178" s="913"/>
      <c r="CW178" s="913"/>
      <c r="CX178" s="913"/>
      <c r="CY178" s="913"/>
      <c r="CZ178" s="913"/>
      <c r="DA178" s="913"/>
      <c r="DB178" s="913"/>
      <c r="DC178" s="913"/>
      <c r="DD178" s="913"/>
      <c r="DE178" s="913"/>
      <c r="DF178" s="913"/>
      <c r="DG178" s="913"/>
      <c r="DH178" s="913"/>
      <c r="DI178" s="913"/>
      <c r="DJ178" s="913"/>
      <c r="DK178" s="913"/>
      <c r="DL178" s="913"/>
      <c r="DM178" s="913"/>
      <c r="DN178" s="913"/>
      <c r="DO178" s="913"/>
      <c r="DP178" s="913"/>
      <c r="DQ178" s="913"/>
      <c r="DR178" s="913"/>
      <c r="DS178" s="913"/>
      <c r="DT178" s="913"/>
      <c r="DU178" s="913"/>
      <c r="DV178" s="913"/>
      <c r="DW178" s="913"/>
      <c r="DX178" s="913"/>
      <c r="DY178" s="913"/>
      <c r="DZ178" s="913"/>
      <c r="EA178" s="913"/>
      <c r="EB178" s="913"/>
      <c r="EC178" s="913"/>
      <c r="ED178" s="913"/>
      <c r="EE178" s="913"/>
      <c r="EF178" s="913"/>
      <c r="EG178" s="913"/>
      <c r="EH178" s="913"/>
      <c r="EI178" s="913"/>
      <c r="EJ178" s="913"/>
      <c r="EK178" s="913"/>
      <c r="EL178" s="913"/>
      <c r="EM178" s="913"/>
      <c r="EN178" s="913"/>
      <c r="EO178" s="913"/>
      <c r="EP178" s="913"/>
      <c r="EQ178" s="913"/>
      <c r="ER178" s="913"/>
      <c r="ES178" s="913"/>
      <c r="ET178" s="913"/>
      <c r="EU178" s="913"/>
      <c r="EV178" s="913"/>
      <c r="EW178" s="913"/>
      <c r="EX178" s="913"/>
      <c r="EY178" s="913"/>
      <c r="EZ178" s="913"/>
      <c r="FA178" s="913"/>
      <c r="FB178" s="913"/>
      <c r="FC178" s="913"/>
      <c r="FD178" s="913"/>
      <c r="FE178" s="913"/>
      <c r="FF178" s="923"/>
    </row>
    <row r="179" spans="14:162" x14ac:dyDescent="0.25">
      <c r="N179" s="922"/>
      <c r="O179" s="913"/>
      <c r="P179" s="913"/>
      <c r="Q179" s="913"/>
      <c r="R179" s="913"/>
      <c r="S179" s="913"/>
      <c r="T179" s="913"/>
      <c r="U179" s="913"/>
      <c r="V179" s="913"/>
      <c r="W179" s="913"/>
      <c r="X179" s="913"/>
      <c r="Y179" s="913"/>
      <c r="Z179" s="913"/>
      <c r="AA179" s="913"/>
      <c r="AB179" s="913"/>
      <c r="AC179" s="913"/>
      <c r="AD179" s="913"/>
      <c r="AE179" s="913"/>
      <c r="AF179" s="913"/>
      <c r="AG179" s="913"/>
      <c r="AH179" s="913"/>
      <c r="AI179" s="913"/>
      <c r="AJ179" s="913"/>
      <c r="AK179" s="913"/>
      <c r="AL179" s="913"/>
      <c r="AM179" s="913"/>
      <c r="AN179" s="913"/>
      <c r="AO179" s="913"/>
      <c r="AP179" s="913"/>
      <c r="AQ179" s="913"/>
      <c r="AR179" s="913"/>
      <c r="AS179" s="913"/>
      <c r="AT179" s="913"/>
      <c r="AU179" s="913"/>
      <c r="AV179" s="913"/>
      <c r="AW179" s="913"/>
      <c r="AX179" s="913"/>
      <c r="AY179" s="913"/>
      <c r="AZ179" s="913"/>
      <c r="BA179" s="913"/>
      <c r="BB179" s="913"/>
      <c r="BC179" s="913"/>
      <c r="BD179" s="913"/>
      <c r="BE179" s="913"/>
      <c r="BF179" s="913"/>
      <c r="BG179" s="913"/>
      <c r="BH179" s="913"/>
      <c r="BI179" s="913"/>
      <c r="BJ179" s="913"/>
      <c r="BK179" s="913"/>
      <c r="BL179" s="913"/>
      <c r="BM179" s="913"/>
      <c r="BN179" s="913"/>
      <c r="BO179" s="913"/>
      <c r="BP179" s="913"/>
      <c r="BQ179" s="913"/>
      <c r="BR179" s="913"/>
      <c r="BS179" s="913"/>
      <c r="BT179" s="913"/>
      <c r="BU179" s="913"/>
      <c r="BV179" s="913"/>
      <c r="BW179" s="913"/>
      <c r="BX179" s="913"/>
      <c r="BY179" s="913"/>
      <c r="BZ179" s="913"/>
      <c r="CA179" s="913"/>
      <c r="CB179" s="913"/>
      <c r="CC179" s="913"/>
      <c r="CD179" s="913"/>
      <c r="CE179" s="913"/>
      <c r="CF179" s="913"/>
      <c r="CG179" s="913"/>
      <c r="CH179" s="913"/>
      <c r="CI179" s="913"/>
      <c r="CJ179" s="913"/>
      <c r="CK179" s="913"/>
      <c r="CL179" s="913"/>
      <c r="CM179" s="913"/>
      <c r="CN179" s="913"/>
      <c r="CO179" s="913"/>
      <c r="CP179" s="913"/>
      <c r="CQ179" s="913"/>
      <c r="CR179" s="913"/>
      <c r="CS179" s="913"/>
      <c r="CT179" s="913"/>
      <c r="CU179" s="913"/>
      <c r="CV179" s="913"/>
      <c r="CW179" s="913"/>
      <c r="CX179" s="913"/>
      <c r="CY179" s="913"/>
      <c r="CZ179" s="913"/>
      <c r="DA179" s="913"/>
      <c r="DB179" s="913"/>
      <c r="DC179" s="913"/>
      <c r="DD179" s="913"/>
      <c r="DE179" s="913"/>
      <c r="DF179" s="913"/>
      <c r="DG179" s="913"/>
      <c r="DH179" s="913"/>
      <c r="DI179" s="913"/>
      <c r="DJ179" s="913"/>
      <c r="DK179" s="913"/>
      <c r="DL179" s="913"/>
      <c r="DM179" s="913"/>
      <c r="DN179" s="913"/>
      <c r="DO179" s="913"/>
      <c r="DP179" s="913"/>
      <c r="DQ179" s="913"/>
      <c r="DR179" s="913"/>
      <c r="DS179" s="913"/>
      <c r="DT179" s="913"/>
      <c r="DU179" s="913"/>
      <c r="DV179" s="913"/>
      <c r="DW179" s="913"/>
      <c r="DX179" s="913"/>
      <c r="DY179" s="913"/>
      <c r="DZ179" s="913"/>
      <c r="EA179" s="913"/>
      <c r="EB179" s="913"/>
      <c r="EC179" s="913"/>
      <c r="ED179" s="913"/>
      <c r="EE179" s="913"/>
      <c r="EF179" s="913"/>
      <c r="EG179" s="913"/>
      <c r="EH179" s="913"/>
      <c r="EI179" s="913"/>
      <c r="EJ179" s="913"/>
      <c r="EK179" s="913"/>
      <c r="EL179" s="913"/>
      <c r="EM179" s="913"/>
      <c r="EN179" s="913"/>
      <c r="EO179" s="913"/>
      <c r="EP179" s="913"/>
      <c r="EQ179" s="913"/>
      <c r="ER179" s="913"/>
      <c r="ES179" s="913"/>
      <c r="ET179" s="913"/>
      <c r="EU179" s="913"/>
      <c r="EV179" s="913"/>
      <c r="EW179" s="913"/>
      <c r="EX179" s="913"/>
      <c r="EY179" s="913"/>
      <c r="EZ179" s="913"/>
      <c r="FA179" s="913"/>
      <c r="FB179" s="913"/>
      <c r="FC179" s="913"/>
      <c r="FD179" s="913"/>
      <c r="FE179" s="913"/>
      <c r="FF179" s="923"/>
    </row>
    <row r="180" spans="14:162" x14ac:dyDescent="0.25">
      <c r="N180" s="928"/>
      <c r="O180" s="929"/>
      <c r="P180" s="929"/>
      <c r="Q180" s="929"/>
      <c r="R180" s="929"/>
      <c r="S180" s="929"/>
      <c r="T180" s="929"/>
      <c r="U180" s="929"/>
      <c r="V180" s="929"/>
      <c r="W180" s="929"/>
      <c r="X180" s="929"/>
      <c r="Y180" s="929"/>
      <c r="Z180" s="929"/>
      <c r="AA180" s="929"/>
      <c r="AB180" s="929"/>
      <c r="AC180" s="929"/>
      <c r="AD180" s="929"/>
      <c r="AE180" s="929"/>
      <c r="AF180" s="929"/>
      <c r="AG180" s="929"/>
      <c r="AH180" s="929"/>
      <c r="AI180" s="929"/>
      <c r="AJ180" s="929"/>
      <c r="AK180" s="929"/>
      <c r="AL180" s="929"/>
      <c r="AM180" s="929"/>
      <c r="AN180" s="929"/>
      <c r="AO180" s="929"/>
      <c r="AP180" s="929"/>
      <c r="AQ180" s="929"/>
      <c r="AR180" s="929"/>
      <c r="AS180" s="929"/>
      <c r="AT180" s="929"/>
      <c r="AU180" s="929"/>
      <c r="AV180" s="929"/>
      <c r="AW180" s="929"/>
      <c r="AX180" s="929"/>
      <c r="AY180" s="929"/>
      <c r="AZ180" s="929"/>
      <c r="BA180" s="929"/>
      <c r="BB180" s="929"/>
      <c r="BC180" s="929"/>
      <c r="BD180" s="929"/>
      <c r="BE180" s="929"/>
      <c r="BF180" s="929"/>
      <c r="BG180" s="929"/>
      <c r="BH180" s="929"/>
      <c r="BI180" s="929"/>
      <c r="BJ180" s="929"/>
      <c r="BK180" s="929"/>
      <c r="BL180" s="929"/>
      <c r="BM180" s="929"/>
      <c r="BN180" s="929"/>
      <c r="BO180" s="929"/>
      <c r="BP180" s="929"/>
      <c r="BQ180" s="929"/>
      <c r="BR180" s="929"/>
      <c r="BS180" s="929"/>
      <c r="BT180" s="929"/>
      <c r="BU180" s="929"/>
      <c r="BV180" s="929"/>
      <c r="BW180" s="929"/>
      <c r="BX180" s="929"/>
      <c r="BY180" s="929"/>
      <c r="BZ180" s="929"/>
      <c r="CA180" s="929"/>
      <c r="CB180" s="929"/>
      <c r="CC180" s="929"/>
      <c r="CD180" s="929"/>
      <c r="CE180" s="929"/>
      <c r="CF180" s="929"/>
      <c r="CG180" s="929"/>
      <c r="CH180" s="929"/>
      <c r="CI180" s="929"/>
      <c r="CJ180" s="929"/>
      <c r="CK180" s="929"/>
      <c r="CL180" s="929"/>
      <c r="CM180" s="929"/>
      <c r="CN180" s="929"/>
      <c r="CO180" s="929"/>
      <c r="CP180" s="929"/>
      <c r="CQ180" s="929"/>
      <c r="CR180" s="929"/>
      <c r="CS180" s="929"/>
      <c r="CT180" s="929"/>
      <c r="CU180" s="929"/>
      <c r="CV180" s="929"/>
      <c r="CW180" s="929"/>
      <c r="CX180" s="929"/>
      <c r="CY180" s="929"/>
      <c r="CZ180" s="929"/>
      <c r="DA180" s="929"/>
      <c r="DB180" s="929"/>
      <c r="DC180" s="929"/>
      <c r="DD180" s="929"/>
      <c r="DE180" s="929"/>
      <c r="DF180" s="929"/>
      <c r="DG180" s="929"/>
      <c r="DH180" s="929"/>
      <c r="DI180" s="929"/>
      <c r="DJ180" s="929"/>
      <c r="DK180" s="929"/>
      <c r="DL180" s="929"/>
      <c r="DM180" s="929"/>
      <c r="DN180" s="929"/>
      <c r="DO180" s="929"/>
      <c r="DP180" s="929"/>
      <c r="DQ180" s="929"/>
      <c r="DR180" s="929"/>
      <c r="DS180" s="929"/>
      <c r="DT180" s="929"/>
      <c r="DU180" s="929"/>
      <c r="DV180" s="929"/>
      <c r="DW180" s="929"/>
      <c r="DX180" s="929"/>
      <c r="DY180" s="929"/>
      <c r="DZ180" s="929"/>
      <c r="EA180" s="929"/>
      <c r="EB180" s="929"/>
      <c r="EC180" s="929"/>
      <c r="ED180" s="929"/>
      <c r="EE180" s="929"/>
      <c r="EF180" s="929"/>
      <c r="EG180" s="929"/>
      <c r="EH180" s="929"/>
      <c r="EI180" s="929"/>
      <c r="EJ180" s="929"/>
      <c r="EK180" s="929"/>
      <c r="EL180" s="929"/>
      <c r="EM180" s="929"/>
      <c r="EN180" s="929"/>
      <c r="EO180" s="929"/>
      <c r="EP180" s="929"/>
      <c r="EQ180" s="929"/>
      <c r="ER180" s="929"/>
      <c r="ES180" s="929"/>
      <c r="ET180" s="929"/>
      <c r="EU180" s="929"/>
      <c r="EV180" s="929"/>
      <c r="EW180" s="929"/>
      <c r="EX180" s="929"/>
      <c r="EY180" s="929"/>
      <c r="EZ180" s="929"/>
      <c r="FA180" s="929"/>
      <c r="FB180" s="929"/>
      <c r="FC180" s="929"/>
      <c r="FD180" s="929"/>
      <c r="FE180" s="929"/>
      <c r="FF180" s="930"/>
    </row>
    <row r="282" spans="24:25" x14ac:dyDescent="0.25">
      <c r="X282" s="110"/>
      <c r="Y282" s="109"/>
    </row>
  </sheetData>
  <sheetProtection algorithmName="SHA-512" hashValue="ouFYPJslYyOtoXsqL7PQVyZ48DpWJB6yHX5PxXJ2U7dUAvQXG9OzM+OtHoBEj4kWELZ3X31+PZo5ZWvK4RBzIw==" saltValue="LmNZpHrtaC3cKat2xAqqQQ==" spinCount="100000" sheet="1" objects="1" scenarios="1"/>
  <mergeCells count="7">
    <mergeCell ref="N71:N72"/>
    <mergeCell ref="D15:W15"/>
    <mergeCell ref="AT15:IX15"/>
    <mergeCell ref="AU17:AV19"/>
    <mergeCell ref="AW17:IG18"/>
    <mergeCell ref="IQ18:IW18"/>
    <mergeCell ref="N44:N45"/>
  </mergeCells>
  <conditionalFormatting sqref="R46:Z57">
    <cfRule type="colorScale" priority="8">
      <colorScale>
        <cfvo type="min"/>
        <cfvo type="percentile" val="50"/>
        <cfvo type="max"/>
        <color rgb="FF63BE7B"/>
        <color rgb="FFFFEB84"/>
        <color rgb="FFF8696B"/>
      </colorScale>
    </cfRule>
  </conditionalFormatting>
  <conditionalFormatting sqref="E18:M29">
    <cfRule type="colorScale" priority="6">
      <colorScale>
        <cfvo type="min"/>
        <cfvo type="percentile" val="50"/>
        <cfvo type="max"/>
        <color rgb="FF63BE7B"/>
        <color rgb="FFFFEB84"/>
        <color rgb="FFF8696B"/>
      </colorScale>
    </cfRule>
  </conditionalFormatting>
  <conditionalFormatting sqref="Q103:Z105">
    <cfRule type="colorScale" priority="5">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2">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6.85546875" customWidth="1"/>
    <col min="4" max="4" width="14.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20.28515625" customWidth="1"/>
    <col min="16" max="16" width="11.28515625" customWidth="1"/>
    <col min="17" max="17" width="10.85546875" customWidth="1"/>
    <col min="18" max="18" width="20.140625" customWidth="1"/>
    <col min="19" max="19" width="13.42578125" customWidth="1"/>
    <col min="20" max="20" width="10.28515625" customWidth="1"/>
    <col min="21" max="21" width="20.28515625" customWidth="1"/>
    <col min="22" max="22" width="14" customWidth="1"/>
    <col min="23" max="23" width="15.42578125" customWidth="1"/>
    <col min="24" max="24" width="12.85546875" customWidth="1"/>
    <col min="25" max="25" width="11.5703125" customWidth="1"/>
    <col min="26" max="26" width="13.7109375" customWidth="1"/>
    <col min="28" max="28" width="9.140625" customWidth="1"/>
    <col min="29" max="29" width="13.85546875" customWidth="1"/>
    <col min="30" max="30" width="17.7109375" customWidth="1"/>
    <col min="31" max="31" width="9.140625" customWidth="1"/>
    <col min="32" max="32" width="14.5703125" customWidth="1"/>
    <col min="33" max="33" width="9.140625" customWidth="1"/>
    <col min="34" max="34" width="23.85546875" customWidth="1"/>
    <col min="35" max="35" width="9.140625" customWidth="1"/>
    <col min="37" max="37" width="20.710937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68" ht="21.75" thickBot="1" x14ac:dyDescent="0.4">
      <c r="B1" s="188" t="s">
        <v>36</v>
      </c>
      <c r="C1" s="213" t="s">
        <v>204</v>
      </c>
      <c r="D1" s="189"/>
      <c r="E1" s="189"/>
      <c r="F1" s="189"/>
      <c r="G1" s="189"/>
      <c r="H1" s="189"/>
      <c r="I1" s="190"/>
    </row>
    <row r="2" spans="2:26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68" ht="18.75" x14ac:dyDescent="0.3">
      <c r="B3" s="214" t="s">
        <v>181</v>
      </c>
      <c r="C3" s="187" t="str">
        <f>IF(AND('DATA ENTRY'!B22="mm",'DATA ENTRY'!B23&gt;=406,'DATA ENTRY'!B23&lt;=406.4),16,IF('DATA ENTRY'!B22="mm",'DATA ENTRY'!B23/25.4,'DATA ENTRY'!B23))</f>
        <v>ENTER LENGTH</v>
      </c>
      <c r="D3" s="179"/>
      <c r="E3" s="40"/>
      <c r="F3" s="40"/>
      <c r="G3" s="215" t="s">
        <v>229</v>
      </c>
      <c r="H3" s="187">
        <v>16</v>
      </c>
      <c r="I3" s="191">
        <v>108</v>
      </c>
      <c r="N3" s="41"/>
      <c r="O3" s="40"/>
      <c r="P3" s="40"/>
      <c r="Q3" s="40"/>
      <c r="R3" s="40"/>
      <c r="S3" s="40"/>
      <c r="T3" s="40"/>
      <c r="U3" s="40"/>
      <c r="V3" s="40"/>
      <c r="W3" s="169"/>
    </row>
    <row r="4" spans="2:268" ht="18.75" x14ac:dyDescent="0.3">
      <c r="B4" s="214" t="s">
        <v>38</v>
      </c>
      <c r="C4" s="187" t="str">
        <f>IF(AND('DATA ENTRY'!B22="mm",'DATA ENTRY'!B24&gt;=406,'DATA ENTRY'!B24&lt;=406.4),16,IF('DATA ENTRY'!B22="mm",'DATA ENTRY'!B24/25.4,'DATA ENTRY'!B24))</f>
        <v>ENTER WIDTH</v>
      </c>
      <c r="D4" s="179"/>
      <c r="E4" s="40"/>
      <c r="F4" s="40"/>
      <c r="G4" s="215" t="s">
        <v>230</v>
      </c>
      <c r="H4" s="187">
        <v>16</v>
      </c>
      <c r="I4" s="191">
        <v>108</v>
      </c>
      <c r="N4" s="41"/>
      <c r="O4" s="173" t="str">
        <f>C1&amp;"_MODEL"</f>
        <v>MCDE439_MODEL</v>
      </c>
      <c r="P4" s="173" t="s">
        <v>234</v>
      </c>
      <c r="Q4" s="173"/>
      <c r="R4" s="173"/>
      <c r="S4" s="173"/>
      <c r="T4" s="40"/>
      <c r="U4" s="40"/>
      <c r="V4" s="179" t="s">
        <v>93</v>
      </c>
      <c r="W4" s="169"/>
    </row>
    <row r="5" spans="2:268" ht="18.75" x14ac:dyDescent="0.3">
      <c r="B5" s="214" t="s">
        <v>39</v>
      </c>
      <c r="C5" s="483" t="str">
        <f>IF('DATA ENTRY'!B22="mm",VALUE(FIXED('DATA ENTRY'!B25/25.4,2)),'DATA ENTRY'!B25)</f>
        <v>ENTER HEIGHT</v>
      </c>
      <c r="D5" s="179"/>
      <c r="E5" s="40"/>
      <c r="F5" s="40"/>
      <c r="G5" s="215" t="s">
        <v>231</v>
      </c>
      <c r="H5" s="187">
        <v>13.06</v>
      </c>
      <c r="I5" s="191">
        <v>73.06</v>
      </c>
      <c r="N5" s="171" t="s">
        <v>79</v>
      </c>
      <c r="O5" s="173" t="str">
        <f>C1&amp;"_FA"</f>
        <v>MCDE439_FA</v>
      </c>
      <c r="P5" s="175" t="str">
        <f>P22</f>
        <v/>
      </c>
      <c r="Q5" s="173" t="s">
        <v>42</v>
      </c>
      <c r="R5" s="40"/>
      <c r="S5" s="40"/>
      <c r="T5" s="40"/>
      <c r="U5" s="40"/>
      <c r="V5" s="173" t="str">
        <f>C1&amp;"_W"</f>
        <v>MCDE439_W</v>
      </c>
      <c r="W5" s="178" t="str">
        <f>C3</f>
        <v>ENTER LENGTH</v>
      </c>
    </row>
    <row r="6" spans="2:268" ht="18.75" x14ac:dyDescent="0.3">
      <c r="B6" s="214" t="s">
        <v>40</v>
      </c>
      <c r="C6" s="483" t="str">
        <f>IF('DATA ENTRY'!B22="mm",'DATA ENTRY'!B26*2.1188799727597,'DATA ENTRY'!B26)</f>
        <v>ENTER AIR VOLUME</v>
      </c>
      <c r="D6" s="215"/>
      <c r="E6" s="215"/>
      <c r="F6" s="40"/>
      <c r="G6" s="40"/>
      <c r="H6" s="40"/>
      <c r="I6" s="169"/>
      <c r="N6" s="171" t="s">
        <v>56</v>
      </c>
      <c r="O6" s="173" t="str">
        <f>C1&amp;"_FA%"</f>
        <v>MCDE439_FA%</v>
      </c>
      <c r="P6" s="176" t="e">
        <f>P24</f>
        <v>#VALUE!</v>
      </c>
      <c r="Q6" s="173" t="s">
        <v>13</v>
      </c>
      <c r="R6" s="40"/>
      <c r="S6" s="40"/>
      <c r="T6" s="40"/>
      <c r="U6" s="40"/>
      <c r="V6" s="173" t="str">
        <f>C1&amp;"_H"</f>
        <v>MCDE439_H</v>
      </c>
      <c r="W6" s="178" t="str">
        <f>C4</f>
        <v>ENTER WIDTH</v>
      </c>
    </row>
    <row r="7" spans="2:268" ht="18.75" x14ac:dyDescent="0.3">
      <c r="B7" s="214" t="s">
        <v>41</v>
      </c>
      <c r="C7" s="215" t="str">
        <f>'DATA ENTRY'!B27</f>
        <v>SELECT AIR DIRECTION</v>
      </c>
      <c r="D7" s="215"/>
      <c r="E7" s="215"/>
      <c r="F7" s="40"/>
      <c r="G7" s="40"/>
      <c r="H7" s="40"/>
      <c r="I7" s="169"/>
      <c r="N7" s="171" t="s">
        <v>82</v>
      </c>
      <c r="O7" s="173" t="str">
        <f>C1&amp;"_VEL"</f>
        <v>MCDE439_VEL</v>
      </c>
      <c r="P7" s="176" t="e">
        <f>P26</f>
        <v>#VALUE!</v>
      </c>
      <c r="Q7" s="173" t="s">
        <v>0</v>
      </c>
      <c r="R7" s="40"/>
      <c r="S7" s="40"/>
      <c r="T7" s="40"/>
      <c r="U7" s="40"/>
      <c r="V7" s="173" t="str">
        <f>C1&amp;"_SL"</f>
        <v>MCDE439_SL</v>
      </c>
      <c r="W7" s="178" t="e">
        <f>C9</f>
        <v>#VALUE!</v>
      </c>
    </row>
    <row r="8" spans="2:268" ht="18.75" x14ac:dyDescent="0.3">
      <c r="B8" s="214"/>
      <c r="C8" s="215"/>
      <c r="D8" s="215"/>
      <c r="E8" s="215"/>
      <c r="F8" s="40"/>
      <c r="G8" s="40"/>
      <c r="H8" s="40"/>
      <c r="I8" s="169"/>
      <c r="N8" s="171" t="s">
        <v>80</v>
      </c>
      <c r="O8" s="173" t="str">
        <f>C1&amp;"_Intake"</f>
        <v>MCDE439_Intake</v>
      </c>
      <c r="P8" s="177" t="e">
        <f>P27</f>
        <v>#VALUE!</v>
      </c>
      <c r="Q8" s="173" t="s">
        <v>85</v>
      </c>
      <c r="R8" s="40"/>
      <c r="S8" s="40"/>
      <c r="T8" s="40"/>
      <c r="U8" s="40"/>
      <c r="V8" s="173" t="str">
        <f>C1&amp;"_SW"</f>
        <v>MCDE439_SW</v>
      </c>
      <c r="W8" s="178" t="e">
        <f>F9</f>
        <v>#VALUE!</v>
      </c>
    </row>
    <row r="9" spans="2:268" ht="18.75" x14ac:dyDescent="0.3">
      <c r="B9" s="214" t="s">
        <v>183</v>
      </c>
      <c r="C9" s="462" t="e">
        <f>CEILING(C3/60,1)</f>
        <v>#VALUE!</v>
      </c>
      <c r="D9" s="215"/>
      <c r="E9" s="215" t="s">
        <v>60</v>
      </c>
      <c r="F9" s="462" t="e">
        <f>CEILING(C4/60,1)</f>
        <v>#VALUE!</v>
      </c>
      <c r="G9" s="40"/>
      <c r="H9" s="215" t="s">
        <v>61</v>
      </c>
      <c r="I9" s="463" t="e">
        <f>CEILING(C5/I5,1)</f>
        <v>#VALUE!</v>
      </c>
      <c r="N9" s="171" t="s">
        <v>81</v>
      </c>
      <c r="O9" s="173" t="str">
        <f>C1&amp;"_Exhaust"</f>
        <v>MCDE439_Exhaust</v>
      </c>
      <c r="P9" s="177" t="e">
        <f>P28</f>
        <v>#VALUE!</v>
      </c>
      <c r="Q9" s="173" t="s">
        <v>85</v>
      </c>
      <c r="R9" s="40"/>
      <c r="S9" s="40"/>
      <c r="T9" s="40"/>
      <c r="U9" s="40"/>
      <c r="V9" s="173" t="str">
        <f>C1&amp;"_TA"</f>
        <v>MCDE439_TA</v>
      </c>
      <c r="W9" s="178">
        <f>IF(OR(C3&lt;H3,C4&lt;H4,C5&lt;H5,C3&gt;I3,C4&gt;I4,C5&gt;I5),0,(C3*C4)/144)</f>
        <v>0</v>
      </c>
    </row>
    <row r="10" spans="2:268" ht="18.75" x14ac:dyDescent="0.3">
      <c r="B10" s="214" t="s">
        <v>184</v>
      </c>
      <c r="C10" s="462" t="e">
        <f>(C3/C9)</f>
        <v>#VALUE!</v>
      </c>
      <c r="D10" s="215"/>
      <c r="E10" s="215" t="s">
        <v>58</v>
      </c>
      <c r="F10" s="462" t="e">
        <f>(C4/F9)</f>
        <v>#VALUE!</v>
      </c>
      <c r="G10" s="40"/>
      <c r="H10" s="215" t="s">
        <v>51</v>
      </c>
      <c r="I10" s="463" t="e">
        <f>(C5/I9)</f>
        <v>#VALUE!</v>
      </c>
      <c r="N10" s="171" t="s">
        <v>86</v>
      </c>
      <c r="O10" s="173" t="str">
        <f>C1&amp;"_SEC"</f>
        <v>MCDE439_SEC</v>
      </c>
      <c r="P10" s="173">
        <f>IF(OR(C3&lt;H3,C4&lt;H4,C5&lt;H5,C3&gt;I3,C4&gt;I4,C5&gt;I5),0,D13)</f>
        <v>0</v>
      </c>
      <c r="Q10" s="173"/>
      <c r="R10" s="40"/>
      <c r="S10" s="40"/>
      <c r="T10" s="40"/>
      <c r="U10" s="40"/>
      <c r="V10" s="40"/>
      <c r="W10" s="169"/>
    </row>
    <row r="11" spans="2:268" ht="18.75" x14ac:dyDescent="0.3">
      <c r="B11" s="214"/>
      <c r="C11" s="215"/>
      <c r="D11" s="215"/>
      <c r="E11" s="215"/>
      <c r="F11" s="215"/>
      <c r="G11" s="40"/>
      <c r="H11" s="40"/>
      <c r="I11" s="169"/>
      <c r="N11" s="171" t="s">
        <v>83</v>
      </c>
      <c r="O11" s="173" t="str">
        <f>C1&amp;"_SECW"</f>
        <v>MCDE439_SECW</v>
      </c>
      <c r="P11" s="194" t="e">
        <f>IF(OR(D3&gt;I3,D4&gt;I4,D5&gt;I5),0,AB81)</f>
        <v>#VALUE!</v>
      </c>
      <c r="Q11" s="173" t="s">
        <v>72</v>
      </c>
      <c r="R11" s="40"/>
      <c r="S11" s="40"/>
      <c r="T11" s="40"/>
      <c r="U11" s="40"/>
      <c r="V11" s="40"/>
      <c r="W11" s="169"/>
    </row>
    <row r="12" spans="2:268" ht="19.5" thickBot="1" x14ac:dyDescent="0.35">
      <c r="B12" s="41"/>
      <c r="C12" s="214" t="s">
        <v>185</v>
      </c>
      <c r="D12" s="462" t="e">
        <f>C9*I9</f>
        <v>#VALUE!</v>
      </c>
      <c r="E12" s="215"/>
      <c r="F12" s="215" t="s">
        <v>186</v>
      </c>
      <c r="G12" s="462" t="e">
        <f>F9*I9</f>
        <v>#VALUE!</v>
      </c>
      <c r="H12" s="40"/>
      <c r="I12" s="169"/>
      <c r="N12" s="172" t="s">
        <v>84</v>
      </c>
      <c r="O12" s="174" t="str">
        <f>C1&amp;"_TW"</f>
        <v>MCDE439_TW</v>
      </c>
      <c r="P12" s="416">
        <f>IF(OR(C3&lt;H3,C4&lt;H4,C5&lt;H5,C3&gt;I3,C4&gt;I4,C5&gt;I5),0,AB80)</f>
        <v>0</v>
      </c>
      <c r="Q12" s="174" t="s">
        <v>72</v>
      </c>
      <c r="R12" s="43"/>
      <c r="S12" s="43"/>
      <c r="T12" s="43"/>
      <c r="U12" s="43"/>
      <c r="V12" s="43"/>
      <c r="W12" s="170"/>
    </row>
    <row r="13" spans="2:268" ht="18.75" x14ac:dyDescent="0.3">
      <c r="B13" s="41"/>
      <c r="C13" s="215" t="s">
        <v>187</v>
      </c>
      <c r="D13" s="462" t="e">
        <f>IF(OR(C10=0,F10=0,I10=0),0,((2*D12)+(2*G12)))</f>
        <v>#VALUE!</v>
      </c>
      <c r="E13" s="187"/>
      <c r="F13" s="215" t="s">
        <v>337</v>
      </c>
      <c r="G13" s="462" t="e">
        <f>VALUE(RIGHT('FOR ENGINEERS'!F21,1))</f>
        <v>#N/A</v>
      </c>
      <c r="H13" s="40"/>
      <c r="I13" s="169"/>
      <c r="M13" s="71"/>
      <c r="N13" s="425"/>
      <c r="O13" s="425"/>
      <c r="P13" s="425"/>
      <c r="Q13" s="425"/>
      <c r="R13" s="193"/>
      <c r="S13" s="193"/>
      <c r="T13" s="193"/>
      <c r="U13" s="193"/>
      <c r="V13" s="193"/>
      <c r="W13" s="193"/>
      <c r="X13" s="71"/>
    </row>
    <row r="14" spans="2:268" ht="15.75" thickBot="1" x14ac:dyDescent="0.3">
      <c r="B14" s="42"/>
      <c r="C14" s="43"/>
      <c r="D14" s="43"/>
      <c r="E14" s="43"/>
      <c r="F14" s="43"/>
      <c r="G14" s="43"/>
      <c r="H14" s="43"/>
      <c r="I14" s="170"/>
      <c r="L14" s="71"/>
      <c r="M14" s="71"/>
      <c r="N14" s="71"/>
      <c r="O14" s="71"/>
      <c r="P14" s="71"/>
      <c r="Q14" s="71"/>
      <c r="R14" s="71"/>
      <c r="S14" s="71"/>
      <c r="T14" s="71"/>
      <c r="U14" s="71"/>
      <c r="V14" s="71"/>
      <c r="W14" s="71"/>
      <c r="X14" s="71"/>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c r="IZ14" s="193"/>
      <c r="JA14" s="193"/>
      <c r="JB14" s="193"/>
      <c r="JC14" s="193"/>
      <c r="JD14" s="193"/>
      <c r="JE14" s="193"/>
      <c r="JF14" s="193"/>
      <c r="JG14" s="193"/>
      <c r="JH14" s="193"/>
    </row>
    <row r="15" spans="2:268" ht="27" thickBot="1" x14ac:dyDescent="0.45">
      <c r="B15" s="166" t="s">
        <v>364</v>
      </c>
      <c r="C15" s="122"/>
      <c r="D15" s="812"/>
      <c r="E15" s="813"/>
      <c r="F15" s="813"/>
      <c r="G15" s="813"/>
      <c r="H15" s="813"/>
      <c r="I15" s="813"/>
      <c r="J15" s="813"/>
      <c r="K15" s="813"/>
      <c r="L15" s="813"/>
      <c r="M15" s="813"/>
      <c r="N15" s="813"/>
      <c r="O15" s="813"/>
      <c r="P15" s="813"/>
      <c r="Q15" s="813"/>
      <c r="R15" s="813"/>
      <c r="S15" s="813"/>
      <c r="T15" s="813"/>
      <c r="U15" s="813"/>
      <c r="V15" s="813"/>
      <c r="W15" s="814"/>
      <c r="X15" s="815"/>
      <c r="Y15" s="816"/>
      <c r="AS15" s="193"/>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c r="IW15" s="800"/>
      <c r="IX15" s="800"/>
      <c r="IY15" s="193"/>
      <c r="IZ15" s="193"/>
      <c r="JA15" s="193"/>
      <c r="JB15" s="193"/>
      <c r="JC15" s="193"/>
      <c r="JD15" s="193"/>
      <c r="JE15" s="193"/>
      <c r="JF15" s="193"/>
      <c r="JG15" s="193"/>
      <c r="JH15" s="193"/>
    </row>
    <row r="16" spans="2:268" ht="15.75" customHeight="1" thickBot="1" x14ac:dyDescent="0.3">
      <c r="B16" s="810"/>
      <c r="C16" s="811"/>
      <c r="D16" s="811"/>
      <c r="E16" s="811"/>
      <c r="F16" s="811"/>
      <c r="G16" s="811"/>
      <c r="H16" s="811"/>
      <c r="I16" s="811"/>
      <c r="J16" s="811"/>
      <c r="K16" s="811"/>
      <c r="L16" s="811"/>
      <c r="M16" s="811"/>
      <c r="N16" s="811"/>
      <c r="O16" s="811"/>
      <c r="P16" s="811"/>
      <c r="Q16" s="811"/>
      <c r="R16" s="811"/>
      <c r="S16" s="811"/>
      <c r="T16" s="811"/>
      <c r="U16" s="811"/>
      <c r="V16" s="811"/>
      <c r="W16" s="811"/>
      <c r="X16" s="114"/>
      <c r="Y16" s="120"/>
      <c r="AS16" s="193"/>
      <c r="AT16" s="507"/>
      <c r="AU16" s="507"/>
      <c r="AV16" s="507"/>
      <c r="AW16" s="507"/>
      <c r="AX16" s="507"/>
      <c r="AY16" s="507"/>
      <c r="AZ16" s="507"/>
      <c r="BA16" s="507"/>
      <c r="BB16" s="507"/>
      <c r="BC16" s="507"/>
      <c r="BD16" s="507"/>
      <c r="BE16" s="507"/>
      <c r="BF16" s="507"/>
      <c r="BG16" s="507"/>
      <c r="BH16" s="786"/>
      <c r="BI16" s="787"/>
      <c r="BJ16" s="787"/>
      <c r="BK16" s="787"/>
      <c r="BL16" s="787"/>
      <c r="BM16" s="787"/>
      <c r="BN16" s="787"/>
      <c r="BO16" s="787"/>
      <c r="BP16" s="787"/>
      <c r="BQ16" s="787"/>
      <c r="BR16" s="786"/>
      <c r="BS16" s="787"/>
      <c r="BT16" s="787"/>
      <c r="BU16" s="787"/>
      <c r="BV16" s="787"/>
      <c r="BW16" s="787"/>
      <c r="BX16" s="787"/>
      <c r="BY16" s="787"/>
      <c r="BZ16" s="787"/>
      <c r="CA16" s="787"/>
      <c r="CB16" s="786"/>
      <c r="CC16" s="787"/>
      <c r="CD16" s="787"/>
      <c r="CE16" s="787"/>
      <c r="CF16" s="787"/>
      <c r="CG16" s="787"/>
      <c r="CH16" s="787"/>
      <c r="CI16" s="787"/>
      <c r="CJ16" s="787"/>
      <c r="CK16" s="787"/>
      <c r="CL16" s="786"/>
      <c r="CM16" s="787"/>
      <c r="CN16" s="787"/>
      <c r="CO16" s="787"/>
      <c r="CP16" s="787"/>
      <c r="CQ16" s="787"/>
      <c r="CR16" s="787"/>
      <c r="CS16" s="787"/>
      <c r="CT16" s="787"/>
      <c r="CU16" s="787"/>
      <c r="CV16" s="786"/>
      <c r="CW16" s="787"/>
      <c r="CX16" s="787"/>
      <c r="CY16" s="787"/>
      <c r="CZ16" s="787"/>
      <c r="DA16" s="787"/>
      <c r="DB16" s="787"/>
      <c r="DC16" s="787"/>
      <c r="DD16" s="787"/>
      <c r="DE16" s="787"/>
      <c r="DF16" s="786"/>
      <c r="DG16" s="787"/>
      <c r="DH16" s="787"/>
      <c r="DI16" s="787"/>
      <c r="DJ16" s="787"/>
      <c r="DK16" s="787"/>
      <c r="DL16" s="787"/>
      <c r="DM16" s="787"/>
      <c r="DN16" s="787"/>
      <c r="DO16" s="787"/>
      <c r="DP16" s="786"/>
      <c r="DQ16" s="787"/>
      <c r="DR16" s="787"/>
      <c r="DS16" s="787"/>
      <c r="DT16" s="787"/>
      <c r="DU16" s="787"/>
      <c r="DV16" s="787"/>
      <c r="DW16" s="787"/>
      <c r="DX16" s="787"/>
      <c r="DY16" s="787"/>
      <c r="DZ16" s="786"/>
      <c r="EA16" s="787"/>
      <c r="EB16" s="787"/>
      <c r="EC16" s="787"/>
      <c r="ED16" s="787"/>
      <c r="EE16" s="787"/>
      <c r="EF16" s="787"/>
      <c r="EG16" s="787"/>
      <c r="EH16" s="787"/>
      <c r="EI16" s="787"/>
      <c r="EJ16" s="786"/>
      <c r="EK16" s="787"/>
      <c r="EL16" s="787"/>
      <c r="EM16" s="787"/>
      <c r="EN16" s="787"/>
      <c r="EO16" s="787"/>
      <c r="EP16" s="787"/>
      <c r="EQ16" s="787"/>
      <c r="ER16" s="787"/>
      <c r="ES16" s="787"/>
      <c r="ET16" s="786"/>
      <c r="EU16" s="787"/>
      <c r="EV16" s="787"/>
      <c r="EW16" s="787"/>
      <c r="EX16" s="787"/>
      <c r="EY16" s="787"/>
      <c r="EZ16" s="787"/>
      <c r="FA16" s="787"/>
      <c r="FB16" s="787"/>
      <c r="FC16" s="787"/>
      <c r="FD16" s="786"/>
      <c r="FE16" s="787"/>
      <c r="FF16" s="787"/>
      <c r="FG16" s="787"/>
      <c r="FH16" s="787"/>
      <c r="FI16" s="787"/>
      <c r="FJ16" s="787"/>
      <c r="FK16" s="787"/>
      <c r="FL16" s="787"/>
      <c r="FM16" s="787"/>
      <c r="FN16" s="786"/>
      <c r="FO16" s="787"/>
      <c r="FP16" s="787"/>
      <c r="FQ16" s="787"/>
      <c r="FR16" s="787"/>
      <c r="FS16" s="787"/>
      <c r="FT16" s="787"/>
      <c r="FU16" s="787"/>
      <c r="FV16" s="787"/>
      <c r="FW16" s="787"/>
      <c r="FX16" s="786"/>
      <c r="FY16" s="787"/>
      <c r="FZ16" s="787"/>
      <c r="GA16" s="787"/>
      <c r="GB16" s="787"/>
      <c r="GC16" s="787"/>
      <c r="GD16" s="787"/>
      <c r="GE16" s="787"/>
      <c r="GF16" s="787"/>
      <c r="GG16" s="787"/>
      <c r="GH16" s="786"/>
      <c r="GI16" s="787"/>
      <c r="GJ16" s="787"/>
      <c r="GK16" s="787"/>
      <c r="GL16" s="787"/>
      <c r="GM16" s="787"/>
      <c r="GN16" s="787"/>
      <c r="GO16" s="787"/>
      <c r="GP16" s="787"/>
      <c r="GQ16" s="787"/>
      <c r="GR16" s="786"/>
      <c r="GS16" s="787"/>
      <c r="GT16" s="787"/>
      <c r="GU16" s="787"/>
      <c r="GV16" s="787"/>
      <c r="GW16" s="787"/>
      <c r="GX16" s="787"/>
      <c r="GY16" s="787"/>
      <c r="GZ16" s="787"/>
      <c r="HA16" s="787"/>
      <c r="HB16" s="786"/>
      <c r="HC16" s="787"/>
      <c r="HD16" s="787"/>
      <c r="HE16" s="787"/>
      <c r="HF16" s="787"/>
      <c r="HG16" s="787"/>
      <c r="HH16" s="787"/>
      <c r="HI16" s="787"/>
      <c r="HJ16" s="787"/>
      <c r="HK16" s="787"/>
      <c r="HL16" s="786"/>
      <c r="HM16" s="787"/>
      <c r="HN16" s="787"/>
      <c r="HO16" s="787"/>
      <c r="HP16" s="787"/>
      <c r="HQ16" s="787"/>
      <c r="HR16" s="787"/>
      <c r="HS16" s="787"/>
      <c r="HT16" s="787"/>
      <c r="HU16" s="787"/>
      <c r="HV16" s="786"/>
      <c r="HW16" s="787"/>
      <c r="HX16" s="787"/>
      <c r="HY16" s="787"/>
      <c r="HZ16" s="787"/>
      <c r="IA16" s="787"/>
      <c r="IB16" s="787"/>
      <c r="IC16" s="787"/>
      <c r="ID16" s="787"/>
      <c r="IE16" s="787"/>
      <c r="IF16" s="786"/>
      <c r="IG16" s="787"/>
      <c r="IH16" s="787"/>
      <c r="II16" s="787"/>
      <c r="IJ16" s="787"/>
      <c r="IK16" s="787"/>
      <c r="IL16" s="787"/>
      <c r="IM16" s="787"/>
      <c r="IN16" s="507"/>
      <c r="IO16" s="507"/>
      <c r="IP16" s="507"/>
      <c r="IQ16" s="507"/>
      <c r="IR16" s="507"/>
      <c r="IS16" s="507"/>
      <c r="IT16" s="507"/>
      <c r="IU16" s="507"/>
      <c r="IV16" s="507"/>
      <c r="IW16" s="507"/>
      <c r="IX16" s="507"/>
      <c r="IY16" s="193"/>
      <c r="IZ16" s="193"/>
      <c r="JA16" s="193"/>
      <c r="JB16" s="193"/>
      <c r="JC16" s="193"/>
      <c r="JD16" s="193"/>
      <c r="JE16" s="193"/>
      <c r="JF16" s="193"/>
      <c r="JG16" s="193"/>
      <c r="JH16" s="193"/>
    </row>
    <row r="17" spans="2:268" ht="19.5" thickBot="1" x14ac:dyDescent="0.35">
      <c r="B17" s="214"/>
      <c r="C17" s="809"/>
      <c r="D17" s="1001" t="s">
        <v>365</v>
      </c>
      <c r="E17" s="1001" t="s">
        <v>361</v>
      </c>
      <c r="F17" s="1002" t="s">
        <v>362</v>
      </c>
      <c r="G17" s="1002" t="s">
        <v>363</v>
      </c>
      <c r="H17" s="40"/>
      <c r="I17" s="40"/>
      <c r="J17" s="40"/>
      <c r="K17" s="40"/>
      <c r="L17" s="40"/>
      <c r="M17" s="40"/>
      <c r="N17" s="40"/>
      <c r="O17" s="40"/>
      <c r="P17" s="40"/>
      <c r="Q17" s="40"/>
      <c r="R17" s="40"/>
      <c r="S17" s="40"/>
      <c r="T17" s="40"/>
      <c r="U17" s="40"/>
      <c r="V17" s="40"/>
      <c r="W17" s="40"/>
      <c r="X17" s="113"/>
      <c r="Y17" s="46"/>
      <c r="AS17" s="193"/>
      <c r="AT17" s="507"/>
      <c r="AU17" s="801"/>
      <c r="AV17" s="801"/>
      <c r="AW17" s="802"/>
      <c r="AX17" s="802"/>
      <c r="AY17" s="802"/>
      <c r="AZ17" s="802"/>
      <c r="BA17" s="802"/>
      <c r="BB17" s="802"/>
      <c r="BC17" s="802"/>
      <c r="BD17" s="802"/>
      <c r="BE17" s="802"/>
      <c r="BF17" s="802"/>
      <c r="BG17" s="802"/>
      <c r="BH17" s="802"/>
      <c r="BI17" s="802"/>
      <c r="BJ17" s="802"/>
      <c r="BK17" s="802"/>
      <c r="BL17" s="802"/>
      <c r="BM17" s="802"/>
      <c r="BN17" s="802"/>
      <c r="BO17" s="802"/>
      <c r="BP17" s="802"/>
      <c r="BQ17" s="802"/>
      <c r="BR17" s="802"/>
      <c r="BS17" s="802"/>
      <c r="BT17" s="802"/>
      <c r="BU17" s="802"/>
      <c r="BV17" s="802"/>
      <c r="BW17" s="802"/>
      <c r="BX17" s="802"/>
      <c r="BY17" s="802"/>
      <c r="BZ17" s="802"/>
      <c r="CA17" s="802"/>
      <c r="CB17" s="802"/>
      <c r="CC17" s="802"/>
      <c r="CD17" s="802"/>
      <c r="CE17" s="802"/>
      <c r="CF17" s="802"/>
      <c r="CG17" s="802"/>
      <c r="CH17" s="802"/>
      <c r="CI17" s="802"/>
      <c r="CJ17" s="802"/>
      <c r="CK17" s="802"/>
      <c r="CL17" s="802"/>
      <c r="CM17" s="802"/>
      <c r="CN17" s="802"/>
      <c r="CO17" s="802"/>
      <c r="CP17" s="802"/>
      <c r="CQ17" s="802"/>
      <c r="CR17" s="802"/>
      <c r="CS17" s="802"/>
      <c r="CT17" s="802"/>
      <c r="CU17" s="802"/>
      <c r="CV17" s="802"/>
      <c r="CW17" s="802"/>
      <c r="CX17" s="802"/>
      <c r="CY17" s="802"/>
      <c r="CZ17" s="802"/>
      <c r="DA17" s="802"/>
      <c r="DB17" s="802"/>
      <c r="DC17" s="802"/>
      <c r="DD17" s="802"/>
      <c r="DE17" s="802"/>
      <c r="DF17" s="802"/>
      <c r="DG17" s="802"/>
      <c r="DH17" s="802"/>
      <c r="DI17" s="802"/>
      <c r="DJ17" s="802"/>
      <c r="DK17" s="802"/>
      <c r="DL17" s="802"/>
      <c r="DM17" s="802"/>
      <c r="DN17" s="802"/>
      <c r="DO17" s="802"/>
      <c r="DP17" s="802"/>
      <c r="DQ17" s="802"/>
      <c r="DR17" s="802"/>
      <c r="DS17" s="802"/>
      <c r="DT17" s="802"/>
      <c r="DU17" s="802"/>
      <c r="DV17" s="802"/>
      <c r="DW17" s="802"/>
      <c r="DX17" s="802"/>
      <c r="DY17" s="802"/>
      <c r="DZ17" s="802"/>
      <c r="EA17" s="802"/>
      <c r="EB17" s="802"/>
      <c r="EC17" s="802"/>
      <c r="ED17" s="802"/>
      <c r="EE17" s="802"/>
      <c r="EF17" s="802"/>
      <c r="EG17" s="802"/>
      <c r="EH17" s="802"/>
      <c r="EI17" s="802"/>
      <c r="EJ17" s="802"/>
      <c r="EK17" s="802"/>
      <c r="EL17" s="802"/>
      <c r="EM17" s="802"/>
      <c r="EN17" s="802"/>
      <c r="EO17" s="802"/>
      <c r="EP17" s="802"/>
      <c r="EQ17" s="802"/>
      <c r="ER17" s="802"/>
      <c r="ES17" s="802"/>
      <c r="ET17" s="802"/>
      <c r="EU17" s="802"/>
      <c r="EV17" s="802"/>
      <c r="EW17" s="802"/>
      <c r="EX17" s="802"/>
      <c r="EY17" s="802"/>
      <c r="EZ17" s="802"/>
      <c r="FA17" s="802"/>
      <c r="FB17" s="802"/>
      <c r="FC17" s="802"/>
      <c r="FD17" s="802"/>
      <c r="FE17" s="802"/>
      <c r="FF17" s="802"/>
      <c r="FG17" s="802"/>
      <c r="FH17" s="802"/>
      <c r="FI17" s="802"/>
      <c r="FJ17" s="802"/>
      <c r="FK17" s="802"/>
      <c r="FL17" s="802"/>
      <c r="FM17" s="802"/>
      <c r="FN17" s="802"/>
      <c r="FO17" s="802"/>
      <c r="FP17" s="802"/>
      <c r="FQ17" s="802"/>
      <c r="FR17" s="802"/>
      <c r="FS17" s="802"/>
      <c r="FT17" s="802"/>
      <c r="FU17" s="802"/>
      <c r="FV17" s="802"/>
      <c r="FW17" s="802"/>
      <c r="FX17" s="802"/>
      <c r="FY17" s="802"/>
      <c r="FZ17" s="802"/>
      <c r="GA17" s="802"/>
      <c r="GB17" s="802"/>
      <c r="GC17" s="802"/>
      <c r="GD17" s="802"/>
      <c r="GE17" s="802"/>
      <c r="GF17" s="802"/>
      <c r="GG17" s="802"/>
      <c r="GH17" s="802"/>
      <c r="GI17" s="802"/>
      <c r="GJ17" s="802"/>
      <c r="GK17" s="802"/>
      <c r="GL17" s="802"/>
      <c r="GM17" s="802"/>
      <c r="GN17" s="802"/>
      <c r="GO17" s="802"/>
      <c r="GP17" s="802"/>
      <c r="GQ17" s="802"/>
      <c r="GR17" s="802"/>
      <c r="GS17" s="802"/>
      <c r="GT17" s="802"/>
      <c r="GU17" s="802"/>
      <c r="GV17" s="802"/>
      <c r="GW17" s="802"/>
      <c r="GX17" s="802"/>
      <c r="GY17" s="802"/>
      <c r="GZ17" s="802"/>
      <c r="HA17" s="802"/>
      <c r="HB17" s="802"/>
      <c r="HC17" s="802"/>
      <c r="HD17" s="802"/>
      <c r="HE17" s="802"/>
      <c r="HF17" s="802"/>
      <c r="HG17" s="802"/>
      <c r="HH17" s="802"/>
      <c r="HI17" s="802"/>
      <c r="HJ17" s="802"/>
      <c r="HK17" s="802"/>
      <c r="HL17" s="802"/>
      <c r="HM17" s="802"/>
      <c r="HN17" s="802"/>
      <c r="HO17" s="802"/>
      <c r="HP17" s="802"/>
      <c r="HQ17" s="802"/>
      <c r="HR17" s="802"/>
      <c r="HS17" s="802"/>
      <c r="HT17" s="802"/>
      <c r="HU17" s="802"/>
      <c r="HV17" s="802"/>
      <c r="HW17" s="802"/>
      <c r="HX17" s="802"/>
      <c r="HY17" s="802"/>
      <c r="HZ17" s="802"/>
      <c r="IA17" s="802"/>
      <c r="IB17" s="802"/>
      <c r="IC17" s="802"/>
      <c r="ID17" s="802"/>
      <c r="IE17" s="802"/>
      <c r="IF17" s="802"/>
      <c r="IG17" s="802"/>
      <c r="IH17" s="793"/>
      <c r="II17" s="793"/>
      <c r="IJ17" s="793"/>
      <c r="IK17" s="793"/>
      <c r="IL17" s="793"/>
      <c r="IM17" s="793"/>
      <c r="IN17" s="507"/>
      <c r="IO17" s="507"/>
      <c r="IP17" s="507"/>
      <c r="IQ17" s="788"/>
      <c r="IR17" s="788"/>
      <c r="IS17" s="788"/>
      <c r="IT17" s="788"/>
      <c r="IU17" s="788"/>
      <c r="IV17" s="788"/>
      <c r="IW17" s="788"/>
      <c r="IX17" s="507"/>
      <c r="IY17" s="193"/>
      <c r="IZ17" s="193"/>
      <c r="JA17" s="193"/>
      <c r="JB17" s="193"/>
      <c r="JC17" s="193"/>
      <c r="JD17" s="193"/>
      <c r="JE17" s="193"/>
      <c r="JF17" s="193"/>
      <c r="JG17" s="193"/>
      <c r="JH17" s="193"/>
    </row>
    <row r="18" spans="2:268" ht="24.75" customHeight="1" thickBot="1" x14ac:dyDescent="0.4">
      <c r="B18" s="805"/>
      <c r="C18" s="818" t="s">
        <v>39</v>
      </c>
      <c r="D18" s="1001"/>
      <c r="E18" s="1001"/>
      <c r="F18" s="1002"/>
      <c r="G18" s="1002"/>
      <c r="H18" s="817"/>
      <c r="I18" s="823" t="s">
        <v>372</v>
      </c>
      <c r="J18" s="824"/>
      <c r="K18" s="825"/>
      <c r="L18" s="825"/>
      <c r="M18" s="825"/>
      <c r="N18" s="825"/>
      <c r="O18" s="825"/>
      <c r="P18" s="825"/>
      <c r="Q18" s="825"/>
      <c r="R18" s="825"/>
      <c r="S18" s="826"/>
      <c r="T18" s="692"/>
      <c r="U18" s="692"/>
      <c r="V18" s="692"/>
      <c r="W18" s="692"/>
      <c r="X18" s="841"/>
      <c r="Y18" s="77"/>
      <c r="Z18" s="61"/>
      <c r="AA18" s="61"/>
      <c r="AS18" s="193"/>
      <c r="AT18" s="507"/>
      <c r="AU18" s="801"/>
      <c r="AV18" s="801"/>
      <c r="AW18" s="802"/>
      <c r="AX18" s="802"/>
      <c r="AY18" s="802"/>
      <c r="AZ18" s="802"/>
      <c r="BA18" s="802"/>
      <c r="BB18" s="802"/>
      <c r="BC18" s="802"/>
      <c r="BD18" s="802"/>
      <c r="BE18" s="802"/>
      <c r="BF18" s="802"/>
      <c r="BG18" s="802"/>
      <c r="BH18" s="802"/>
      <c r="BI18" s="802"/>
      <c r="BJ18" s="802"/>
      <c r="BK18" s="802"/>
      <c r="BL18" s="802"/>
      <c r="BM18" s="802"/>
      <c r="BN18" s="802"/>
      <c r="BO18" s="802"/>
      <c r="BP18" s="802"/>
      <c r="BQ18" s="802"/>
      <c r="BR18" s="802"/>
      <c r="BS18" s="802"/>
      <c r="BT18" s="802"/>
      <c r="BU18" s="802"/>
      <c r="BV18" s="802"/>
      <c r="BW18" s="802"/>
      <c r="BX18" s="802"/>
      <c r="BY18" s="802"/>
      <c r="BZ18" s="802"/>
      <c r="CA18" s="802"/>
      <c r="CB18" s="802"/>
      <c r="CC18" s="802"/>
      <c r="CD18" s="802"/>
      <c r="CE18" s="802"/>
      <c r="CF18" s="802"/>
      <c r="CG18" s="802"/>
      <c r="CH18" s="802"/>
      <c r="CI18" s="802"/>
      <c r="CJ18" s="802"/>
      <c r="CK18" s="802"/>
      <c r="CL18" s="802"/>
      <c r="CM18" s="802"/>
      <c r="CN18" s="802"/>
      <c r="CO18" s="802"/>
      <c r="CP18" s="802"/>
      <c r="CQ18" s="802"/>
      <c r="CR18" s="802"/>
      <c r="CS18" s="802"/>
      <c r="CT18" s="802"/>
      <c r="CU18" s="802"/>
      <c r="CV18" s="802"/>
      <c r="CW18" s="802"/>
      <c r="CX18" s="802"/>
      <c r="CY18" s="802"/>
      <c r="CZ18" s="802"/>
      <c r="DA18" s="802"/>
      <c r="DB18" s="802"/>
      <c r="DC18" s="802"/>
      <c r="DD18" s="802"/>
      <c r="DE18" s="802"/>
      <c r="DF18" s="802"/>
      <c r="DG18" s="802"/>
      <c r="DH18" s="802"/>
      <c r="DI18" s="802"/>
      <c r="DJ18" s="802"/>
      <c r="DK18" s="802"/>
      <c r="DL18" s="802"/>
      <c r="DM18" s="802"/>
      <c r="DN18" s="802"/>
      <c r="DO18" s="802"/>
      <c r="DP18" s="802"/>
      <c r="DQ18" s="802"/>
      <c r="DR18" s="802"/>
      <c r="DS18" s="802"/>
      <c r="DT18" s="802"/>
      <c r="DU18" s="802"/>
      <c r="DV18" s="802"/>
      <c r="DW18" s="802"/>
      <c r="DX18" s="802"/>
      <c r="DY18" s="802"/>
      <c r="DZ18" s="802"/>
      <c r="EA18" s="802"/>
      <c r="EB18" s="802"/>
      <c r="EC18" s="802"/>
      <c r="ED18" s="802"/>
      <c r="EE18" s="802"/>
      <c r="EF18" s="802"/>
      <c r="EG18" s="802"/>
      <c r="EH18" s="802"/>
      <c r="EI18" s="802"/>
      <c r="EJ18" s="802"/>
      <c r="EK18" s="802"/>
      <c r="EL18" s="802"/>
      <c r="EM18" s="802"/>
      <c r="EN18" s="802"/>
      <c r="EO18" s="802"/>
      <c r="EP18" s="802"/>
      <c r="EQ18" s="802"/>
      <c r="ER18" s="802"/>
      <c r="ES18" s="802"/>
      <c r="ET18" s="802"/>
      <c r="EU18" s="802"/>
      <c r="EV18" s="802"/>
      <c r="EW18" s="802"/>
      <c r="EX18" s="802"/>
      <c r="EY18" s="802"/>
      <c r="EZ18" s="802"/>
      <c r="FA18" s="802"/>
      <c r="FB18" s="802"/>
      <c r="FC18" s="802"/>
      <c r="FD18" s="802"/>
      <c r="FE18" s="802"/>
      <c r="FF18" s="802"/>
      <c r="FG18" s="802"/>
      <c r="FH18" s="802"/>
      <c r="FI18" s="802"/>
      <c r="FJ18" s="802"/>
      <c r="FK18" s="802"/>
      <c r="FL18" s="802"/>
      <c r="FM18" s="802"/>
      <c r="FN18" s="802"/>
      <c r="FO18" s="802"/>
      <c r="FP18" s="802"/>
      <c r="FQ18" s="802"/>
      <c r="FR18" s="802"/>
      <c r="FS18" s="802"/>
      <c r="FT18" s="802"/>
      <c r="FU18" s="802"/>
      <c r="FV18" s="802"/>
      <c r="FW18" s="802"/>
      <c r="FX18" s="802"/>
      <c r="FY18" s="802"/>
      <c r="FZ18" s="802"/>
      <c r="GA18" s="802"/>
      <c r="GB18" s="802"/>
      <c r="GC18" s="802"/>
      <c r="GD18" s="802"/>
      <c r="GE18" s="802"/>
      <c r="GF18" s="802"/>
      <c r="GG18" s="802"/>
      <c r="GH18" s="802"/>
      <c r="GI18" s="802"/>
      <c r="GJ18" s="802"/>
      <c r="GK18" s="802"/>
      <c r="GL18" s="802"/>
      <c r="GM18" s="802"/>
      <c r="GN18" s="802"/>
      <c r="GO18" s="802"/>
      <c r="GP18" s="802"/>
      <c r="GQ18" s="802"/>
      <c r="GR18" s="802"/>
      <c r="GS18" s="802"/>
      <c r="GT18" s="802"/>
      <c r="GU18" s="802"/>
      <c r="GV18" s="802"/>
      <c r="GW18" s="802"/>
      <c r="GX18" s="802"/>
      <c r="GY18" s="802"/>
      <c r="GZ18" s="802"/>
      <c r="HA18" s="802"/>
      <c r="HB18" s="802"/>
      <c r="HC18" s="802"/>
      <c r="HD18" s="802"/>
      <c r="HE18" s="802"/>
      <c r="HF18" s="802"/>
      <c r="HG18" s="802"/>
      <c r="HH18" s="802"/>
      <c r="HI18" s="802"/>
      <c r="HJ18" s="802"/>
      <c r="HK18" s="802"/>
      <c r="HL18" s="802"/>
      <c r="HM18" s="802"/>
      <c r="HN18" s="802"/>
      <c r="HO18" s="802"/>
      <c r="HP18" s="802"/>
      <c r="HQ18" s="802"/>
      <c r="HR18" s="802"/>
      <c r="HS18" s="802"/>
      <c r="HT18" s="802"/>
      <c r="HU18" s="802"/>
      <c r="HV18" s="802"/>
      <c r="HW18" s="802"/>
      <c r="HX18" s="802"/>
      <c r="HY18" s="802"/>
      <c r="HZ18" s="802"/>
      <c r="IA18" s="802"/>
      <c r="IB18" s="802"/>
      <c r="IC18" s="802"/>
      <c r="ID18" s="802"/>
      <c r="IE18" s="802"/>
      <c r="IF18" s="802"/>
      <c r="IG18" s="802"/>
      <c r="IH18" s="793"/>
      <c r="II18" s="793"/>
      <c r="IJ18" s="793"/>
      <c r="IK18" s="793"/>
      <c r="IL18" s="793"/>
      <c r="IM18" s="793"/>
      <c r="IN18" s="507"/>
      <c r="IO18" s="507"/>
      <c r="IP18" s="507"/>
      <c r="IQ18" s="803"/>
      <c r="IR18" s="803"/>
      <c r="IS18" s="803"/>
      <c r="IT18" s="803"/>
      <c r="IU18" s="803"/>
      <c r="IV18" s="803"/>
      <c r="IW18" s="803"/>
      <c r="IX18" s="507"/>
      <c r="IY18" s="193"/>
      <c r="IZ18" s="193"/>
      <c r="JA18" s="193"/>
      <c r="JB18" s="193"/>
      <c r="JC18" s="193"/>
      <c r="JD18" s="193"/>
      <c r="JE18" s="193"/>
      <c r="JF18" s="193"/>
      <c r="JG18" s="193"/>
      <c r="JH18" s="193"/>
    </row>
    <row r="19" spans="2:268" ht="19.5" thickBot="1" x14ac:dyDescent="0.35">
      <c r="B19" s="805"/>
      <c r="C19" s="819">
        <v>13.06</v>
      </c>
      <c r="D19" s="821">
        <v>1</v>
      </c>
      <c r="E19" s="821">
        <v>2.645</v>
      </c>
      <c r="F19" s="821">
        <v>0.93700000000000006</v>
      </c>
      <c r="G19" s="821">
        <v>2.0459999999999998</v>
      </c>
      <c r="H19" s="192"/>
      <c r="I19" s="832"/>
      <c r="J19" s="834" t="s">
        <v>366</v>
      </c>
      <c r="K19" s="876" t="e">
        <f>(C3*2)+(C4*2)</f>
        <v>#VALUE!</v>
      </c>
      <c r="L19" s="876" t="s">
        <v>151</v>
      </c>
      <c r="M19" s="876"/>
      <c r="N19" s="876"/>
      <c r="O19" s="876"/>
      <c r="P19" s="692"/>
      <c r="Q19" s="692"/>
      <c r="R19" s="692"/>
      <c r="S19" s="827"/>
      <c r="T19" s="692"/>
      <c r="U19" s="845"/>
      <c r="V19" s="846" t="s">
        <v>270</v>
      </c>
      <c r="W19" s="847"/>
      <c r="X19" s="848"/>
      <c r="Y19" s="840"/>
      <c r="AA19" s="61"/>
      <c r="AS19" s="193"/>
      <c r="AT19" s="507"/>
      <c r="AU19" s="801"/>
      <c r="AV19" s="801"/>
      <c r="AW19" s="794"/>
      <c r="AX19" s="795"/>
      <c r="AY19" s="789"/>
      <c r="AZ19" s="789"/>
      <c r="BA19" s="789"/>
      <c r="BB19" s="789"/>
      <c r="BC19" s="789"/>
      <c r="BD19" s="789"/>
      <c r="BE19" s="789"/>
      <c r="BF19" s="789"/>
      <c r="BG19" s="789"/>
      <c r="BH19" s="796"/>
      <c r="BI19" s="789"/>
      <c r="BJ19" s="789"/>
      <c r="BK19" s="789"/>
      <c r="BL19" s="789"/>
      <c r="BM19" s="789"/>
      <c r="BN19" s="789"/>
      <c r="BO19" s="789"/>
      <c r="BP19" s="789"/>
      <c r="BQ19" s="789"/>
      <c r="BR19" s="796"/>
      <c r="BS19" s="789"/>
      <c r="BT19" s="789"/>
      <c r="BU19" s="789"/>
      <c r="BV19" s="789"/>
      <c r="BW19" s="789"/>
      <c r="BX19" s="789"/>
      <c r="BY19" s="789"/>
      <c r="BZ19" s="789"/>
      <c r="CA19" s="789"/>
      <c r="CB19" s="796"/>
      <c r="CC19" s="789"/>
      <c r="CD19" s="789"/>
      <c r="CE19" s="789"/>
      <c r="CF19" s="789"/>
      <c r="CG19" s="789"/>
      <c r="CH19" s="789"/>
      <c r="CI19" s="789"/>
      <c r="CJ19" s="789"/>
      <c r="CK19" s="789"/>
      <c r="CL19" s="796"/>
      <c r="CM19" s="789"/>
      <c r="CN19" s="789"/>
      <c r="CO19" s="789"/>
      <c r="CP19" s="789"/>
      <c r="CQ19" s="789"/>
      <c r="CR19" s="789"/>
      <c r="CS19" s="789"/>
      <c r="CT19" s="789"/>
      <c r="CU19" s="789"/>
      <c r="CV19" s="796"/>
      <c r="CW19" s="789"/>
      <c r="CX19" s="789"/>
      <c r="CY19" s="789"/>
      <c r="CZ19" s="789"/>
      <c r="DA19" s="789"/>
      <c r="DB19" s="789"/>
      <c r="DC19" s="789"/>
      <c r="DD19" s="789"/>
      <c r="DE19" s="789"/>
      <c r="DF19" s="796"/>
      <c r="DG19" s="789"/>
      <c r="DH19" s="789"/>
      <c r="DI19" s="789"/>
      <c r="DJ19" s="789"/>
      <c r="DK19" s="789"/>
      <c r="DL19" s="789"/>
      <c r="DM19" s="789"/>
      <c r="DN19" s="789"/>
      <c r="DO19" s="789"/>
      <c r="DP19" s="796"/>
      <c r="DQ19" s="789"/>
      <c r="DR19" s="789"/>
      <c r="DS19" s="789"/>
      <c r="DT19" s="789"/>
      <c r="DU19" s="789"/>
      <c r="DV19" s="789"/>
      <c r="DW19" s="789"/>
      <c r="DX19" s="789"/>
      <c r="DY19" s="789"/>
      <c r="DZ19" s="796"/>
      <c r="EA19" s="789"/>
      <c r="EB19" s="789"/>
      <c r="EC19" s="789"/>
      <c r="ED19" s="789"/>
      <c r="EE19" s="789"/>
      <c r="EF19" s="789"/>
      <c r="EG19" s="789"/>
      <c r="EH19" s="789"/>
      <c r="EI19" s="789"/>
      <c r="EJ19" s="796"/>
      <c r="EK19" s="789"/>
      <c r="EL19" s="789"/>
      <c r="EM19" s="789"/>
      <c r="EN19" s="789"/>
      <c r="EO19" s="789"/>
      <c r="EP19" s="789"/>
      <c r="EQ19" s="789"/>
      <c r="ER19" s="789"/>
      <c r="ES19" s="789"/>
      <c r="ET19" s="796"/>
      <c r="EU19" s="789"/>
      <c r="EV19" s="789"/>
      <c r="EW19" s="789"/>
      <c r="EX19" s="789"/>
      <c r="EY19" s="789"/>
      <c r="EZ19" s="789"/>
      <c r="FA19" s="789"/>
      <c r="FB19" s="789"/>
      <c r="FC19" s="789"/>
      <c r="FD19" s="796"/>
      <c r="FE19" s="789"/>
      <c r="FF19" s="789"/>
      <c r="FG19" s="789"/>
      <c r="FH19" s="789"/>
      <c r="FI19" s="789"/>
      <c r="FJ19" s="789"/>
      <c r="FK19" s="789"/>
      <c r="FL19" s="789"/>
      <c r="FM19" s="789"/>
      <c r="FN19" s="796"/>
      <c r="FO19" s="789"/>
      <c r="FP19" s="789"/>
      <c r="FQ19" s="789"/>
      <c r="FR19" s="789"/>
      <c r="FS19" s="789"/>
      <c r="FT19" s="789"/>
      <c r="FU19" s="789"/>
      <c r="FV19" s="789"/>
      <c r="FW19" s="789"/>
      <c r="FX19" s="796"/>
      <c r="FY19" s="789"/>
      <c r="FZ19" s="789"/>
      <c r="GA19" s="789"/>
      <c r="GB19" s="789"/>
      <c r="GC19" s="789"/>
      <c r="GD19" s="789"/>
      <c r="GE19" s="789"/>
      <c r="GF19" s="789"/>
      <c r="GG19" s="789"/>
      <c r="GH19" s="796"/>
      <c r="GI19" s="789"/>
      <c r="GJ19" s="789"/>
      <c r="GK19" s="789"/>
      <c r="GL19" s="789"/>
      <c r="GM19" s="789"/>
      <c r="GN19" s="789"/>
      <c r="GO19" s="789"/>
      <c r="GP19" s="789"/>
      <c r="GQ19" s="789"/>
      <c r="GR19" s="796"/>
      <c r="GS19" s="789"/>
      <c r="GT19" s="789"/>
      <c r="GU19" s="789"/>
      <c r="GV19" s="789"/>
      <c r="GW19" s="789"/>
      <c r="GX19" s="789"/>
      <c r="GY19" s="789"/>
      <c r="GZ19" s="789"/>
      <c r="HA19" s="789"/>
      <c r="HB19" s="796"/>
      <c r="HC19" s="789"/>
      <c r="HD19" s="789"/>
      <c r="HE19" s="789"/>
      <c r="HF19" s="789"/>
      <c r="HG19" s="789"/>
      <c r="HH19" s="789"/>
      <c r="HI19" s="789"/>
      <c r="HJ19" s="789"/>
      <c r="HK19" s="789"/>
      <c r="HL19" s="796"/>
      <c r="HM19" s="789"/>
      <c r="HN19" s="789"/>
      <c r="HO19" s="789"/>
      <c r="HP19" s="789"/>
      <c r="HQ19" s="789"/>
      <c r="HR19" s="789"/>
      <c r="HS19" s="789"/>
      <c r="HT19" s="789"/>
      <c r="HU19" s="789"/>
      <c r="HV19" s="796"/>
      <c r="HW19" s="789"/>
      <c r="HX19" s="789"/>
      <c r="HY19" s="789"/>
      <c r="HZ19" s="789"/>
      <c r="IA19" s="789"/>
      <c r="IB19" s="789"/>
      <c r="IC19" s="789"/>
      <c r="ID19" s="789"/>
      <c r="IE19" s="789"/>
      <c r="IF19" s="796"/>
      <c r="IG19" s="789"/>
      <c r="IH19" s="789"/>
      <c r="II19" s="789"/>
      <c r="IJ19" s="789"/>
      <c r="IK19" s="789"/>
      <c r="IL19" s="789"/>
      <c r="IM19" s="789"/>
      <c r="IN19" s="789"/>
      <c r="IO19" s="789"/>
      <c r="IP19" s="789"/>
      <c r="IQ19" s="797"/>
      <c r="IR19" s="797"/>
      <c r="IS19" s="797"/>
      <c r="IT19" s="797"/>
      <c r="IU19" s="797"/>
      <c r="IV19" s="797"/>
      <c r="IW19" s="797"/>
      <c r="IX19" s="507"/>
      <c r="IY19" s="193"/>
      <c r="IZ19" s="193"/>
      <c r="JA19" s="193"/>
      <c r="JB19" s="193"/>
      <c r="JC19" s="193"/>
      <c r="JD19" s="193"/>
      <c r="JE19" s="193"/>
      <c r="JF19" s="193"/>
      <c r="JG19" s="193"/>
      <c r="JH19" s="193"/>
    </row>
    <row r="20" spans="2:268" ht="19.5" thickBot="1" x14ac:dyDescent="0.35">
      <c r="B20" s="805"/>
      <c r="C20" s="820">
        <v>17.059999999999999</v>
      </c>
      <c r="D20" s="821">
        <v>2</v>
      </c>
      <c r="E20" s="821">
        <v>2.645</v>
      </c>
      <c r="F20" s="821">
        <v>0.93700000000000006</v>
      </c>
      <c r="G20" s="821">
        <v>2.0459999999999998</v>
      </c>
      <c r="H20" s="192"/>
      <c r="I20" s="832"/>
      <c r="J20" s="877"/>
      <c r="K20" s="876"/>
      <c r="L20" s="876"/>
      <c r="M20" s="876"/>
      <c r="N20" s="878" t="s">
        <v>66</v>
      </c>
      <c r="O20" s="879"/>
      <c r="P20" s="51"/>
      <c r="Q20" s="51"/>
      <c r="R20" s="692"/>
      <c r="S20" s="827"/>
      <c r="T20" s="692"/>
      <c r="U20" s="849"/>
      <c r="V20" s="198" t="str">
        <f>C1&amp;"_ENG_FA"</f>
        <v>MCDE439_ENG_FA</v>
      </c>
      <c r="W20" s="850" t="e">
        <f>K30/144</f>
        <v>#VALUE!</v>
      </c>
      <c r="X20" s="851" t="s">
        <v>42</v>
      </c>
      <c r="Y20" s="840"/>
      <c r="AA20" s="61"/>
      <c r="AS20" s="193"/>
      <c r="AT20" s="507"/>
      <c r="AU20" s="794"/>
      <c r="AV20" s="794"/>
      <c r="AW20" s="794"/>
      <c r="AX20" s="794"/>
      <c r="AY20" s="794"/>
      <c r="AZ20" s="789"/>
      <c r="BA20" s="789"/>
      <c r="BB20" s="789"/>
      <c r="BC20" s="789"/>
      <c r="BD20" s="789"/>
      <c r="BE20" s="789"/>
      <c r="BF20" s="789"/>
      <c r="BG20" s="789"/>
      <c r="BH20" s="796"/>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c r="DL20" s="789"/>
      <c r="DM20" s="789"/>
      <c r="DN20" s="789"/>
      <c r="DO20" s="789"/>
      <c r="DP20" s="789"/>
      <c r="DQ20" s="789"/>
      <c r="DR20" s="789"/>
      <c r="DS20" s="789"/>
      <c r="DT20" s="789"/>
      <c r="DU20" s="789"/>
      <c r="DV20" s="789"/>
      <c r="DW20" s="789"/>
      <c r="DX20" s="789"/>
      <c r="DY20" s="789"/>
      <c r="DZ20" s="789"/>
      <c r="EA20" s="789"/>
      <c r="EB20" s="789"/>
      <c r="EC20" s="789"/>
      <c r="ED20" s="789"/>
      <c r="EE20" s="789"/>
      <c r="EF20" s="789"/>
      <c r="EG20" s="789"/>
      <c r="EH20" s="789"/>
      <c r="EI20" s="789"/>
      <c r="EJ20" s="789"/>
      <c r="EK20" s="789"/>
      <c r="EL20" s="789"/>
      <c r="EM20" s="789"/>
      <c r="EN20" s="789"/>
      <c r="EO20" s="789"/>
      <c r="EP20" s="789"/>
      <c r="EQ20" s="789"/>
      <c r="ER20" s="789"/>
      <c r="ES20" s="789"/>
      <c r="ET20" s="789"/>
      <c r="EU20" s="789"/>
      <c r="EV20" s="789"/>
      <c r="EW20" s="789"/>
      <c r="EX20" s="789"/>
      <c r="EY20" s="789"/>
      <c r="EZ20" s="789"/>
      <c r="FA20" s="789"/>
      <c r="FB20" s="789"/>
      <c r="FC20" s="789"/>
      <c r="FD20" s="789"/>
      <c r="FE20" s="789"/>
      <c r="FF20" s="789"/>
      <c r="FG20" s="789"/>
      <c r="FH20" s="789"/>
      <c r="FI20" s="789"/>
      <c r="FJ20" s="789"/>
      <c r="FK20" s="789"/>
      <c r="FL20" s="789"/>
      <c r="FM20" s="789"/>
      <c r="FN20" s="789"/>
      <c r="FO20" s="789"/>
      <c r="FP20" s="789"/>
      <c r="FQ20" s="789"/>
      <c r="FR20" s="789"/>
      <c r="FS20" s="789"/>
      <c r="FT20" s="789"/>
      <c r="FU20" s="789"/>
      <c r="FV20" s="789"/>
      <c r="FW20" s="789"/>
      <c r="FX20" s="789"/>
      <c r="FY20" s="789"/>
      <c r="FZ20" s="789"/>
      <c r="GA20" s="789"/>
      <c r="GB20" s="789"/>
      <c r="GC20" s="789"/>
      <c r="GD20" s="789"/>
      <c r="GE20" s="789"/>
      <c r="GF20" s="789"/>
      <c r="GG20" s="789"/>
      <c r="GH20" s="789"/>
      <c r="GI20" s="789"/>
      <c r="GJ20" s="789"/>
      <c r="GK20" s="789"/>
      <c r="GL20" s="789"/>
      <c r="GM20" s="789"/>
      <c r="GN20" s="789"/>
      <c r="GO20" s="789"/>
      <c r="GP20" s="789"/>
      <c r="GQ20" s="789"/>
      <c r="GR20" s="789"/>
      <c r="GS20" s="789"/>
      <c r="GT20" s="789"/>
      <c r="GU20" s="789"/>
      <c r="GV20" s="789"/>
      <c r="GW20" s="789"/>
      <c r="GX20" s="789"/>
      <c r="GY20" s="789"/>
      <c r="GZ20" s="789"/>
      <c r="HA20" s="789"/>
      <c r="HB20" s="789"/>
      <c r="HC20" s="789"/>
      <c r="HD20" s="789"/>
      <c r="HE20" s="789"/>
      <c r="HF20" s="789"/>
      <c r="HG20" s="789"/>
      <c r="HH20" s="789"/>
      <c r="HI20" s="789"/>
      <c r="HJ20" s="789"/>
      <c r="HK20" s="789"/>
      <c r="HL20" s="789"/>
      <c r="HM20" s="789"/>
      <c r="HN20" s="789"/>
      <c r="HO20" s="789"/>
      <c r="HP20" s="789"/>
      <c r="HQ20" s="789"/>
      <c r="HR20" s="789"/>
      <c r="HS20" s="789"/>
      <c r="HT20" s="789"/>
      <c r="HU20" s="789"/>
      <c r="HV20" s="789"/>
      <c r="HW20" s="789"/>
      <c r="HX20" s="789"/>
      <c r="HY20" s="789"/>
      <c r="HZ20" s="789"/>
      <c r="IA20" s="789"/>
      <c r="IB20" s="789"/>
      <c r="IC20" s="789"/>
      <c r="ID20" s="789"/>
      <c r="IE20" s="789"/>
      <c r="IF20" s="789"/>
      <c r="IG20" s="789"/>
      <c r="IH20" s="789"/>
      <c r="II20" s="789"/>
      <c r="IJ20" s="789"/>
      <c r="IK20" s="789"/>
      <c r="IL20" s="789"/>
      <c r="IM20" s="789"/>
      <c r="IN20" s="789"/>
      <c r="IO20" s="789"/>
      <c r="IP20" s="789"/>
      <c r="IQ20" s="797"/>
      <c r="IR20" s="797"/>
      <c r="IS20" s="797"/>
      <c r="IT20" s="797"/>
      <c r="IU20" s="797"/>
      <c r="IV20" s="797"/>
      <c r="IW20" s="797"/>
      <c r="IX20" s="507"/>
      <c r="IY20" s="193"/>
      <c r="IZ20" s="193"/>
      <c r="JA20" s="193"/>
      <c r="JB20" s="193"/>
      <c r="JC20" s="193"/>
      <c r="JD20" s="193"/>
      <c r="JE20" s="193"/>
      <c r="JF20" s="193"/>
      <c r="JG20" s="193"/>
      <c r="JH20" s="193"/>
    </row>
    <row r="21" spans="2:268" ht="18" customHeight="1" thickBot="1" x14ac:dyDescent="0.35">
      <c r="B21" s="805"/>
      <c r="C21" s="820">
        <v>21.06</v>
      </c>
      <c r="D21" s="821">
        <v>3</v>
      </c>
      <c r="E21" s="821">
        <v>2.645</v>
      </c>
      <c r="F21" s="821">
        <v>0.93700000000000006</v>
      </c>
      <c r="G21" s="821">
        <v>2.0459999999999998</v>
      </c>
      <c r="H21" s="192"/>
      <c r="I21" s="880"/>
      <c r="J21" s="834" t="s">
        <v>367</v>
      </c>
      <c r="K21" s="876" t="e">
        <f>VLOOKUP(C5,C19:D34,2,FALSE)-1</f>
        <v>#N/A</v>
      </c>
      <c r="L21" s="876"/>
      <c r="M21" s="876"/>
      <c r="N21" s="881"/>
      <c r="O21" s="879"/>
      <c r="P21" s="107"/>
      <c r="Q21" s="159"/>
      <c r="R21" s="692"/>
      <c r="S21" s="827"/>
      <c r="T21" s="692"/>
      <c r="U21" s="520"/>
      <c r="V21" s="198" t="str">
        <f>C1&amp;"_ENG_FACE_AREA"</f>
        <v>MCDE439_ENG_FACE_AREA</v>
      </c>
      <c r="W21" s="852" t="e">
        <f>((C3*C5*2)+(C4*C5*2))/144</f>
        <v>#VALUE!</v>
      </c>
      <c r="X21" s="851" t="s">
        <v>42</v>
      </c>
      <c r="Y21" s="840"/>
      <c r="AA21" s="61"/>
      <c r="AS21" s="193"/>
      <c r="AT21" s="507"/>
      <c r="AU21" s="795"/>
      <c r="AV21" s="789"/>
      <c r="AW21" s="795"/>
      <c r="AX21" s="791"/>
      <c r="AY21" s="33"/>
      <c r="AZ21" s="33"/>
      <c r="BA21" s="33"/>
      <c r="BB21" s="33"/>
      <c r="BC21" s="33"/>
      <c r="BD21" s="33"/>
      <c r="BE21" s="33"/>
      <c r="BF21" s="33"/>
      <c r="BG21" s="790"/>
      <c r="BH21" s="791"/>
      <c r="BI21" s="33"/>
      <c r="BJ21" s="33"/>
      <c r="BK21" s="33"/>
      <c r="BL21" s="33"/>
      <c r="BM21" s="33"/>
      <c r="BN21" s="33"/>
      <c r="BO21" s="33"/>
      <c r="BP21" s="33"/>
      <c r="BQ21" s="790"/>
      <c r="BR21" s="791"/>
      <c r="BS21" s="33"/>
      <c r="BT21" s="33"/>
      <c r="BU21" s="33"/>
      <c r="BV21" s="33"/>
      <c r="BW21" s="33"/>
      <c r="BX21" s="33"/>
      <c r="BY21" s="33"/>
      <c r="BZ21" s="33"/>
      <c r="CA21" s="790"/>
      <c r="CB21" s="791"/>
      <c r="CC21" s="33"/>
      <c r="CD21" s="33"/>
      <c r="CE21" s="33"/>
      <c r="CF21" s="33"/>
      <c r="CG21" s="33"/>
      <c r="CH21" s="33"/>
      <c r="CI21" s="33"/>
      <c r="CJ21" s="33"/>
      <c r="CK21" s="790"/>
      <c r="CL21" s="791"/>
      <c r="CM21" s="33"/>
      <c r="CN21" s="33"/>
      <c r="CO21" s="33"/>
      <c r="CP21" s="33"/>
      <c r="CQ21" s="33"/>
      <c r="CR21" s="33"/>
      <c r="CS21" s="33"/>
      <c r="CT21" s="33"/>
      <c r="CU21" s="790"/>
      <c r="CV21" s="791"/>
      <c r="CW21" s="33"/>
      <c r="CX21" s="33"/>
      <c r="CY21" s="33"/>
      <c r="CZ21" s="33"/>
      <c r="DA21" s="33"/>
      <c r="DB21" s="33"/>
      <c r="DC21" s="33"/>
      <c r="DD21" s="33"/>
      <c r="DE21" s="790"/>
      <c r="DF21" s="791"/>
      <c r="DG21" s="33"/>
      <c r="DH21" s="33"/>
      <c r="DI21" s="33"/>
      <c r="DJ21" s="33"/>
      <c r="DK21" s="33"/>
      <c r="DL21" s="33"/>
      <c r="DM21" s="33"/>
      <c r="DN21" s="33"/>
      <c r="DO21" s="790"/>
      <c r="DP21" s="791"/>
      <c r="DQ21" s="33"/>
      <c r="DR21" s="33"/>
      <c r="DS21" s="33"/>
      <c r="DT21" s="33"/>
      <c r="DU21" s="33"/>
      <c r="DV21" s="33"/>
      <c r="DW21" s="33"/>
      <c r="DX21" s="33"/>
      <c r="DY21" s="790"/>
      <c r="DZ21" s="791"/>
      <c r="EA21" s="33"/>
      <c r="EB21" s="33"/>
      <c r="EC21" s="33"/>
      <c r="ED21" s="33"/>
      <c r="EE21" s="33"/>
      <c r="EF21" s="33"/>
      <c r="EG21" s="33"/>
      <c r="EH21" s="33"/>
      <c r="EI21" s="790"/>
      <c r="EJ21" s="791"/>
      <c r="EK21" s="33"/>
      <c r="EL21" s="33"/>
      <c r="EM21" s="33"/>
      <c r="EN21" s="33"/>
      <c r="EO21" s="33"/>
      <c r="EP21" s="33"/>
      <c r="EQ21" s="33"/>
      <c r="ER21" s="33"/>
      <c r="ES21" s="790"/>
      <c r="ET21" s="791"/>
      <c r="EU21" s="33"/>
      <c r="EV21" s="33"/>
      <c r="EW21" s="33"/>
      <c r="EX21" s="33"/>
      <c r="EY21" s="33"/>
      <c r="EZ21" s="33"/>
      <c r="FA21" s="33"/>
      <c r="FB21" s="33"/>
      <c r="FC21" s="790"/>
      <c r="FD21" s="791"/>
      <c r="FE21" s="33"/>
      <c r="FF21" s="33"/>
      <c r="FG21" s="33"/>
      <c r="FH21" s="33"/>
      <c r="FI21" s="33"/>
      <c r="FJ21" s="33"/>
      <c r="FK21" s="33"/>
      <c r="FL21" s="33"/>
      <c r="FM21" s="790"/>
      <c r="FN21" s="791"/>
      <c r="FO21" s="33"/>
      <c r="FP21" s="33"/>
      <c r="FQ21" s="33"/>
      <c r="FR21" s="33"/>
      <c r="FS21" s="33"/>
      <c r="FT21" s="33"/>
      <c r="FU21" s="33"/>
      <c r="FV21" s="33"/>
      <c r="FW21" s="790"/>
      <c r="FX21" s="791"/>
      <c r="FY21" s="33"/>
      <c r="FZ21" s="33"/>
      <c r="GA21" s="33"/>
      <c r="GB21" s="33"/>
      <c r="GC21" s="33"/>
      <c r="GD21" s="33"/>
      <c r="GE21" s="33"/>
      <c r="GF21" s="33"/>
      <c r="GG21" s="790"/>
      <c r="GH21" s="791"/>
      <c r="GI21" s="33"/>
      <c r="GJ21" s="33"/>
      <c r="GK21" s="33"/>
      <c r="GL21" s="33"/>
      <c r="GM21" s="33"/>
      <c r="GN21" s="33"/>
      <c r="GO21" s="33"/>
      <c r="GP21" s="33"/>
      <c r="GQ21" s="790"/>
      <c r="GR21" s="791"/>
      <c r="GS21" s="33"/>
      <c r="GT21" s="33"/>
      <c r="GU21" s="33"/>
      <c r="GV21" s="33"/>
      <c r="GW21" s="33"/>
      <c r="GX21" s="33"/>
      <c r="GY21" s="33"/>
      <c r="GZ21" s="33"/>
      <c r="HA21" s="790"/>
      <c r="HB21" s="791"/>
      <c r="HC21" s="33"/>
      <c r="HD21" s="33"/>
      <c r="HE21" s="33"/>
      <c r="HF21" s="33"/>
      <c r="HG21" s="33"/>
      <c r="HH21" s="33"/>
      <c r="HI21" s="33"/>
      <c r="HJ21" s="33"/>
      <c r="HK21" s="790"/>
      <c r="HL21" s="791"/>
      <c r="HM21" s="33"/>
      <c r="HN21" s="33"/>
      <c r="HO21" s="33"/>
      <c r="HP21" s="33"/>
      <c r="HQ21" s="33"/>
      <c r="HR21" s="33"/>
      <c r="HS21" s="33"/>
      <c r="HT21" s="33"/>
      <c r="HU21" s="790"/>
      <c r="HV21" s="791"/>
      <c r="HW21" s="33"/>
      <c r="HX21" s="33"/>
      <c r="HY21" s="33"/>
      <c r="HZ21" s="33"/>
      <c r="IA21" s="33"/>
      <c r="IB21" s="33"/>
      <c r="IC21" s="33"/>
      <c r="ID21" s="33"/>
      <c r="IE21" s="790"/>
      <c r="IF21" s="791"/>
      <c r="IG21" s="33"/>
      <c r="IH21" s="33"/>
      <c r="II21" s="33"/>
      <c r="IJ21" s="33"/>
      <c r="IK21" s="33"/>
      <c r="IL21" s="33"/>
      <c r="IM21" s="33"/>
      <c r="IN21" s="33"/>
      <c r="IO21" s="790"/>
      <c r="IP21" s="789"/>
      <c r="IQ21" s="788"/>
      <c r="IR21" s="792"/>
      <c r="IS21" s="792"/>
      <c r="IT21" s="792"/>
      <c r="IU21" s="792"/>
      <c r="IV21" s="792"/>
      <c r="IW21" s="792"/>
      <c r="IX21" s="507"/>
      <c r="IY21" s="193"/>
      <c r="IZ21" s="193"/>
      <c r="JA21" s="193"/>
      <c r="JB21" s="193"/>
      <c r="JC21" s="193"/>
      <c r="JD21" s="193"/>
      <c r="JE21" s="193"/>
      <c r="JF21" s="193"/>
      <c r="JG21" s="193"/>
      <c r="JH21" s="193"/>
    </row>
    <row r="22" spans="2:268" ht="19.5" thickBot="1" x14ac:dyDescent="0.35">
      <c r="B22" s="805"/>
      <c r="C22" s="820">
        <v>25.06</v>
      </c>
      <c r="D22" s="821">
        <v>4</v>
      </c>
      <c r="E22" s="821">
        <v>2.645</v>
      </c>
      <c r="F22" s="821">
        <v>0.93700000000000006</v>
      </c>
      <c r="G22" s="821">
        <v>2.0459999999999998</v>
      </c>
      <c r="H22" s="192"/>
      <c r="I22" s="832"/>
      <c r="J22" s="834" t="s">
        <v>368</v>
      </c>
      <c r="K22" s="876" t="e">
        <f>VLOOKUP(C5,C19:G34,3,FALSE)</f>
        <v>#N/A</v>
      </c>
      <c r="L22" s="876" t="s">
        <v>151</v>
      </c>
      <c r="M22" s="876"/>
      <c r="N22" s="881" t="s">
        <v>189</v>
      </c>
      <c r="O22" s="879"/>
      <c r="P22" s="107" t="str">
        <f>IF(OR(C3&lt;H3,C4&lt;H4,C5&lt;H5,C3&gt;I3,C4&gt;I4,C5&gt;I5),"",K30/144)</f>
        <v/>
      </c>
      <c r="Q22" s="159" t="s">
        <v>42</v>
      </c>
      <c r="R22" s="692"/>
      <c r="S22" s="827"/>
      <c r="T22" s="692"/>
      <c r="U22" s="520"/>
      <c r="V22" s="198" t="str">
        <f>C1&amp;"_ENG_FA%"</f>
        <v>MCDE439_ENG_FA%</v>
      </c>
      <c r="W22" s="852" t="e">
        <f>(W20/W21)*100</f>
        <v>#VALUE!</v>
      </c>
      <c r="X22" s="851" t="s">
        <v>13</v>
      </c>
      <c r="Y22" s="840"/>
      <c r="AA22" s="61"/>
      <c r="AS22" s="193"/>
      <c r="AT22" s="507"/>
      <c r="AU22" s="789"/>
      <c r="AV22" s="789"/>
      <c r="AW22" s="789"/>
      <c r="AX22" s="791"/>
      <c r="AY22" s="33"/>
      <c r="AZ22" s="33"/>
      <c r="BA22" s="33"/>
      <c r="BB22" s="33"/>
      <c r="BC22" s="33"/>
      <c r="BD22" s="33"/>
      <c r="BE22" s="33"/>
      <c r="BF22" s="33"/>
      <c r="BG22" s="790"/>
      <c r="BH22" s="791"/>
      <c r="BI22" s="33"/>
      <c r="BJ22" s="33"/>
      <c r="BK22" s="33"/>
      <c r="BL22" s="33"/>
      <c r="BM22" s="33"/>
      <c r="BN22" s="33"/>
      <c r="BO22" s="33"/>
      <c r="BP22" s="33"/>
      <c r="BQ22" s="790"/>
      <c r="BR22" s="791"/>
      <c r="BS22" s="33"/>
      <c r="BT22" s="33"/>
      <c r="BU22" s="33"/>
      <c r="BV22" s="33"/>
      <c r="BW22" s="33"/>
      <c r="BX22" s="33"/>
      <c r="BY22" s="33"/>
      <c r="BZ22" s="33"/>
      <c r="CA22" s="790"/>
      <c r="CB22" s="791"/>
      <c r="CC22" s="33"/>
      <c r="CD22" s="33"/>
      <c r="CE22" s="33"/>
      <c r="CF22" s="33"/>
      <c r="CG22" s="33"/>
      <c r="CH22" s="33"/>
      <c r="CI22" s="33"/>
      <c r="CJ22" s="33"/>
      <c r="CK22" s="790"/>
      <c r="CL22" s="791"/>
      <c r="CM22" s="33"/>
      <c r="CN22" s="33"/>
      <c r="CO22" s="33"/>
      <c r="CP22" s="33"/>
      <c r="CQ22" s="33"/>
      <c r="CR22" s="33"/>
      <c r="CS22" s="33"/>
      <c r="CT22" s="33"/>
      <c r="CU22" s="790"/>
      <c r="CV22" s="791"/>
      <c r="CW22" s="33"/>
      <c r="CX22" s="33"/>
      <c r="CY22" s="33"/>
      <c r="CZ22" s="33"/>
      <c r="DA22" s="33"/>
      <c r="DB22" s="33"/>
      <c r="DC22" s="33"/>
      <c r="DD22" s="33"/>
      <c r="DE22" s="790"/>
      <c r="DF22" s="791"/>
      <c r="DG22" s="33"/>
      <c r="DH22" s="33"/>
      <c r="DI22" s="33"/>
      <c r="DJ22" s="33"/>
      <c r="DK22" s="33"/>
      <c r="DL22" s="33"/>
      <c r="DM22" s="33"/>
      <c r="DN22" s="33"/>
      <c r="DO22" s="790"/>
      <c r="DP22" s="791"/>
      <c r="DQ22" s="33"/>
      <c r="DR22" s="33"/>
      <c r="DS22" s="33"/>
      <c r="DT22" s="33"/>
      <c r="DU22" s="33"/>
      <c r="DV22" s="33"/>
      <c r="DW22" s="33"/>
      <c r="DX22" s="33"/>
      <c r="DY22" s="790"/>
      <c r="DZ22" s="791"/>
      <c r="EA22" s="33"/>
      <c r="EB22" s="33"/>
      <c r="EC22" s="33"/>
      <c r="ED22" s="33"/>
      <c r="EE22" s="33"/>
      <c r="EF22" s="33"/>
      <c r="EG22" s="33"/>
      <c r="EH22" s="33"/>
      <c r="EI22" s="790"/>
      <c r="EJ22" s="791"/>
      <c r="EK22" s="33"/>
      <c r="EL22" s="33"/>
      <c r="EM22" s="33"/>
      <c r="EN22" s="33"/>
      <c r="EO22" s="33"/>
      <c r="EP22" s="33"/>
      <c r="EQ22" s="33"/>
      <c r="ER22" s="33"/>
      <c r="ES22" s="790"/>
      <c r="ET22" s="791"/>
      <c r="EU22" s="33"/>
      <c r="EV22" s="33"/>
      <c r="EW22" s="33"/>
      <c r="EX22" s="33"/>
      <c r="EY22" s="33"/>
      <c r="EZ22" s="33"/>
      <c r="FA22" s="33"/>
      <c r="FB22" s="33"/>
      <c r="FC22" s="790"/>
      <c r="FD22" s="791"/>
      <c r="FE22" s="33"/>
      <c r="FF22" s="33"/>
      <c r="FG22" s="33"/>
      <c r="FH22" s="33"/>
      <c r="FI22" s="33"/>
      <c r="FJ22" s="33"/>
      <c r="FK22" s="33"/>
      <c r="FL22" s="33"/>
      <c r="FM22" s="790"/>
      <c r="FN22" s="791"/>
      <c r="FO22" s="33"/>
      <c r="FP22" s="33"/>
      <c r="FQ22" s="33"/>
      <c r="FR22" s="33"/>
      <c r="FS22" s="33"/>
      <c r="FT22" s="33"/>
      <c r="FU22" s="33"/>
      <c r="FV22" s="33"/>
      <c r="FW22" s="790"/>
      <c r="FX22" s="791"/>
      <c r="FY22" s="33"/>
      <c r="FZ22" s="33"/>
      <c r="GA22" s="33"/>
      <c r="GB22" s="33"/>
      <c r="GC22" s="33"/>
      <c r="GD22" s="33"/>
      <c r="GE22" s="33"/>
      <c r="GF22" s="33"/>
      <c r="GG22" s="790"/>
      <c r="GH22" s="791"/>
      <c r="GI22" s="33"/>
      <c r="GJ22" s="33"/>
      <c r="GK22" s="33"/>
      <c r="GL22" s="33"/>
      <c r="GM22" s="33"/>
      <c r="GN22" s="33"/>
      <c r="GO22" s="33"/>
      <c r="GP22" s="33"/>
      <c r="GQ22" s="790"/>
      <c r="GR22" s="791"/>
      <c r="GS22" s="33"/>
      <c r="GT22" s="33"/>
      <c r="GU22" s="33"/>
      <c r="GV22" s="33"/>
      <c r="GW22" s="33"/>
      <c r="GX22" s="33"/>
      <c r="GY22" s="33"/>
      <c r="GZ22" s="33"/>
      <c r="HA22" s="790"/>
      <c r="HB22" s="791"/>
      <c r="HC22" s="33"/>
      <c r="HD22" s="33"/>
      <c r="HE22" s="33"/>
      <c r="HF22" s="33"/>
      <c r="HG22" s="33"/>
      <c r="HH22" s="33"/>
      <c r="HI22" s="33"/>
      <c r="HJ22" s="33"/>
      <c r="HK22" s="790"/>
      <c r="HL22" s="791"/>
      <c r="HM22" s="33"/>
      <c r="HN22" s="33"/>
      <c r="HO22" s="33"/>
      <c r="HP22" s="33"/>
      <c r="HQ22" s="33"/>
      <c r="HR22" s="33"/>
      <c r="HS22" s="33"/>
      <c r="HT22" s="33"/>
      <c r="HU22" s="790"/>
      <c r="HV22" s="791"/>
      <c r="HW22" s="33"/>
      <c r="HX22" s="33"/>
      <c r="HY22" s="33"/>
      <c r="HZ22" s="33"/>
      <c r="IA22" s="33"/>
      <c r="IB22" s="33"/>
      <c r="IC22" s="33"/>
      <c r="ID22" s="33"/>
      <c r="IE22" s="790"/>
      <c r="IF22" s="791"/>
      <c r="IG22" s="33"/>
      <c r="IH22" s="33"/>
      <c r="II22" s="33"/>
      <c r="IJ22" s="33"/>
      <c r="IK22" s="33"/>
      <c r="IL22" s="33"/>
      <c r="IM22" s="33"/>
      <c r="IN22" s="33"/>
      <c r="IO22" s="790"/>
      <c r="IP22" s="790"/>
      <c r="IQ22" s="788"/>
      <c r="IR22" s="792"/>
      <c r="IS22" s="792"/>
      <c r="IT22" s="792"/>
      <c r="IU22" s="792"/>
      <c r="IV22" s="792"/>
      <c r="IW22" s="792"/>
      <c r="IX22" s="507"/>
      <c r="IY22" s="193"/>
      <c r="IZ22" s="193"/>
      <c r="JA22" s="193"/>
      <c r="JB22" s="193"/>
      <c r="JC22" s="193"/>
      <c r="JD22" s="193"/>
      <c r="JE22" s="193"/>
      <c r="JF22" s="193"/>
      <c r="JG22" s="193"/>
      <c r="JH22" s="193"/>
    </row>
    <row r="23" spans="2:268" ht="19.5" thickBot="1" x14ac:dyDescent="0.35">
      <c r="B23" s="805"/>
      <c r="C23" s="820">
        <v>29.06</v>
      </c>
      <c r="D23" s="821">
        <v>5</v>
      </c>
      <c r="E23" s="821">
        <v>2.645</v>
      </c>
      <c r="F23" s="821">
        <v>0.93700000000000006</v>
      </c>
      <c r="G23" s="821">
        <v>2.0459999999999998</v>
      </c>
      <c r="H23" s="192"/>
      <c r="I23" s="828"/>
      <c r="J23" s="882" t="s">
        <v>369</v>
      </c>
      <c r="K23" s="876" t="e">
        <f>VLOOKUP(C5,C19:G34,4,FALSE)</f>
        <v>#N/A</v>
      </c>
      <c r="L23" s="876" t="s">
        <v>151</v>
      </c>
      <c r="M23" s="876"/>
      <c r="N23" s="881" t="s">
        <v>190</v>
      </c>
      <c r="O23" s="879"/>
      <c r="P23" s="107" t="e">
        <f>((C3*C5*2)+(C4*C5*2))/144</f>
        <v>#VALUE!</v>
      </c>
      <c r="Q23" s="159" t="s">
        <v>42</v>
      </c>
      <c r="R23" s="692"/>
      <c r="S23" s="827"/>
      <c r="T23" s="692"/>
      <c r="U23" s="520"/>
      <c r="V23" s="198" t="str">
        <f>C1&amp;"_ENG_VEL"</f>
        <v>MCDE439_ENG_VEL</v>
      </c>
      <c r="W23" s="494" t="e">
        <f>C6/W20</f>
        <v>#VALUE!</v>
      </c>
      <c r="X23" s="843" t="s">
        <v>45</v>
      </c>
      <c r="Y23" s="840"/>
      <c r="AA23" s="61"/>
      <c r="AS23" s="193"/>
      <c r="AT23" s="507"/>
      <c r="AU23" s="789"/>
      <c r="AV23" s="789"/>
      <c r="AW23" s="789"/>
      <c r="AX23" s="791"/>
      <c r="AY23" s="33"/>
      <c r="AZ23" s="33"/>
      <c r="BA23" s="33"/>
      <c r="BB23" s="33"/>
      <c r="BC23" s="33"/>
      <c r="BD23" s="33"/>
      <c r="BE23" s="33"/>
      <c r="BF23" s="33"/>
      <c r="BG23" s="790"/>
      <c r="BH23" s="791"/>
      <c r="BI23" s="33"/>
      <c r="BJ23" s="33"/>
      <c r="BK23" s="33"/>
      <c r="BL23" s="33"/>
      <c r="BM23" s="33"/>
      <c r="BN23" s="33"/>
      <c r="BO23" s="33"/>
      <c r="BP23" s="33"/>
      <c r="BQ23" s="790"/>
      <c r="BR23" s="791"/>
      <c r="BS23" s="33"/>
      <c r="BT23" s="33"/>
      <c r="BU23" s="33"/>
      <c r="BV23" s="33"/>
      <c r="BW23" s="33"/>
      <c r="BX23" s="33"/>
      <c r="BY23" s="33"/>
      <c r="BZ23" s="33"/>
      <c r="CA23" s="790"/>
      <c r="CB23" s="791"/>
      <c r="CC23" s="33"/>
      <c r="CD23" s="33"/>
      <c r="CE23" s="33"/>
      <c r="CF23" s="33"/>
      <c r="CG23" s="33"/>
      <c r="CH23" s="33"/>
      <c r="CI23" s="33"/>
      <c r="CJ23" s="33"/>
      <c r="CK23" s="790"/>
      <c r="CL23" s="791"/>
      <c r="CM23" s="33"/>
      <c r="CN23" s="33"/>
      <c r="CO23" s="33"/>
      <c r="CP23" s="33"/>
      <c r="CQ23" s="33"/>
      <c r="CR23" s="33"/>
      <c r="CS23" s="33"/>
      <c r="CT23" s="33"/>
      <c r="CU23" s="790"/>
      <c r="CV23" s="791"/>
      <c r="CW23" s="33"/>
      <c r="CX23" s="33"/>
      <c r="CY23" s="33"/>
      <c r="CZ23" s="33"/>
      <c r="DA23" s="33"/>
      <c r="DB23" s="33"/>
      <c r="DC23" s="33"/>
      <c r="DD23" s="33"/>
      <c r="DE23" s="790"/>
      <c r="DF23" s="791"/>
      <c r="DG23" s="33"/>
      <c r="DH23" s="33"/>
      <c r="DI23" s="33"/>
      <c r="DJ23" s="33"/>
      <c r="DK23" s="33"/>
      <c r="DL23" s="33"/>
      <c r="DM23" s="33"/>
      <c r="DN23" s="33"/>
      <c r="DO23" s="790"/>
      <c r="DP23" s="791"/>
      <c r="DQ23" s="33"/>
      <c r="DR23" s="33"/>
      <c r="DS23" s="33"/>
      <c r="DT23" s="33"/>
      <c r="DU23" s="33"/>
      <c r="DV23" s="33"/>
      <c r="DW23" s="33"/>
      <c r="DX23" s="33"/>
      <c r="DY23" s="790"/>
      <c r="DZ23" s="791"/>
      <c r="EA23" s="33"/>
      <c r="EB23" s="33"/>
      <c r="EC23" s="33"/>
      <c r="ED23" s="33"/>
      <c r="EE23" s="33"/>
      <c r="EF23" s="33"/>
      <c r="EG23" s="33"/>
      <c r="EH23" s="33"/>
      <c r="EI23" s="790"/>
      <c r="EJ23" s="791"/>
      <c r="EK23" s="33"/>
      <c r="EL23" s="33"/>
      <c r="EM23" s="33"/>
      <c r="EN23" s="33"/>
      <c r="EO23" s="33"/>
      <c r="EP23" s="33"/>
      <c r="EQ23" s="33"/>
      <c r="ER23" s="33"/>
      <c r="ES23" s="790"/>
      <c r="ET23" s="791"/>
      <c r="EU23" s="33"/>
      <c r="EV23" s="33"/>
      <c r="EW23" s="33"/>
      <c r="EX23" s="33"/>
      <c r="EY23" s="33"/>
      <c r="EZ23" s="33"/>
      <c r="FA23" s="33"/>
      <c r="FB23" s="33"/>
      <c r="FC23" s="790"/>
      <c r="FD23" s="791"/>
      <c r="FE23" s="33"/>
      <c r="FF23" s="33"/>
      <c r="FG23" s="33"/>
      <c r="FH23" s="33"/>
      <c r="FI23" s="33"/>
      <c r="FJ23" s="33"/>
      <c r="FK23" s="33"/>
      <c r="FL23" s="33"/>
      <c r="FM23" s="790"/>
      <c r="FN23" s="791"/>
      <c r="FO23" s="33"/>
      <c r="FP23" s="33"/>
      <c r="FQ23" s="33"/>
      <c r="FR23" s="33"/>
      <c r="FS23" s="33"/>
      <c r="FT23" s="33"/>
      <c r="FU23" s="33"/>
      <c r="FV23" s="33"/>
      <c r="FW23" s="790"/>
      <c r="FX23" s="791"/>
      <c r="FY23" s="33"/>
      <c r="FZ23" s="33"/>
      <c r="GA23" s="33"/>
      <c r="GB23" s="33"/>
      <c r="GC23" s="33"/>
      <c r="GD23" s="33"/>
      <c r="GE23" s="33"/>
      <c r="GF23" s="33"/>
      <c r="GG23" s="790"/>
      <c r="GH23" s="791"/>
      <c r="GI23" s="33"/>
      <c r="GJ23" s="33"/>
      <c r="GK23" s="33"/>
      <c r="GL23" s="33"/>
      <c r="GM23" s="33"/>
      <c r="GN23" s="33"/>
      <c r="GO23" s="33"/>
      <c r="GP23" s="33"/>
      <c r="GQ23" s="790"/>
      <c r="GR23" s="791"/>
      <c r="GS23" s="33"/>
      <c r="GT23" s="33"/>
      <c r="GU23" s="33"/>
      <c r="GV23" s="33"/>
      <c r="GW23" s="33"/>
      <c r="GX23" s="33"/>
      <c r="GY23" s="33"/>
      <c r="GZ23" s="33"/>
      <c r="HA23" s="790"/>
      <c r="HB23" s="791"/>
      <c r="HC23" s="33"/>
      <c r="HD23" s="33"/>
      <c r="HE23" s="33"/>
      <c r="HF23" s="33"/>
      <c r="HG23" s="33"/>
      <c r="HH23" s="33"/>
      <c r="HI23" s="33"/>
      <c r="HJ23" s="33"/>
      <c r="HK23" s="790"/>
      <c r="HL23" s="791"/>
      <c r="HM23" s="33"/>
      <c r="HN23" s="33"/>
      <c r="HO23" s="33"/>
      <c r="HP23" s="33"/>
      <c r="HQ23" s="33"/>
      <c r="HR23" s="33"/>
      <c r="HS23" s="33"/>
      <c r="HT23" s="33"/>
      <c r="HU23" s="790"/>
      <c r="HV23" s="791"/>
      <c r="HW23" s="33"/>
      <c r="HX23" s="33"/>
      <c r="HY23" s="33"/>
      <c r="HZ23" s="33"/>
      <c r="IA23" s="33"/>
      <c r="IB23" s="33"/>
      <c r="IC23" s="33"/>
      <c r="ID23" s="33"/>
      <c r="IE23" s="790"/>
      <c r="IF23" s="791"/>
      <c r="IG23" s="33"/>
      <c r="IH23" s="33"/>
      <c r="II23" s="33"/>
      <c r="IJ23" s="33"/>
      <c r="IK23" s="33"/>
      <c r="IL23" s="33"/>
      <c r="IM23" s="33"/>
      <c r="IN23" s="33"/>
      <c r="IO23" s="790"/>
      <c r="IP23" s="790"/>
      <c r="IQ23" s="788"/>
      <c r="IR23" s="792"/>
      <c r="IS23" s="792"/>
      <c r="IT23" s="792"/>
      <c r="IU23" s="792"/>
      <c r="IV23" s="792"/>
      <c r="IW23" s="792"/>
      <c r="IX23" s="507"/>
      <c r="IY23" s="193"/>
      <c r="IZ23" s="193"/>
      <c r="JA23" s="193"/>
      <c r="JB23" s="193"/>
      <c r="JC23" s="193"/>
      <c r="JD23" s="193"/>
      <c r="JE23" s="193"/>
      <c r="JF23" s="193"/>
      <c r="JG23" s="193"/>
      <c r="JH23" s="193"/>
    </row>
    <row r="24" spans="2:268" ht="19.5" thickBot="1" x14ac:dyDescent="0.35">
      <c r="B24" s="805"/>
      <c r="C24" s="820">
        <v>33.06</v>
      </c>
      <c r="D24" s="821">
        <v>6</v>
      </c>
      <c r="E24" s="821">
        <v>2.645</v>
      </c>
      <c r="F24" s="821">
        <v>0.93700000000000006</v>
      </c>
      <c r="G24" s="821">
        <v>2.0459999999999998</v>
      </c>
      <c r="H24" s="192"/>
      <c r="I24" s="828"/>
      <c r="J24" s="834" t="s">
        <v>370</v>
      </c>
      <c r="K24" s="876" t="e">
        <f>VLOOKUP(C5,C19:G34,5,FALSE)</f>
        <v>#N/A</v>
      </c>
      <c r="L24" s="876" t="s">
        <v>151</v>
      </c>
      <c r="M24" s="876"/>
      <c r="N24" s="881" t="s">
        <v>191</v>
      </c>
      <c r="O24" s="879"/>
      <c r="P24" s="107" t="e">
        <f>(P22/P23)*100</f>
        <v>#VALUE!</v>
      </c>
      <c r="Q24" s="159" t="s">
        <v>13</v>
      </c>
      <c r="R24" s="692"/>
      <c r="S24" s="827"/>
      <c r="T24" s="692"/>
      <c r="U24" s="528" t="s">
        <v>69</v>
      </c>
      <c r="V24" s="516" t="str">
        <f>C1&amp;"_ENG_P_IN"</f>
        <v>MCDE439_ENG_P_IN</v>
      </c>
      <c r="W24" s="852" t="e">
        <f>1.70654844438105E-07*W23^2 + 7.72494047896E-19* - 2.15105711021124E-16</f>
        <v>#VALUE!</v>
      </c>
      <c r="X24" s="843" t="s">
        <v>85</v>
      </c>
      <c r="Y24" s="840"/>
      <c r="AA24" s="61"/>
      <c r="AS24" s="193"/>
      <c r="AT24" s="507"/>
      <c r="AU24" s="789"/>
      <c r="AV24" s="789"/>
      <c r="AW24" s="789"/>
      <c r="AX24" s="791"/>
      <c r="AY24" s="33"/>
      <c r="AZ24" s="33"/>
      <c r="BA24" s="33"/>
      <c r="BB24" s="33"/>
      <c r="BC24" s="33"/>
      <c r="BD24" s="33"/>
      <c r="BE24" s="33"/>
      <c r="BF24" s="33"/>
      <c r="BG24" s="790"/>
      <c r="BH24" s="791"/>
      <c r="BI24" s="33"/>
      <c r="BJ24" s="33"/>
      <c r="BK24" s="33"/>
      <c r="BL24" s="33"/>
      <c r="BM24" s="33"/>
      <c r="BN24" s="33"/>
      <c r="BO24" s="33"/>
      <c r="BP24" s="33"/>
      <c r="BQ24" s="790"/>
      <c r="BR24" s="791"/>
      <c r="BS24" s="33"/>
      <c r="BT24" s="33"/>
      <c r="BU24" s="33"/>
      <c r="BV24" s="33"/>
      <c r="BW24" s="33"/>
      <c r="BX24" s="33"/>
      <c r="BY24" s="33"/>
      <c r="BZ24" s="33"/>
      <c r="CA24" s="790"/>
      <c r="CB24" s="791"/>
      <c r="CC24" s="33"/>
      <c r="CD24" s="33"/>
      <c r="CE24" s="33"/>
      <c r="CF24" s="33"/>
      <c r="CG24" s="33"/>
      <c r="CH24" s="33"/>
      <c r="CI24" s="33"/>
      <c r="CJ24" s="33"/>
      <c r="CK24" s="790"/>
      <c r="CL24" s="791"/>
      <c r="CM24" s="33"/>
      <c r="CN24" s="33"/>
      <c r="CO24" s="33"/>
      <c r="CP24" s="33"/>
      <c r="CQ24" s="33"/>
      <c r="CR24" s="33"/>
      <c r="CS24" s="33"/>
      <c r="CT24" s="33"/>
      <c r="CU24" s="790"/>
      <c r="CV24" s="791"/>
      <c r="CW24" s="33"/>
      <c r="CX24" s="33"/>
      <c r="CY24" s="33"/>
      <c r="CZ24" s="33"/>
      <c r="DA24" s="33"/>
      <c r="DB24" s="33"/>
      <c r="DC24" s="33"/>
      <c r="DD24" s="33"/>
      <c r="DE24" s="790"/>
      <c r="DF24" s="791"/>
      <c r="DG24" s="33"/>
      <c r="DH24" s="33"/>
      <c r="DI24" s="33"/>
      <c r="DJ24" s="33"/>
      <c r="DK24" s="33"/>
      <c r="DL24" s="33"/>
      <c r="DM24" s="33"/>
      <c r="DN24" s="33"/>
      <c r="DO24" s="790"/>
      <c r="DP24" s="791"/>
      <c r="DQ24" s="33"/>
      <c r="DR24" s="33"/>
      <c r="DS24" s="33"/>
      <c r="DT24" s="33"/>
      <c r="DU24" s="33"/>
      <c r="DV24" s="33"/>
      <c r="DW24" s="33"/>
      <c r="DX24" s="33"/>
      <c r="DY24" s="790"/>
      <c r="DZ24" s="791"/>
      <c r="EA24" s="33"/>
      <c r="EB24" s="33"/>
      <c r="EC24" s="33"/>
      <c r="ED24" s="33"/>
      <c r="EE24" s="33"/>
      <c r="EF24" s="33"/>
      <c r="EG24" s="33"/>
      <c r="EH24" s="33"/>
      <c r="EI24" s="790"/>
      <c r="EJ24" s="791"/>
      <c r="EK24" s="33"/>
      <c r="EL24" s="33"/>
      <c r="EM24" s="33"/>
      <c r="EN24" s="33"/>
      <c r="EO24" s="33"/>
      <c r="EP24" s="33"/>
      <c r="EQ24" s="33"/>
      <c r="ER24" s="33"/>
      <c r="ES24" s="790"/>
      <c r="ET24" s="791"/>
      <c r="EU24" s="33"/>
      <c r="EV24" s="33"/>
      <c r="EW24" s="33"/>
      <c r="EX24" s="33"/>
      <c r="EY24" s="33"/>
      <c r="EZ24" s="33"/>
      <c r="FA24" s="33"/>
      <c r="FB24" s="33"/>
      <c r="FC24" s="790"/>
      <c r="FD24" s="791"/>
      <c r="FE24" s="33"/>
      <c r="FF24" s="33"/>
      <c r="FG24" s="33"/>
      <c r="FH24" s="33"/>
      <c r="FI24" s="33"/>
      <c r="FJ24" s="33"/>
      <c r="FK24" s="33"/>
      <c r="FL24" s="33"/>
      <c r="FM24" s="790"/>
      <c r="FN24" s="791"/>
      <c r="FO24" s="33"/>
      <c r="FP24" s="33"/>
      <c r="FQ24" s="33"/>
      <c r="FR24" s="33"/>
      <c r="FS24" s="33"/>
      <c r="FT24" s="33"/>
      <c r="FU24" s="33"/>
      <c r="FV24" s="33"/>
      <c r="FW24" s="790"/>
      <c r="FX24" s="791"/>
      <c r="FY24" s="33"/>
      <c r="FZ24" s="33"/>
      <c r="GA24" s="33"/>
      <c r="GB24" s="33"/>
      <c r="GC24" s="33"/>
      <c r="GD24" s="33"/>
      <c r="GE24" s="33"/>
      <c r="GF24" s="33"/>
      <c r="GG24" s="790"/>
      <c r="GH24" s="791"/>
      <c r="GI24" s="33"/>
      <c r="GJ24" s="33"/>
      <c r="GK24" s="33"/>
      <c r="GL24" s="33"/>
      <c r="GM24" s="33"/>
      <c r="GN24" s="33"/>
      <c r="GO24" s="33"/>
      <c r="GP24" s="33"/>
      <c r="GQ24" s="790"/>
      <c r="GR24" s="791"/>
      <c r="GS24" s="33"/>
      <c r="GT24" s="33"/>
      <c r="GU24" s="33"/>
      <c r="GV24" s="33"/>
      <c r="GW24" s="33"/>
      <c r="GX24" s="33"/>
      <c r="GY24" s="33"/>
      <c r="GZ24" s="33"/>
      <c r="HA24" s="790"/>
      <c r="HB24" s="791"/>
      <c r="HC24" s="33"/>
      <c r="HD24" s="33"/>
      <c r="HE24" s="33"/>
      <c r="HF24" s="33"/>
      <c r="HG24" s="33"/>
      <c r="HH24" s="33"/>
      <c r="HI24" s="33"/>
      <c r="HJ24" s="33"/>
      <c r="HK24" s="790"/>
      <c r="HL24" s="791"/>
      <c r="HM24" s="33"/>
      <c r="HN24" s="33"/>
      <c r="HO24" s="33"/>
      <c r="HP24" s="33"/>
      <c r="HQ24" s="33"/>
      <c r="HR24" s="33"/>
      <c r="HS24" s="33"/>
      <c r="HT24" s="33"/>
      <c r="HU24" s="790"/>
      <c r="HV24" s="791"/>
      <c r="HW24" s="33"/>
      <c r="HX24" s="33"/>
      <c r="HY24" s="33"/>
      <c r="HZ24" s="33"/>
      <c r="IA24" s="33"/>
      <c r="IB24" s="33"/>
      <c r="IC24" s="33"/>
      <c r="ID24" s="33"/>
      <c r="IE24" s="790"/>
      <c r="IF24" s="791"/>
      <c r="IG24" s="33"/>
      <c r="IH24" s="33"/>
      <c r="II24" s="33"/>
      <c r="IJ24" s="33"/>
      <c r="IK24" s="33"/>
      <c r="IL24" s="33"/>
      <c r="IM24" s="33"/>
      <c r="IN24" s="33"/>
      <c r="IO24" s="790"/>
      <c r="IP24" s="790"/>
      <c r="IQ24" s="788"/>
      <c r="IR24" s="792"/>
      <c r="IS24" s="792"/>
      <c r="IT24" s="792"/>
      <c r="IU24" s="792"/>
      <c r="IV24" s="792"/>
      <c r="IW24" s="792"/>
      <c r="IX24" s="507"/>
      <c r="IY24" s="193"/>
      <c r="IZ24" s="193"/>
      <c r="JA24" s="193"/>
      <c r="JB24" s="193"/>
      <c r="JC24" s="193"/>
      <c r="JD24" s="193"/>
      <c r="JE24" s="193"/>
      <c r="JF24" s="193"/>
      <c r="JG24" s="193"/>
      <c r="JH24" s="193"/>
    </row>
    <row r="25" spans="2:268" ht="19.5" thickBot="1" x14ac:dyDescent="0.35">
      <c r="B25" s="806"/>
      <c r="C25" s="820">
        <v>37.06</v>
      </c>
      <c r="D25" s="821">
        <v>7</v>
      </c>
      <c r="E25" s="821">
        <v>2.645</v>
      </c>
      <c r="F25" s="821">
        <v>0.93700000000000006</v>
      </c>
      <c r="G25" s="821">
        <v>2.0459999999999998</v>
      </c>
      <c r="H25" s="192"/>
      <c r="I25" s="828"/>
      <c r="J25" s="877"/>
      <c r="K25" s="876"/>
      <c r="L25" s="876"/>
      <c r="M25" s="876"/>
      <c r="N25" s="883"/>
      <c r="O25" s="82"/>
      <c r="P25" s="51"/>
      <c r="Q25" s="51"/>
      <c r="R25" s="692"/>
      <c r="S25" s="827"/>
      <c r="T25" s="692"/>
      <c r="U25" s="521"/>
      <c r="V25" s="529" t="str">
        <f>C1&amp;"_ENG_P_EX"</f>
        <v>MCDE439_ENG_P_EX</v>
      </c>
      <c r="W25" s="853" t="e">
        <f>1.45002333746652E-07*W23^2 + 7.99599102208E-19*+ 5.27355936696949E-16</f>
        <v>#VALUE!</v>
      </c>
      <c r="X25" s="844" t="s">
        <v>85</v>
      </c>
      <c r="Y25" s="840"/>
      <c r="AA25" s="61"/>
      <c r="AS25" s="193"/>
      <c r="AT25" s="507"/>
      <c r="AU25" s="789"/>
      <c r="AV25" s="789"/>
      <c r="AW25" s="789"/>
      <c r="AX25" s="791"/>
      <c r="AY25" s="33"/>
      <c r="AZ25" s="33"/>
      <c r="BA25" s="33"/>
      <c r="BB25" s="33"/>
      <c r="BC25" s="33"/>
      <c r="BD25" s="33"/>
      <c r="BE25" s="33"/>
      <c r="BF25" s="33"/>
      <c r="BG25" s="790"/>
      <c r="BH25" s="791"/>
      <c r="BI25" s="33"/>
      <c r="BJ25" s="33"/>
      <c r="BK25" s="33"/>
      <c r="BL25" s="33"/>
      <c r="BM25" s="33"/>
      <c r="BN25" s="33"/>
      <c r="BO25" s="33"/>
      <c r="BP25" s="33"/>
      <c r="BQ25" s="790"/>
      <c r="BR25" s="791"/>
      <c r="BS25" s="33"/>
      <c r="BT25" s="33"/>
      <c r="BU25" s="33"/>
      <c r="BV25" s="33"/>
      <c r="BW25" s="33"/>
      <c r="BX25" s="33"/>
      <c r="BY25" s="33"/>
      <c r="BZ25" s="33"/>
      <c r="CA25" s="790"/>
      <c r="CB25" s="791"/>
      <c r="CC25" s="33"/>
      <c r="CD25" s="33"/>
      <c r="CE25" s="33"/>
      <c r="CF25" s="33"/>
      <c r="CG25" s="33"/>
      <c r="CH25" s="33"/>
      <c r="CI25" s="33"/>
      <c r="CJ25" s="33"/>
      <c r="CK25" s="790"/>
      <c r="CL25" s="791"/>
      <c r="CM25" s="33"/>
      <c r="CN25" s="33"/>
      <c r="CO25" s="33"/>
      <c r="CP25" s="33"/>
      <c r="CQ25" s="33"/>
      <c r="CR25" s="33"/>
      <c r="CS25" s="33"/>
      <c r="CT25" s="33"/>
      <c r="CU25" s="790"/>
      <c r="CV25" s="791"/>
      <c r="CW25" s="33"/>
      <c r="CX25" s="33"/>
      <c r="CY25" s="33"/>
      <c r="CZ25" s="33"/>
      <c r="DA25" s="33"/>
      <c r="DB25" s="33"/>
      <c r="DC25" s="33"/>
      <c r="DD25" s="33"/>
      <c r="DE25" s="790"/>
      <c r="DF25" s="791"/>
      <c r="DG25" s="33"/>
      <c r="DH25" s="33"/>
      <c r="DI25" s="33"/>
      <c r="DJ25" s="33"/>
      <c r="DK25" s="33"/>
      <c r="DL25" s="33"/>
      <c r="DM25" s="33"/>
      <c r="DN25" s="33"/>
      <c r="DO25" s="790"/>
      <c r="DP25" s="791"/>
      <c r="DQ25" s="33"/>
      <c r="DR25" s="33"/>
      <c r="DS25" s="33"/>
      <c r="DT25" s="33"/>
      <c r="DU25" s="33"/>
      <c r="DV25" s="33"/>
      <c r="DW25" s="33"/>
      <c r="DX25" s="33"/>
      <c r="DY25" s="790"/>
      <c r="DZ25" s="791"/>
      <c r="EA25" s="33"/>
      <c r="EB25" s="33"/>
      <c r="EC25" s="33"/>
      <c r="ED25" s="33"/>
      <c r="EE25" s="33"/>
      <c r="EF25" s="33"/>
      <c r="EG25" s="33"/>
      <c r="EH25" s="33"/>
      <c r="EI25" s="790"/>
      <c r="EJ25" s="791"/>
      <c r="EK25" s="33"/>
      <c r="EL25" s="33"/>
      <c r="EM25" s="33"/>
      <c r="EN25" s="33"/>
      <c r="EO25" s="33"/>
      <c r="EP25" s="33"/>
      <c r="EQ25" s="33"/>
      <c r="ER25" s="33"/>
      <c r="ES25" s="790"/>
      <c r="ET25" s="791"/>
      <c r="EU25" s="33"/>
      <c r="EV25" s="33"/>
      <c r="EW25" s="33"/>
      <c r="EX25" s="33"/>
      <c r="EY25" s="33"/>
      <c r="EZ25" s="33"/>
      <c r="FA25" s="33"/>
      <c r="FB25" s="33"/>
      <c r="FC25" s="790"/>
      <c r="FD25" s="791"/>
      <c r="FE25" s="33"/>
      <c r="FF25" s="33"/>
      <c r="FG25" s="33"/>
      <c r="FH25" s="33"/>
      <c r="FI25" s="33"/>
      <c r="FJ25" s="33"/>
      <c r="FK25" s="33"/>
      <c r="FL25" s="33"/>
      <c r="FM25" s="790"/>
      <c r="FN25" s="791"/>
      <c r="FO25" s="33"/>
      <c r="FP25" s="33"/>
      <c r="FQ25" s="33"/>
      <c r="FR25" s="33"/>
      <c r="FS25" s="33"/>
      <c r="FT25" s="33"/>
      <c r="FU25" s="33"/>
      <c r="FV25" s="33"/>
      <c r="FW25" s="790"/>
      <c r="FX25" s="791"/>
      <c r="FY25" s="33"/>
      <c r="FZ25" s="33"/>
      <c r="GA25" s="33"/>
      <c r="GB25" s="33"/>
      <c r="GC25" s="33"/>
      <c r="GD25" s="33"/>
      <c r="GE25" s="33"/>
      <c r="GF25" s="33"/>
      <c r="GG25" s="790"/>
      <c r="GH25" s="791"/>
      <c r="GI25" s="33"/>
      <c r="GJ25" s="33"/>
      <c r="GK25" s="33"/>
      <c r="GL25" s="33"/>
      <c r="GM25" s="33"/>
      <c r="GN25" s="33"/>
      <c r="GO25" s="33"/>
      <c r="GP25" s="33"/>
      <c r="GQ25" s="790"/>
      <c r="GR25" s="791"/>
      <c r="GS25" s="33"/>
      <c r="GT25" s="33"/>
      <c r="GU25" s="33"/>
      <c r="GV25" s="33"/>
      <c r="GW25" s="33"/>
      <c r="GX25" s="33"/>
      <c r="GY25" s="33"/>
      <c r="GZ25" s="33"/>
      <c r="HA25" s="790"/>
      <c r="HB25" s="791"/>
      <c r="HC25" s="33"/>
      <c r="HD25" s="33"/>
      <c r="HE25" s="33"/>
      <c r="HF25" s="33"/>
      <c r="HG25" s="33"/>
      <c r="HH25" s="33"/>
      <c r="HI25" s="33"/>
      <c r="HJ25" s="33"/>
      <c r="HK25" s="790"/>
      <c r="HL25" s="791"/>
      <c r="HM25" s="33"/>
      <c r="HN25" s="33"/>
      <c r="HO25" s="33"/>
      <c r="HP25" s="33"/>
      <c r="HQ25" s="33"/>
      <c r="HR25" s="33"/>
      <c r="HS25" s="33"/>
      <c r="HT25" s="33"/>
      <c r="HU25" s="790"/>
      <c r="HV25" s="791"/>
      <c r="HW25" s="33"/>
      <c r="HX25" s="33"/>
      <c r="HY25" s="33"/>
      <c r="HZ25" s="33"/>
      <c r="IA25" s="33"/>
      <c r="IB25" s="33"/>
      <c r="IC25" s="33"/>
      <c r="ID25" s="33"/>
      <c r="IE25" s="790"/>
      <c r="IF25" s="791"/>
      <c r="IG25" s="33"/>
      <c r="IH25" s="33"/>
      <c r="II25" s="33"/>
      <c r="IJ25" s="33"/>
      <c r="IK25" s="33"/>
      <c r="IL25" s="33"/>
      <c r="IM25" s="33"/>
      <c r="IN25" s="33"/>
      <c r="IO25" s="790"/>
      <c r="IP25" s="790"/>
      <c r="IQ25" s="788"/>
      <c r="IR25" s="792"/>
      <c r="IS25" s="792"/>
      <c r="IT25" s="792"/>
      <c r="IU25" s="792"/>
      <c r="IV25" s="792"/>
      <c r="IW25" s="792"/>
      <c r="IX25" s="507"/>
      <c r="IY25" s="193"/>
      <c r="IZ25" s="193"/>
      <c r="JA25" s="193"/>
      <c r="JB25" s="193"/>
      <c r="JC25" s="193"/>
      <c r="JD25" s="193"/>
      <c r="JE25" s="193"/>
      <c r="JF25" s="193"/>
      <c r="JG25" s="193"/>
      <c r="JH25" s="193"/>
    </row>
    <row r="26" spans="2:268" ht="19.5" thickBot="1" x14ac:dyDescent="0.35">
      <c r="B26" s="805"/>
      <c r="C26" s="820">
        <v>41.06</v>
      </c>
      <c r="D26" s="821">
        <v>8</v>
      </c>
      <c r="E26" s="821">
        <v>2.645</v>
      </c>
      <c r="F26" s="821">
        <v>0.93700000000000006</v>
      </c>
      <c r="G26" s="821">
        <v>2.0459999999999998</v>
      </c>
      <c r="H26" s="192"/>
      <c r="I26" s="828"/>
      <c r="J26" s="834" t="s">
        <v>381</v>
      </c>
      <c r="K26" s="884" t="e">
        <f>IF(G13=1,4,IF(G13=2,8,IF(G13=3,10,IF(G13=4,20,IF(G13=5,20,"N/A")))))</f>
        <v>#N/A</v>
      </c>
      <c r="L26" s="876"/>
      <c r="M26" s="876"/>
      <c r="N26" s="885" t="s">
        <v>68</v>
      </c>
      <c r="O26" s="877"/>
      <c r="P26" s="494" t="e">
        <f>C6/P22</f>
        <v>#VALUE!</v>
      </c>
      <c r="Q26" s="159" t="s">
        <v>45</v>
      </c>
      <c r="R26" s="692"/>
      <c r="S26" s="827"/>
      <c r="T26" s="692"/>
      <c r="U26" s="692"/>
      <c r="V26" s="692"/>
      <c r="W26" s="692"/>
      <c r="X26" s="842"/>
      <c r="Y26" s="46"/>
      <c r="AA26" s="61"/>
      <c r="AS26" s="193"/>
      <c r="AT26" s="507"/>
      <c r="AU26" s="789"/>
      <c r="AV26" s="789"/>
      <c r="AW26" s="789"/>
      <c r="AX26" s="791"/>
      <c r="AY26" s="33"/>
      <c r="AZ26" s="33"/>
      <c r="BA26" s="33"/>
      <c r="BB26" s="33"/>
      <c r="BC26" s="33"/>
      <c r="BD26" s="33"/>
      <c r="BE26" s="33"/>
      <c r="BF26" s="33"/>
      <c r="BG26" s="790"/>
      <c r="BH26" s="791"/>
      <c r="BI26" s="33"/>
      <c r="BJ26" s="33"/>
      <c r="BK26" s="33"/>
      <c r="BL26" s="33"/>
      <c r="BM26" s="33"/>
      <c r="BN26" s="33"/>
      <c r="BO26" s="33"/>
      <c r="BP26" s="33"/>
      <c r="BQ26" s="790"/>
      <c r="BR26" s="791"/>
      <c r="BS26" s="33"/>
      <c r="BT26" s="33"/>
      <c r="BU26" s="33"/>
      <c r="BV26" s="33"/>
      <c r="BW26" s="33"/>
      <c r="BX26" s="33"/>
      <c r="BY26" s="33"/>
      <c r="BZ26" s="33"/>
      <c r="CA26" s="790"/>
      <c r="CB26" s="791"/>
      <c r="CC26" s="33"/>
      <c r="CD26" s="33"/>
      <c r="CE26" s="33"/>
      <c r="CF26" s="33"/>
      <c r="CG26" s="33"/>
      <c r="CH26" s="33"/>
      <c r="CI26" s="33"/>
      <c r="CJ26" s="33"/>
      <c r="CK26" s="790"/>
      <c r="CL26" s="791"/>
      <c r="CM26" s="33"/>
      <c r="CN26" s="33"/>
      <c r="CO26" s="33"/>
      <c r="CP26" s="33"/>
      <c r="CQ26" s="33"/>
      <c r="CR26" s="33"/>
      <c r="CS26" s="33"/>
      <c r="CT26" s="33"/>
      <c r="CU26" s="790"/>
      <c r="CV26" s="791"/>
      <c r="CW26" s="33"/>
      <c r="CX26" s="33"/>
      <c r="CY26" s="33"/>
      <c r="CZ26" s="33"/>
      <c r="DA26" s="33"/>
      <c r="DB26" s="33"/>
      <c r="DC26" s="33"/>
      <c r="DD26" s="33"/>
      <c r="DE26" s="790"/>
      <c r="DF26" s="791"/>
      <c r="DG26" s="33"/>
      <c r="DH26" s="33"/>
      <c r="DI26" s="33"/>
      <c r="DJ26" s="33"/>
      <c r="DK26" s="33"/>
      <c r="DL26" s="33"/>
      <c r="DM26" s="33"/>
      <c r="DN26" s="33"/>
      <c r="DO26" s="790"/>
      <c r="DP26" s="791"/>
      <c r="DQ26" s="33"/>
      <c r="DR26" s="33"/>
      <c r="DS26" s="33"/>
      <c r="DT26" s="33"/>
      <c r="DU26" s="33"/>
      <c r="DV26" s="33"/>
      <c r="DW26" s="33"/>
      <c r="DX26" s="33"/>
      <c r="DY26" s="790"/>
      <c r="DZ26" s="791"/>
      <c r="EA26" s="33"/>
      <c r="EB26" s="33"/>
      <c r="EC26" s="33"/>
      <c r="ED26" s="33"/>
      <c r="EE26" s="33"/>
      <c r="EF26" s="33"/>
      <c r="EG26" s="33"/>
      <c r="EH26" s="33"/>
      <c r="EI26" s="790"/>
      <c r="EJ26" s="791"/>
      <c r="EK26" s="33"/>
      <c r="EL26" s="33"/>
      <c r="EM26" s="33"/>
      <c r="EN26" s="33"/>
      <c r="EO26" s="33"/>
      <c r="EP26" s="33"/>
      <c r="EQ26" s="33"/>
      <c r="ER26" s="33"/>
      <c r="ES26" s="790"/>
      <c r="ET26" s="791"/>
      <c r="EU26" s="33"/>
      <c r="EV26" s="33"/>
      <c r="EW26" s="33"/>
      <c r="EX26" s="33"/>
      <c r="EY26" s="33"/>
      <c r="EZ26" s="33"/>
      <c r="FA26" s="33"/>
      <c r="FB26" s="33"/>
      <c r="FC26" s="790"/>
      <c r="FD26" s="791"/>
      <c r="FE26" s="33"/>
      <c r="FF26" s="33"/>
      <c r="FG26" s="33"/>
      <c r="FH26" s="33"/>
      <c r="FI26" s="33"/>
      <c r="FJ26" s="33"/>
      <c r="FK26" s="33"/>
      <c r="FL26" s="33"/>
      <c r="FM26" s="790"/>
      <c r="FN26" s="791"/>
      <c r="FO26" s="33"/>
      <c r="FP26" s="33"/>
      <c r="FQ26" s="33"/>
      <c r="FR26" s="33"/>
      <c r="FS26" s="33"/>
      <c r="FT26" s="33"/>
      <c r="FU26" s="33"/>
      <c r="FV26" s="33"/>
      <c r="FW26" s="790"/>
      <c r="FX26" s="791"/>
      <c r="FY26" s="33"/>
      <c r="FZ26" s="33"/>
      <c r="GA26" s="33"/>
      <c r="GB26" s="33"/>
      <c r="GC26" s="33"/>
      <c r="GD26" s="33"/>
      <c r="GE26" s="33"/>
      <c r="GF26" s="33"/>
      <c r="GG26" s="790"/>
      <c r="GH26" s="791"/>
      <c r="GI26" s="33"/>
      <c r="GJ26" s="33"/>
      <c r="GK26" s="33"/>
      <c r="GL26" s="33"/>
      <c r="GM26" s="33"/>
      <c r="GN26" s="33"/>
      <c r="GO26" s="33"/>
      <c r="GP26" s="33"/>
      <c r="GQ26" s="790"/>
      <c r="GR26" s="791"/>
      <c r="GS26" s="33"/>
      <c r="GT26" s="33"/>
      <c r="GU26" s="33"/>
      <c r="GV26" s="33"/>
      <c r="GW26" s="33"/>
      <c r="GX26" s="33"/>
      <c r="GY26" s="33"/>
      <c r="GZ26" s="33"/>
      <c r="HA26" s="790"/>
      <c r="HB26" s="791"/>
      <c r="HC26" s="33"/>
      <c r="HD26" s="33"/>
      <c r="HE26" s="33"/>
      <c r="HF26" s="33"/>
      <c r="HG26" s="33"/>
      <c r="HH26" s="33"/>
      <c r="HI26" s="33"/>
      <c r="HJ26" s="33"/>
      <c r="HK26" s="790"/>
      <c r="HL26" s="791"/>
      <c r="HM26" s="33"/>
      <c r="HN26" s="33"/>
      <c r="HO26" s="33"/>
      <c r="HP26" s="33"/>
      <c r="HQ26" s="33"/>
      <c r="HR26" s="33"/>
      <c r="HS26" s="33"/>
      <c r="HT26" s="33"/>
      <c r="HU26" s="790"/>
      <c r="HV26" s="791"/>
      <c r="HW26" s="33"/>
      <c r="HX26" s="33"/>
      <c r="HY26" s="33"/>
      <c r="HZ26" s="33"/>
      <c r="IA26" s="33"/>
      <c r="IB26" s="33"/>
      <c r="IC26" s="33"/>
      <c r="ID26" s="33"/>
      <c r="IE26" s="790"/>
      <c r="IF26" s="791"/>
      <c r="IG26" s="33"/>
      <c r="IH26" s="33"/>
      <c r="II26" s="33"/>
      <c r="IJ26" s="33"/>
      <c r="IK26" s="33"/>
      <c r="IL26" s="33"/>
      <c r="IM26" s="33"/>
      <c r="IN26" s="33"/>
      <c r="IO26" s="790"/>
      <c r="IP26" s="790"/>
      <c r="IQ26" s="788"/>
      <c r="IR26" s="792"/>
      <c r="IS26" s="792"/>
      <c r="IT26" s="792"/>
      <c r="IU26" s="792"/>
      <c r="IV26" s="792"/>
      <c r="IW26" s="792"/>
      <c r="IX26" s="507"/>
      <c r="IY26" s="193"/>
      <c r="IZ26" s="193"/>
      <c r="JA26" s="193"/>
      <c r="JB26" s="193"/>
      <c r="JC26" s="193"/>
      <c r="JD26" s="193"/>
      <c r="JE26" s="193"/>
      <c r="JF26" s="193"/>
      <c r="JG26" s="193"/>
      <c r="JH26" s="193"/>
    </row>
    <row r="27" spans="2:268" ht="19.5" thickBot="1" x14ac:dyDescent="0.35">
      <c r="B27" s="805"/>
      <c r="C27" s="820">
        <v>45.06</v>
      </c>
      <c r="D27" s="821">
        <v>9</v>
      </c>
      <c r="E27" s="821">
        <v>2.645</v>
      </c>
      <c r="F27" s="821">
        <v>0.93700000000000006</v>
      </c>
      <c r="G27" s="821">
        <v>2.0459999999999998</v>
      </c>
      <c r="H27" s="192"/>
      <c r="I27" s="832"/>
      <c r="J27" s="834" t="s">
        <v>403</v>
      </c>
      <c r="K27" s="884" t="e">
        <f>IF(G13=1,2,IF(G13=2,4,IF(G13=3,4,IF(G13=4,8,IF(G13=5,8,"N/A")))))</f>
        <v>#N/A</v>
      </c>
      <c r="L27" s="876"/>
      <c r="M27" s="876"/>
      <c r="N27" s="885" t="s">
        <v>69</v>
      </c>
      <c r="O27" s="473" t="s">
        <v>6</v>
      </c>
      <c r="P27" s="494" t="e">
        <f>1.70654844438105E-07*P26^2 + 7.72494047896E-19*P26 - 2.15105711021124E-16</f>
        <v>#VALUE!</v>
      </c>
      <c r="Q27" s="159" t="s">
        <v>85</v>
      </c>
      <c r="R27" s="692"/>
      <c r="S27" s="827"/>
      <c r="T27" s="692"/>
      <c r="U27" s="692"/>
      <c r="V27" s="692"/>
      <c r="W27" s="692"/>
      <c r="X27" s="807"/>
      <c r="Y27" s="46"/>
      <c r="AA27" s="61"/>
      <c r="AS27" s="193"/>
      <c r="AT27" s="507"/>
      <c r="AU27" s="789"/>
      <c r="AV27" s="789"/>
      <c r="AW27" s="789"/>
      <c r="AX27" s="791"/>
      <c r="AY27" s="33"/>
      <c r="AZ27" s="33"/>
      <c r="BA27" s="33"/>
      <c r="BB27" s="33"/>
      <c r="BC27" s="33"/>
      <c r="BD27" s="33"/>
      <c r="BE27" s="33"/>
      <c r="BF27" s="33"/>
      <c r="BG27" s="790"/>
      <c r="BH27" s="791"/>
      <c r="BI27" s="33"/>
      <c r="BJ27" s="33"/>
      <c r="BK27" s="33"/>
      <c r="BL27" s="33"/>
      <c r="BM27" s="33"/>
      <c r="BN27" s="33"/>
      <c r="BO27" s="33"/>
      <c r="BP27" s="33"/>
      <c r="BQ27" s="790"/>
      <c r="BR27" s="791"/>
      <c r="BS27" s="33"/>
      <c r="BT27" s="33"/>
      <c r="BU27" s="33"/>
      <c r="BV27" s="33"/>
      <c r="BW27" s="33"/>
      <c r="BX27" s="33"/>
      <c r="BY27" s="33"/>
      <c r="BZ27" s="33"/>
      <c r="CA27" s="790"/>
      <c r="CB27" s="791"/>
      <c r="CC27" s="33"/>
      <c r="CD27" s="33"/>
      <c r="CE27" s="33"/>
      <c r="CF27" s="33"/>
      <c r="CG27" s="33"/>
      <c r="CH27" s="33"/>
      <c r="CI27" s="33"/>
      <c r="CJ27" s="33"/>
      <c r="CK27" s="790"/>
      <c r="CL27" s="791"/>
      <c r="CM27" s="33"/>
      <c r="CN27" s="33"/>
      <c r="CO27" s="33"/>
      <c r="CP27" s="33"/>
      <c r="CQ27" s="33"/>
      <c r="CR27" s="33"/>
      <c r="CS27" s="33"/>
      <c r="CT27" s="33"/>
      <c r="CU27" s="790"/>
      <c r="CV27" s="791"/>
      <c r="CW27" s="33"/>
      <c r="CX27" s="33"/>
      <c r="CY27" s="33"/>
      <c r="CZ27" s="33"/>
      <c r="DA27" s="33"/>
      <c r="DB27" s="33"/>
      <c r="DC27" s="33"/>
      <c r="DD27" s="33"/>
      <c r="DE27" s="790"/>
      <c r="DF27" s="791"/>
      <c r="DG27" s="33"/>
      <c r="DH27" s="33"/>
      <c r="DI27" s="33"/>
      <c r="DJ27" s="33"/>
      <c r="DK27" s="33"/>
      <c r="DL27" s="33"/>
      <c r="DM27" s="33"/>
      <c r="DN27" s="33"/>
      <c r="DO27" s="790"/>
      <c r="DP27" s="791"/>
      <c r="DQ27" s="33"/>
      <c r="DR27" s="33"/>
      <c r="DS27" s="33"/>
      <c r="DT27" s="33"/>
      <c r="DU27" s="33"/>
      <c r="DV27" s="33"/>
      <c r="DW27" s="33"/>
      <c r="DX27" s="33"/>
      <c r="DY27" s="790"/>
      <c r="DZ27" s="791"/>
      <c r="EA27" s="33"/>
      <c r="EB27" s="33"/>
      <c r="EC27" s="33"/>
      <c r="ED27" s="33"/>
      <c r="EE27" s="33"/>
      <c r="EF27" s="33"/>
      <c r="EG27" s="33"/>
      <c r="EH27" s="33"/>
      <c r="EI27" s="790"/>
      <c r="EJ27" s="791"/>
      <c r="EK27" s="33"/>
      <c r="EL27" s="33"/>
      <c r="EM27" s="33"/>
      <c r="EN27" s="33"/>
      <c r="EO27" s="33"/>
      <c r="EP27" s="33"/>
      <c r="EQ27" s="33"/>
      <c r="ER27" s="33"/>
      <c r="ES27" s="790"/>
      <c r="ET27" s="791"/>
      <c r="EU27" s="33"/>
      <c r="EV27" s="33"/>
      <c r="EW27" s="33"/>
      <c r="EX27" s="33"/>
      <c r="EY27" s="33"/>
      <c r="EZ27" s="33"/>
      <c r="FA27" s="33"/>
      <c r="FB27" s="33"/>
      <c r="FC27" s="790"/>
      <c r="FD27" s="791"/>
      <c r="FE27" s="33"/>
      <c r="FF27" s="33"/>
      <c r="FG27" s="33"/>
      <c r="FH27" s="33"/>
      <c r="FI27" s="33"/>
      <c r="FJ27" s="33"/>
      <c r="FK27" s="33"/>
      <c r="FL27" s="33"/>
      <c r="FM27" s="790"/>
      <c r="FN27" s="791"/>
      <c r="FO27" s="33"/>
      <c r="FP27" s="33"/>
      <c r="FQ27" s="33"/>
      <c r="FR27" s="33"/>
      <c r="FS27" s="33"/>
      <c r="FT27" s="33"/>
      <c r="FU27" s="33"/>
      <c r="FV27" s="33"/>
      <c r="FW27" s="790"/>
      <c r="FX27" s="791"/>
      <c r="FY27" s="33"/>
      <c r="FZ27" s="33"/>
      <c r="GA27" s="33"/>
      <c r="GB27" s="33"/>
      <c r="GC27" s="33"/>
      <c r="GD27" s="33"/>
      <c r="GE27" s="33"/>
      <c r="GF27" s="33"/>
      <c r="GG27" s="790"/>
      <c r="GH27" s="791"/>
      <c r="GI27" s="33"/>
      <c r="GJ27" s="33"/>
      <c r="GK27" s="33"/>
      <c r="GL27" s="33"/>
      <c r="GM27" s="33"/>
      <c r="GN27" s="33"/>
      <c r="GO27" s="33"/>
      <c r="GP27" s="33"/>
      <c r="GQ27" s="790"/>
      <c r="GR27" s="791"/>
      <c r="GS27" s="33"/>
      <c r="GT27" s="33"/>
      <c r="GU27" s="33"/>
      <c r="GV27" s="33"/>
      <c r="GW27" s="33"/>
      <c r="GX27" s="33"/>
      <c r="GY27" s="33"/>
      <c r="GZ27" s="33"/>
      <c r="HA27" s="790"/>
      <c r="HB27" s="791"/>
      <c r="HC27" s="33"/>
      <c r="HD27" s="33"/>
      <c r="HE27" s="33"/>
      <c r="HF27" s="33"/>
      <c r="HG27" s="33"/>
      <c r="HH27" s="33"/>
      <c r="HI27" s="33"/>
      <c r="HJ27" s="33"/>
      <c r="HK27" s="790"/>
      <c r="HL27" s="791"/>
      <c r="HM27" s="33"/>
      <c r="HN27" s="33"/>
      <c r="HO27" s="33"/>
      <c r="HP27" s="33"/>
      <c r="HQ27" s="33"/>
      <c r="HR27" s="33"/>
      <c r="HS27" s="33"/>
      <c r="HT27" s="33"/>
      <c r="HU27" s="790"/>
      <c r="HV27" s="791"/>
      <c r="HW27" s="33"/>
      <c r="HX27" s="33"/>
      <c r="HY27" s="33"/>
      <c r="HZ27" s="33"/>
      <c r="IA27" s="33"/>
      <c r="IB27" s="33"/>
      <c r="IC27" s="33"/>
      <c r="ID27" s="33"/>
      <c r="IE27" s="790"/>
      <c r="IF27" s="791"/>
      <c r="IG27" s="33"/>
      <c r="IH27" s="33"/>
      <c r="II27" s="33"/>
      <c r="IJ27" s="33"/>
      <c r="IK27" s="33"/>
      <c r="IL27" s="33"/>
      <c r="IM27" s="33"/>
      <c r="IN27" s="33"/>
      <c r="IO27" s="790"/>
      <c r="IP27" s="790"/>
      <c r="IQ27" s="788"/>
      <c r="IR27" s="792"/>
      <c r="IS27" s="792"/>
      <c r="IT27" s="792"/>
      <c r="IU27" s="792"/>
      <c r="IV27" s="792"/>
      <c r="IW27" s="792"/>
      <c r="IX27" s="507"/>
      <c r="IY27" s="193"/>
      <c r="IZ27" s="193"/>
      <c r="JA27" s="193"/>
      <c r="JB27" s="193"/>
      <c r="JC27" s="193"/>
      <c r="JD27" s="193"/>
      <c r="JE27" s="193"/>
      <c r="JF27" s="193"/>
      <c r="JG27" s="193"/>
      <c r="JH27" s="193"/>
    </row>
    <row r="28" spans="2:268" ht="19.5" thickBot="1" x14ac:dyDescent="0.35">
      <c r="B28" s="805"/>
      <c r="C28" s="820">
        <v>49.06</v>
      </c>
      <c r="D28" s="821">
        <v>10</v>
      </c>
      <c r="E28" s="821">
        <v>2.645</v>
      </c>
      <c r="F28" s="821">
        <v>0.93700000000000006</v>
      </c>
      <c r="G28" s="821">
        <v>2.0459999999999998</v>
      </c>
      <c r="H28" s="192"/>
      <c r="I28" s="832"/>
      <c r="J28" s="834" t="s">
        <v>371</v>
      </c>
      <c r="K28" s="876" t="e">
        <f>K19-((K26*2)+(K27*4.25))</f>
        <v>#VALUE!</v>
      </c>
      <c r="L28" s="876" t="s">
        <v>151</v>
      </c>
      <c r="M28" s="876"/>
      <c r="N28" s="886"/>
      <c r="O28" s="473" t="s">
        <v>7</v>
      </c>
      <c r="P28" s="494" t="e">
        <f>1.45002333746652E-07*P26^2 + 7.99599102208E-19*P26+ 5.27355936696949E-16</f>
        <v>#VALUE!</v>
      </c>
      <c r="Q28" s="159" t="s">
        <v>85</v>
      </c>
      <c r="R28" s="692"/>
      <c r="S28" s="827"/>
      <c r="T28" s="692"/>
      <c r="U28" s="692"/>
      <c r="V28" s="692"/>
      <c r="W28" s="692"/>
      <c r="X28" s="807"/>
      <c r="Y28" s="46"/>
      <c r="AA28" s="61"/>
      <c r="AS28" s="193"/>
      <c r="AT28" s="507"/>
      <c r="AU28" s="789"/>
      <c r="AV28" s="789"/>
      <c r="AW28" s="789"/>
      <c r="AX28" s="791"/>
      <c r="AY28" s="33"/>
      <c r="AZ28" s="33"/>
      <c r="BA28" s="33"/>
      <c r="BB28" s="33"/>
      <c r="BC28" s="33"/>
      <c r="BD28" s="33"/>
      <c r="BE28" s="33"/>
      <c r="BF28" s="33"/>
      <c r="BG28" s="790"/>
      <c r="BH28" s="791"/>
      <c r="BI28" s="33"/>
      <c r="BJ28" s="33"/>
      <c r="BK28" s="33"/>
      <c r="BL28" s="33"/>
      <c r="BM28" s="33"/>
      <c r="BN28" s="33"/>
      <c r="BO28" s="33"/>
      <c r="BP28" s="33"/>
      <c r="BQ28" s="790"/>
      <c r="BR28" s="791"/>
      <c r="BS28" s="33"/>
      <c r="BT28" s="33"/>
      <c r="BU28" s="33"/>
      <c r="BV28" s="33"/>
      <c r="BW28" s="33"/>
      <c r="BX28" s="33"/>
      <c r="BY28" s="33"/>
      <c r="BZ28" s="33"/>
      <c r="CA28" s="790"/>
      <c r="CB28" s="791"/>
      <c r="CC28" s="33"/>
      <c r="CD28" s="33"/>
      <c r="CE28" s="33"/>
      <c r="CF28" s="33"/>
      <c r="CG28" s="33"/>
      <c r="CH28" s="33"/>
      <c r="CI28" s="33"/>
      <c r="CJ28" s="33"/>
      <c r="CK28" s="790"/>
      <c r="CL28" s="791"/>
      <c r="CM28" s="33"/>
      <c r="CN28" s="33"/>
      <c r="CO28" s="33"/>
      <c r="CP28" s="33"/>
      <c r="CQ28" s="33"/>
      <c r="CR28" s="33"/>
      <c r="CS28" s="33"/>
      <c r="CT28" s="33"/>
      <c r="CU28" s="790"/>
      <c r="CV28" s="791"/>
      <c r="CW28" s="33"/>
      <c r="CX28" s="33"/>
      <c r="CY28" s="33"/>
      <c r="CZ28" s="33"/>
      <c r="DA28" s="33"/>
      <c r="DB28" s="33"/>
      <c r="DC28" s="33"/>
      <c r="DD28" s="33"/>
      <c r="DE28" s="790"/>
      <c r="DF28" s="791"/>
      <c r="DG28" s="33"/>
      <c r="DH28" s="33"/>
      <c r="DI28" s="33"/>
      <c r="DJ28" s="33"/>
      <c r="DK28" s="33"/>
      <c r="DL28" s="33"/>
      <c r="DM28" s="33"/>
      <c r="DN28" s="33"/>
      <c r="DO28" s="790"/>
      <c r="DP28" s="798"/>
      <c r="DQ28" s="799"/>
      <c r="DR28" s="33"/>
      <c r="DS28" s="33"/>
      <c r="DT28" s="33"/>
      <c r="DU28" s="33"/>
      <c r="DV28" s="33"/>
      <c r="DW28" s="33"/>
      <c r="DX28" s="33"/>
      <c r="DY28" s="790"/>
      <c r="DZ28" s="791"/>
      <c r="EA28" s="33"/>
      <c r="EB28" s="33"/>
      <c r="EC28" s="33"/>
      <c r="ED28" s="33"/>
      <c r="EE28" s="33"/>
      <c r="EF28" s="33"/>
      <c r="EG28" s="33"/>
      <c r="EH28" s="33"/>
      <c r="EI28" s="790"/>
      <c r="EJ28" s="791"/>
      <c r="EK28" s="33"/>
      <c r="EL28" s="33"/>
      <c r="EM28" s="33"/>
      <c r="EN28" s="33"/>
      <c r="EO28" s="33"/>
      <c r="EP28" s="33"/>
      <c r="EQ28" s="33"/>
      <c r="ER28" s="33"/>
      <c r="ES28" s="790"/>
      <c r="ET28" s="791"/>
      <c r="EU28" s="33"/>
      <c r="EV28" s="33"/>
      <c r="EW28" s="33"/>
      <c r="EX28" s="33"/>
      <c r="EY28" s="33"/>
      <c r="EZ28" s="33"/>
      <c r="FA28" s="33"/>
      <c r="FB28" s="33"/>
      <c r="FC28" s="790"/>
      <c r="FD28" s="791"/>
      <c r="FE28" s="33"/>
      <c r="FF28" s="33"/>
      <c r="FG28" s="33"/>
      <c r="FH28" s="33"/>
      <c r="FI28" s="33"/>
      <c r="FJ28" s="33"/>
      <c r="FK28" s="33"/>
      <c r="FL28" s="33"/>
      <c r="FM28" s="790"/>
      <c r="FN28" s="791"/>
      <c r="FO28" s="33"/>
      <c r="FP28" s="33"/>
      <c r="FQ28" s="33"/>
      <c r="FR28" s="33"/>
      <c r="FS28" s="33"/>
      <c r="FT28" s="33"/>
      <c r="FU28" s="33"/>
      <c r="FV28" s="33"/>
      <c r="FW28" s="790"/>
      <c r="FX28" s="791"/>
      <c r="FY28" s="33"/>
      <c r="FZ28" s="33"/>
      <c r="GA28" s="33"/>
      <c r="GB28" s="33"/>
      <c r="GC28" s="33"/>
      <c r="GD28" s="33"/>
      <c r="GE28" s="33"/>
      <c r="GF28" s="33"/>
      <c r="GG28" s="790"/>
      <c r="GH28" s="791"/>
      <c r="GI28" s="33"/>
      <c r="GJ28" s="33"/>
      <c r="GK28" s="33"/>
      <c r="GL28" s="33"/>
      <c r="GM28" s="33"/>
      <c r="GN28" s="33"/>
      <c r="GO28" s="33"/>
      <c r="GP28" s="33"/>
      <c r="GQ28" s="790"/>
      <c r="GR28" s="791"/>
      <c r="GS28" s="33"/>
      <c r="GT28" s="33"/>
      <c r="GU28" s="33"/>
      <c r="GV28" s="33"/>
      <c r="GW28" s="33"/>
      <c r="GX28" s="33"/>
      <c r="GY28" s="33"/>
      <c r="GZ28" s="33"/>
      <c r="HA28" s="790"/>
      <c r="HB28" s="791"/>
      <c r="HC28" s="33"/>
      <c r="HD28" s="33"/>
      <c r="HE28" s="33"/>
      <c r="HF28" s="33"/>
      <c r="HG28" s="33"/>
      <c r="HH28" s="33"/>
      <c r="HI28" s="33"/>
      <c r="HJ28" s="33"/>
      <c r="HK28" s="790"/>
      <c r="HL28" s="791"/>
      <c r="HM28" s="33"/>
      <c r="HN28" s="33"/>
      <c r="HO28" s="33"/>
      <c r="HP28" s="33"/>
      <c r="HQ28" s="33"/>
      <c r="HR28" s="33"/>
      <c r="HS28" s="33"/>
      <c r="HT28" s="33"/>
      <c r="HU28" s="790"/>
      <c r="HV28" s="791"/>
      <c r="HW28" s="33"/>
      <c r="HX28" s="33"/>
      <c r="HY28" s="33"/>
      <c r="HZ28" s="33"/>
      <c r="IA28" s="33"/>
      <c r="IB28" s="33"/>
      <c r="IC28" s="33"/>
      <c r="ID28" s="33"/>
      <c r="IE28" s="790"/>
      <c r="IF28" s="791"/>
      <c r="IG28" s="33"/>
      <c r="IH28" s="33"/>
      <c r="II28" s="33"/>
      <c r="IJ28" s="33"/>
      <c r="IK28" s="33"/>
      <c r="IL28" s="33"/>
      <c r="IM28" s="33"/>
      <c r="IN28" s="33"/>
      <c r="IO28" s="790"/>
      <c r="IP28" s="790"/>
      <c r="IQ28" s="788"/>
      <c r="IR28" s="792"/>
      <c r="IS28" s="792"/>
      <c r="IT28" s="792"/>
      <c r="IU28" s="792"/>
      <c r="IV28" s="792"/>
      <c r="IW28" s="792"/>
      <c r="IX28" s="507"/>
      <c r="IY28" s="193"/>
      <c r="IZ28" s="193"/>
      <c r="JA28" s="193"/>
      <c r="JB28" s="193"/>
      <c r="JC28" s="193"/>
      <c r="JD28" s="193"/>
      <c r="JE28" s="193"/>
      <c r="JF28" s="193"/>
      <c r="JG28" s="193"/>
      <c r="JH28" s="193"/>
    </row>
    <row r="29" spans="2:268" ht="15.75" thickBot="1" x14ac:dyDescent="0.3">
      <c r="B29" s="805"/>
      <c r="C29" s="820">
        <v>53.06</v>
      </c>
      <c r="D29" s="821">
        <v>11</v>
      </c>
      <c r="E29" s="821">
        <v>2.645</v>
      </c>
      <c r="F29" s="821">
        <v>0.93700000000000006</v>
      </c>
      <c r="G29" s="821">
        <v>2.0459999999999998</v>
      </c>
      <c r="H29" s="192"/>
      <c r="I29" s="832"/>
      <c r="J29" s="877"/>
      <c r="K29" s="876"/>
      <c r="L29" s="876"/>
      <c r="M29" s="876"/>
      <c r="N29" s="876"/>
      <c r="O29" s="887"/>
      <c r="P29" s="192"/>
      <c r="Q29" s="192"/>
      <c r="R29" s="692"/>
      <c r="S29" s="827"/>
      <c r="T29" s="692"/>
      <c r="U29" s="692"/>
      <c r="V29" s="692"/>
      <c r="W29" s="692"/>
      <c r="X29" s="807"/>
      <c r="Y29" s="46"/>
      <c r="AA29" s="61"/>
      <c r="AS29" s="193"/>
      <c r="AT29" s="507"/>
      <c r="AU29" s="789"/>
      <c r="AV29" s="789"/>
      <c r="AW29" s="789"/>
      <c r="AX29" s="791"/>
      <c r="AY29" s="33"/>
      <c r="AZ29" s="33"/>
      <c r="BA29" s="33"/>
      <c r="BB29" s="33"/>
      <c r="BC29" s="33"/>
      <c r="BD29" s="33"/>
      <c r="BE29" s="33"/>
      <c r="BF29" s="33"/>
      <c r="BG29" s="790"/>
      <c r="BH29" s="791"/>
      <c r="BI29" s="33"/>
      <c r="BJ29" s="33"/>
      <c r="BK29" s="33"/>
      <c r="BL29" s="33"/>
      <c r="BM29" s="33"/>
      <c r="BN29" s="33"/>
      <c r="BO29" s="33"/>
      <c r="BP29" s="33"/>
      <c r="BQ29" s="790"/>
      <c r="BR29" s="791"/>
      <c r="BS29" s="33"/>
      <c r="BT29" s="33"/>
      <c r="BU29" s="33"/>
      <c r="BV29" s="33"/>
      <c r="BW29" s="33"/>
      <c r="BX29" s="33"/>
      <c r="BY29" s="33"/>
      <c r="BZ29" s="33"/>
      <c r="CA29" s="790"/>
      <c r="CB29" s="791"/>
      <c r="CC29" s="33"/>
      <c r="CD29" s="33"/>
      <c r="CE29" s="33"/>
      <c r="CF29" s="33"/>
      <c r="CG29" s="33"/>
      <c r="CH29" s="33"/>
      <c r="CI29" s="33"/>
      <c r="CJ29" s="33"/>
      <c r="CK29" s="790"/>
      <c r="CL29" s="791"/>
      <c r="CM29" s="33"/>
      <c r="CN29" s="33"/>
      <c r="CO29" s="33"/>
      <c r="CP29" s="33"/>
      <c r="CQ29" s="33"/>
      <c r="CR29" s="33"/>
      <c r="CS29" s="33"/>
      <c r="CT29" s="33"/>
      <c r="CU29" s="790"/>
      <c r="CV29" s="791"/>
      <c r="CW29" s="33"/>
      <c r="CX29" s="33"/>
      <c r="CY29" s="33"/>
      <c r="CZ29" s="33"/>
      <c r="DA29" s="33"/>
      <c r="DB29" s="33"/>
      <c r="DC29" s="33"/>
      <c r="DD29" s="33"/>
      <c r="DE29" s="790"/>
      <c r="DF29" s="791"/>
      <c r="DG29" s="33"/>
      <c r="DH29" s="33"/>
      <c r="DI29" s="33"/>
      <c r="DJ29" s="33"/>
      <c r="DK29" s="33"/>
      <c r="DL29" s="33"/>
      <c r="DM29" s="33"/>
      <c r="DN29" s="33"/>
      <c r="DO29" s="790"/>
      <c r="DP29" s="791"/>
      <c r="DQ29" s="33"/>
      <c r="DR29" s="33"/>
      <c r="DS29" s="33"/>
      <c r="DT29" s="33"/>
      <c r="DU29" s="33"/>
      <c r="DV29" s="33"/>
      <c r="DW29" s="33"/>
      <c r="DX29" s="33"/>
      <c r="DY29" s="790"/>
      <c r="DZ29" s="791"/>
      <c r="EA29" s="33"/>
      <c r="EB29" s="33"/>
      <c r="EC29" s="33"/>
      <c r="ED29" s="33"/>
      <c r="EE29" s="33"/>
      <c r="EF29" s="33"/>
      <c r="EG29" s="33"/>
      <c r="EH29" s="33"/>
      <c r="EI29" s="790"/>
      <c r="EJ29" s="791"/>
      <c r="EK29" s="33"/>
      <c r="EL29" s="33"/>
      <c r="EM29" s="33"/>
      <c r="EN29" s="33"/>
      <c r="EO29" s="33"/>
      <c r="EP29" s="33"/>
      <c r="EQ29" s="33"/>
      <c r="ER29" s="33"/>
      <c r="ES29" s="790"/>
      <c r="ET29" s="791"/>
      <c r="EU29" s="33"/>
      <c r="EV29" s="33"/>
      <c r="EW29" s="33"/>
      <c r="EX29" s="33"/>
      <c r="EY29" s="33"/>
      <c r="EZ29" s="33"/>
      <c r="FA29" s="33"/>
      <c r="FB29" s="33"/>
      <c r="FC29" s="790"/>
      <c r="FD29" s="791"/>
      <c r="FE29" s="33"/>
      <c r="FF29" s="33"/>
      <c r="FG29" s="33"/>
      <c r="FH29" s="33"/>
      <c r="FI29" s="33"/>
      <c r="FJ29" s="33"/>
      <c r="FK29" s="33"/>
      <c r="FL29" s="33"/>
      <c r="FM29" s="790"/>
      <c r="FN29" s="791"/>
      <c r="FO29" s="33"/>
      <c r="FP29" s="33"/>
      <c r="FQ29" s="33"/>
      <c r="FR29" s="33"/>
      <c r="FS29" s="33"/>
      <c r="FT29" s="33"/>
      <c r="FU29" s="33"/>
      <c r="FV29" s="33"/>
      <c r="FW29" s="790"/>
      <c r="FX29" s="791"/>
      <c r="FY29" s="33"/>
      <c r="FZ29" s="33"/>
      <c r="GA29" s="33"/>
      <c r="GB29" s="33"/>
      <c r="GC29" s="33"/>
      <c r="GD29" s="33"/>
      <c r="GE29" s="33"/>
      <c r="GF29" s="33"/>
      <c r="GG29" s="790"/>
      <c r="GH29" s="791"/>
      <c r="GI29" s="33"/>
      <c r="GJ29" s="33"/>
      <c r="GK29" s="33"/>
      <c r="GL29" s="33"/>
      <c r="GM29" s="33"/>
      <c r="GN29" s="33"/>
      <c r="GO29" s="33"/>
      <c r="GP29" s="33"/>
      <c r="GQ29" s="790"/>
      <c r="GR29" s="791"/>
      <c r="GS29" s="33"/>
      <c r="GT29" s="33"/>
      <c r="GU29" s="33"/>
      <c r="GV29" s="33"/>
      <c r="GW29" s="33"/>
      <c r="GX29" s="33"/>
      <c r="GY29" s="33"/>
      <c r="GZ29" s="33"/>
      <c r="HA29" s="790"/>
      <c r="HB29" s="791"/>
      <c r="HC29" s="33"/>
      <c r="HD29" s="33"/>
      <c r="HE29" s="33"/>
      <c r="HF29" s="33"/>
      <c r="HG29" s="33"/>
      <c r="HH29" s="33"/>
      <c r="HI29" s="33"/>
      <c r="HJ29" s="33"/>
      <c r="HK29" s="790"/>
      <c r="HL29" s="791"/>
      <c r="HM29" s="33"/>
      <c r="HN29" s="33"/>
      <c r="HO29" s="33"/>
      <c r="HP29" s="33"/>
      <c r="HQ29" s="33"/>
      <c r="HR29" s="33"/>
      <c r="HS29" s="33"/>
      <c r="HT29" s="33"/>
      <c r="HU29" s="790"/>
      <c r="HV29" s="791"/>
      <c r="HW29" s="33"/>
      <c r="HX29" s="33"/>
      <c r="HY29" s="33"/>
      <c r="HZ29" s="33"/>
      <c r="IA29" s="33"/>
      <c r="IB29" s="33"/>
      <c r="IC29" s="33"/>
      <c r="ID29" s="33"/>
      <c r="IE29" s="790"/>
      <c r="IF29" s="791"/>
      <c r="IG29" s="33"/>
      <c r="IH29" s="33"/>
      <c r="II29" s="33"/>
      <c r="IJ29" s="33"/>
      <c r="IK29" s="33"/>
      <c r="IL29" s="33"/>
      <c r="IM29" s="33"/>
      <c r="IN29" s="33"/>
      <c r="IO29" s="790"/>
      <c r="IP29" s="790"/>
      <c r="IQ29" s="788"/>
      <c r="IR29" s="792"/>
      <c r="IS29" s="792"/>
      <c r="IT29" s="792"/>
      <c r="IU29" s="792"/>
      <c r="IV29" s="792"/>
      <c r="IW29" s="792"/>
      <c r="IX29" s="507"/>
      <c r="IY29" s="193"/>
      <c r="IZ29" s="193"/>
      <c r="JA29" s="193"/>
      <c r="JB29" s="193"/>
      <c r="JC29" s="193"/>
      <c r="JD29" s="193"/>
      <c r="JE29" s="193"/>
      <c r="JF29" s="193"/>
      <c r="JG29" s="193"/>
      <c r="JH29" s="193"/>
    </row>
    <row r="30" spans="2:268" ht="15.75" thickBot="1" x14ac:dyDescent="0.3">
      <c r="B30" s="805"/>
      <c r="C30" s="820">
        <v>57.06</v>
      </c>
      <c r="D30" s="821">
        <v>12</v>
      </c>
      <c r="E30" s="821">
        <v>2.645</v>
      </c>
      <c r="F30" s="821">
        <v>0.93700000000000006</v>
      </c>
      <c r="G30" s="821">
        <v>2.0459999999999998</v>
      </c>
      <c r="H30" s="192"/>
      <c r="I30" s="832"/>
      <c r="J30" s="834" t="s">
        <v>43</v>
      </c>
      <c r="K30" s="876" t="e">
        <f>((K28*K22*K21)+(K28*(K23+K24)))</f>
        <v>#VALUE!</v>
      </c>
      <c r="L30" s="876" t="s">
        <v>373</v>
      </c>
      <c r="M30" s="876"/>
      <c r="N30" s="876"/>
      <c r="O30" s="887"/>
      <c r="P30" s="192"/>
      <c r="Q30" s="192"/>
      <c r="R30" s="692"/>
      <c r="S30" s="827"/>
      <c r="T30" s="692"/>
      <c r="U30" s="692"/>
      <c r="V30" s="692"/>
      <c r="W30" s="692"/>
      <c r="X30" s="807"/>
      <c r="Y30" s="46"/>
      <c r="AS30" s="193"/>
      <c r="AT30" s="507"/>
      <c r="AU30" s="789"/>
      <c r="AV30" s="789"/>
      <c r="AW30" s="789"/>
      <c r="AX30" s="791"/>
      <c r="AY30" s="33"/>
      <c r="AZ30" s="33"/>
      <c r="BA30" s="33"/>
      <c r="BB30" s="33"/>
      <c r="BC30" s="33"/>
      <c r="BD30" s="33"/>
      <c r="BE30" s="33"/>
      <c r="BF30" s="33"/>
      <c r="BG30" s="790"/>
      <c r="BH30" s="791"/>
      <c r="BI30" s="33"/>
      <c r="BJ30" s="33"/>
      <c r="BK30" s="33"/>
      <c r="BL30" s="33"/>
      <c r="BM30" s="33"/>
      <c r="BN30" s="33"/>
      <c r="BO30" s="33"/>
      <c r="BP30" s="33"/>
      <c r="BQ30" s="790"/>
      <c r="BR30" s="791"/>
      <c r="BS30" s="33"/>
      <c r="BT30" s="33"/>
      <c r="BU30" s="33"/>
      <c r="BV30" s="33"/>
      <c r="BW30" s="33"/>
      <c r="BX30" s="33"/>
      <c r="BY30" s="33"/>
      <c r="BZ30" s="33"/>
      <c r="CA30" s="790"/>
      <c r="CB30" s="791"/>
      <c r="CC30" s="33"/>
      <c r="CD30" s="33"/>
      <c r="CE30" s="33"/>
      <c r="CF30" s="33"/>
      <c r="CG30" s="33"/>
      <c r="CH30" s="33"/>
      <c r="CI30" s="33"/>
      <c r="CJ30" s="33"/>
      <c r="CK30" s="790"/>
      <c r="CL30" s="791"/>
      <c r="CM30" s="33"/>
      <c r="CN30" s="33"/>
      <c r="CO30" s="33"/>
      <c r="CP30" s="33"/>
      <c r="CQ30" s="33"/>
      <c r="CR30" s="33"/>
      <c r="CS30" s="33"/>
      <c r="CT30" s="33"/>
      <c r="CU30" s="790"/>
      <c r="CV30" s="791"/>
      <c r="CW30" s="33"/>
      <c r="CX30" s="33"/>
      <c r="CY30" s="33"/>
      <c r="CZ30" s="33"/>
      <c r="DA30" s="33"/>
      <c r="DB30" s="33"/>
      <c r="DC30" s="33"/>
      <c r="DD30" s="33"/>
      <c r="DE30" s="790"/>
      <c r="DF30" s="791"/>
      <c r="DG30" s="33"/>
      <c r="DH30" s="33"/>
      <c r="DI30" s="33"/>
      <c r="DJ30" s="33"/>
      <c r="DK30" s="33"/>
      <c r="DL30" s="33"/>
      <c r="DM30" s="33"/>
      <c r="DN30" s="33"/>
      <c r="DO30" s="790"/>
      <c r="DP30" s="791"/>
      <c r="DQ30" s="33"/>
      <c r="DR30" s="33"/>
      <c r="DS30" s="33"/>
      <c r="DT30" s="33"/>
      <c r="DU30" s="33"/>
      <c r="DV30" s="33"/>
      <c r="DW30" s="33"/>
      <c r="DX30" s="33"/>
      <c r="DY30" s="790"/>
      <c r="DZ30" s="791"/>
      <c r="EA30" s="33"/>
      <c r="EB30" s="33"/>
      <c r="EC30" s="33"/>
      <c r="ED30" s="33"/>
      <c r="EE30" s="33"/>
      <c r="EF30" s="33"/>
      <c r="EG30" s="33"/>
      <c r="EH30" s="33"/>
      <c r="EI30" s="790"/>
      <c r="EJ30" s="791"/>
      <c r="EK30" s="33"/>
      <c r="EL30" s="33"/>
      <c r="EM30" s="33"/>
      <c r="EN30" s="33"/>
      <c r="EO30" s="33"/>
      <c r="EP30" s="33"/>
      <c r="EQ30" s="33"/>
      <c r="ER30" s="33"/>
      <c r="ES30" s="790"/>
      <c r="ET30" s="791"/>
      <c r="EU30" s="33"/>
      <c r="EV30" s="33"/>
      <c r="EW30" s="33"/>
      <c r="EX30" s="33"/>
      <c r="EY30" s="33"/>
      <c r="EZ30" s="33"/>
      <c r="FA30" s="33"/>
      <c r="FB30" s="33"/>
      <c r="FC30" s="790"/>
      <c r="FD30" s="791"/>
      <c r="FE30" s="33"/>
      <c r="FF30" s="33"/>
      <c r="FG30" s="33"/>
      <c r="FH30" s="33"/>
      <c r="FI30" s="33"/>
      <c r="FJ30" s="33"/>
      <c r="FK30" s="33"/>
      <c r="FL30" s="33"/>
      <c r="FM30" s="790"/>
      <c r="FN30" s="791"/>
      <c r="FO30" s="33"/>
      <c r="FP30" s="33"/>
      <c r="FQ30" s="33"/>
      <c r="FR30" s="33"/>
      <c r="FS30" s="33"/>
      <c r="FT30" s="33"/>
      <c r="FU30" s="33"/>
      <c r="FV30" s="33"/>
      <c r="FW30" s="790"/>
      <c r="FX30" s="791"/>
      <c r="FY30" s="33"/>
      <c r="FZ30" s="33"/>
      <c r="GA30" s="33"/>
      <c r="GB30" s="33"/>
      <c r="GC30" s="33"/>
      <c r="GD30" s="33"/>
      <c r="GE30" s="33"/>
      <c r="GF30" s="33"/>
      <c r="GG30" s="790"/>
      <c r="GH30" s="791"/>
      <c r="GI30" s="33"/>
      <c r="GJ30" s="33"/>
      <c r="GK30" s="33"/>
      <c r="GL30" s="33"/>
      <c r="GM30" s="33"/>
      <c r="GN30" s="33"/>
      <c r="GO30" s="33"/>
      <c r="GP30" s="33"/>
      <c r="GQ30" s="790"/>
      <c r="GR30" s="791"/>
      <c r="GS30" s="33"/>
      <c r="GT30" s="33"/>
      <c r="GU30" s="33"/>
      <c r="GV30" s="33"/>
      <c r="GW30" s="33"/>
      <c r="GX30" s="33"/>
      <c r="GY30" s="33"/>
      <c r="GZ30" s="33"/>
      <c r="HA30" s="790"/>
      <c r="HB30" s="791"/>
      <c r="HC30" s="33"/>
      <c r="HD30" s="33"/>
      <c r="HE30" s="33"/>
      <c r="HF30" s="33"/>
      <c r="HG30" s="33"/>
      <c r="HH30" s="33"/>
      <c r="HI30" s="33"/>
      <c r="HJ30" s="33"/>
      <c r="HK30" s="790"/>
      <c r="HL30" s="791"/>
      <c r="HM30" s="33"/>
      <c r="HN30" s="33"/>
      <c r="HO30" s="33"/>
      <c r="HP30" s="33"/>
      <c r="HQ30" s="33"/>
      <c r="HR30" s="33"/>
      <c r="HS30" s="33"/>
      <c r="HT30" s="33"/>
      <c r="HU30" s="790"/>
      <c r="HV30" s="791"/>
      <c r="HW30" s="33"/>
      <c r="HX30" s="33"/>
      <c r="HY30" s="33"/>
      <c r="HZ30" s="33"/>
      <c r="IA30" s="33"/>
      <c r="IB30" s="33"/>
      <c r="IC30" s="33"/>
      <c r="ID30" s="33"/>
      <c r="IE30" s="790"/>
      <c r="IF30" s="791"/>
      <c r="IG30" s="33"/>
      <c r="IH30" s="33"/>
      <c r="II30" s="33"/>
      <c r="IJ30" s="33"/>
      <c r="IK30" s="33"/>
      <c r="IL30" s="33"/>
      <c r="IM30" s="33"/>
      <c r="IN30" s="33"/>
      <c r="IO30" s="790"/>
      <c r="IP30" s="790"/>
      <c r="IQ30" s="788"/>
      <c r="IR30" s="792"/>
      <c r="IS30" s="792"/>
      <c r="IT30" s="792"/>
      <c r="IU30" s="792"/>
      <c r="IV30" s="792"/>
      <c r="IW30" s="792"/>
      <c r="IX30" s="507"/>
      <c r="IY30" s="193"/>
      <c r="IZ30" s="193"/>
      <c r="JA30" s="193"/>
      <c r="JB30" s="193"/>
      <c r="JC30" s="193"/>
      <c r="JD30" s="193"/>
      <c r="JE30" s="193"/>
      <c r="JF30" s="193"/>
      <c r="JG30" s="193"/>
      <c r="JH30" s="193"/>
    </row>
    <row r="31" spans="2:268" ht="15.75" thickBot="1" x14ac:dyDescent="0.3">
      <c r="B31" s="805"/>
      <c r="C31" s="820">
        <v>61.06</v>
      </c>
      <c r="D31" s="821">
        <v>13</v>
      </c>
      <c r="E31" s="821">
        <v>2.645</v>
      </c>
      <c r="F31" s="821">
        <v>0.93700000000000006</v>
      </c>
      <c r="G31" s="821">
        <v>2.0459999999999998</v>
      </c>
      <c r="H31" s="192"/>
      <c r="I31" s="832"/>
      <c r="J31" s="877"/>
      <c r="K31" s="876"/>
      <c r="L31" s="876"/>
      <c r="M31" s="876"/>
      <c r="N31" s="876"/>
      <c r="O31" s="887"/>
      <c r="P31" s="192"/>
      <c r="Q31" s="192"/>
      <c r="R31" s="692"/>
      <c r="S31" s="827"/>
      <c r="T31" s="692"/>
      <c r="U31" s="692"/>
      <c r="V31" s="692"/>
      <c r="W31" s="692"/>
      <c r="X31" s="807"/>
      <c r="Y31" s="46"/>
      <c r="AS31" s="193"/>
      <c r="AT31" s="507"/>
      <c r="AU31" s="789"/>
      <c r="AV31" s="789"/>
      <c r="AW31" s="789"/>
      <c r="AX31" s="791"/>
      <c r="AY31" s="33"/>
      <c r="AZ31" s="33"/>
      <c r="BA31" s="33"/>
      <c r="BB31" s="33"/>
      <c r="BC31" s="33"/>
      <c r="BD31" s="33"/>
      <c r="BE31" s="33"/>
      <c r="BF31" s="33"/>
      <c r="BG31" s="790"/>
      <c r="BH31" s="791"/>
      <c r="BI31" s="33"/>
      <c r="BJ31" s="33"/>
      <c r="BK31" s="33"/>
      <c r="BL31" s="33"/>
      <c r="BM31" s="33"/>
      <c r="BN31" s="33"/>
      <c r="BO31" s="33"/>
      <c r="BP31" s="33"/>
      <c r="BQ31" s="790"/>
      <c r="BR31" s="791"/>
      <c r="BS31" s="33"/>
      <c r="BT31" s="33"/>
      <c r="BU31" s="33"/>
      <c r="BV31" s="33"/>
      <c r="BW31" s="33"/>
      <c r="BX31" s="33"/>
      <c r="BY31" s="33"/>
      <c r="BZ31" s="33"/>
      <c r="CA31" s="790"/>
      <c r="CB31" s="791"/>
      <c r="CC31" s="33"/>
      <c r="CD31" s="33"/>
      <c r="CE31" s="33"/>
      <c r="CF31" s="33"/>
      <c r="CG31" s="33"/>
      <c r="CH31" s="33"/>
      <c r="CI31" s="33"/>
      <c r="CJ31" s="33"/>
      <c r="CK31" s="790"/>
      <c r="CL31" s="791"/>
      <c r="CM31" s="33"/>
      <c r="CN31" s="33"/>
      <c r="CO31" s="33"/>
      <c r="CP31" s="33"/>
      <c r="CQ31" s="33"/>
      <c r="CR31" s="33"/>
      <c r="CS31" s="33"/>
      <c r="CT31" s="33"/>
      <c r="CU31" s="790"/>
      <c r="CV31" s="791"/>
      <c r="CW31" s="33"/>
      <c r="CX31" s="33"/>
      <c r="CY31" s="33"/>
      <c r="CZ31" s="33"/>
      <c r="DA31" s="33"/>
      <c r="DB31" s="33"/>
      <c r="DC31" s="33"/>
      <c r="DD31" s="33"/>
      <c r="DE31" s="790"/>
      <c r="DF31" s="791"/>
      <c r="DG31" s="33"/>
      <c r="DH31" s="33"/>
      <c r="DI31" s="33"/>
      <c r="DJ31" s="33"/>
      <c r="DK31" s="33"/>
      <c r="DL31" s="33"/>
      <c r="DM31" s="33"/>
      <c r="DN31" s="33"/>
      <c r="DO31" s="790"/>
      <c r="DP31" s="791"/>
      <c r="DQ31" s="33"/>
      <c r="DR31" s="33"/>
      <c r="DS31" s="33"/>
      <c r="DT31" s="33"/>
      <c r="DU31" s="33"/>
      <c r="DV31" s="33"/>
      <c r="DW31" s="33"/>
      <c r="DX31" s="33"/>
      <c r="DY31" s="790"/>
      <c r="DZ31" s="791"/>
      <c r="EA31" s="33"/>
      <c r="EB31" s="33"/>
      <c r="EC31" s="33"/>
      <c r="ED31" s="33"/>
      <c r="EE31" s="33"/>
      <c r="EF31" s="33"/>
      <c r="EG31" s="33"/>
      <c r="EH31" s="33"/>
      <c r="EI31" s="790"/>
      <c r="EJ31" s="791"/>
      <c r="EK31" s="33"/>
      <c r="EL31" s="33"/>
      <c r="EM31" s="33"/>
      <c r="EN31" s="33"/>
      <c r="EO31" s="33"/>
      <c r="EP31" s="33"/>
      <c r="EQ31" s="33"/>
      <c r="ER31" s="33"/>
      <c r="ES31" s="790"/>
      <c r="ET31" s="791"/>
      <c r="EU31" s="33"/>
      <c r="EV31" s="33"/>
      <c r="EW31" s="33"/>
      <c r="EX31" s="33"/>
      <c r="EY31" s="33"/>
      <c r="EZ31" s="33"/>
      <c r="FA31" s="33"/>
      <c r="FB31" s="33"/>
      <c r="FC31" s="790"/>
      <c r="FD31" s="791"/>
      <c r="FE31" s="33"/>
      <c r="FF31" s="33"/>
      <c r="FG31" s="33"/>
      <c r="FH31" s="33"/>
      <c r="FI31" s="33"/>
      <c r="FJ31" s="33"/>
      <c r="FK31" s="33"/>
      <c r="FL31" s="33"/>
      <c r="FM31" s="790"/>
      <c r="FN31" s="791"/>
      <c r="FO31" s="33"/>
      <c r="FP31" s="33"/>
      <c r="FQ31" s="33"/>
      <c r="FR31" s="33"/>
      <c r="FS31" s="33"/>
      <c r="FT31" s="33"/>
      <c r="FU31" s="33"/>
      <c r="FV31" s="33"/>
      <c r="FW31" s="790"/>
      <c r="FX31" s="791"/>
      <c r="FY31" s="33"/>
      <c r="FZ31" s="33"/>
      <c r="GA31" s="33"/>
      <c r="GB31" s="33"/>
      <c r="GC31" s="33"/>
      <c r="GD31" s="33"/>
      <c r="GE31" s="33"/>
      <c r="GF31" s="33"/>
      <c r="GG31" s="790"/>
      <c r="GH31" s="791"/>
      <c r="GI31" s="33"/>
      <c r="GJ31" s="33"/>
      <c r="GK31" s="33"/>
      <c r="GL31" s="33"/>
      <c r="GM31" s="33"/>
      <c r="GN31" s="33"/>
      <c r="GO31" s="33"/>
      <c r="GP31" s="33"/>
      <c r="GQ31" s="790"/>
      <c r="GR31" s="791"/>
      <c r="GS31" s="33"/>
      <c r="GT31" s="33"/>
      <c r="GU31" s="33"/>
      <c r="GV31" s="33"/>
      <c r="GW31" s="33"/>
      <c r="GX31" s="33"/>
      <c r="GY31" s="33"/>
      <c r="GZ31" s="33"/>
      <c r="HA31" s="790"/>
      <c r="HB31" s="791"/>
      <c r="HC31" s="33"/>
      <c r="HD31" s="33"/>
      <c r="HE31" s="33"/>
      <c r="HF31" s="33"/>
      <c r="HG31" s="33"/>
      <c r="HH31" s="33"/>
      <c r="HI31" s="33"/>
      <c r="HJ31" s="33"/>
      <c r="HK31" s="790"/>
      <c r="HL31" s="791"/>
      <c r="HM31" s="33"/>
      <c r="HN31" s="33"/>
      <c r="HO31" s="33"/>
      <c r="HP31" s="33"/>
      <c r="HQ31" s="33"/>
      <c r="HR31" s="33"/>
      <c r="HS31" s="33"/>
      <c r="HT31" s="33"/>
      <c r="HU31" s="790"/>
      <c r="HV31" s="791"/>
      <c r="HW31" s="33"/>
      <c r="HX31" s="33"/>
      <c r="HY31" s="33"/>
      <c r="HZ31" s="33"/>
      <c r="IA31" s="33"/>
      <c r="IB31" s="33"/>
      <c r="IC31" s="33"/>
      <c r="ID31" s="33"/>
      <c r="IE31" s="790"/>
      <c r="IF31" s="791"/>
      <c r="IG31" s="33"/>
      <c r="IH31" s="33"/>
      <c r="II31" s="33"/>
      <c r="IJ31" s="33"/>
      <c r="IK31" s="33"/>
      <c r="IL31" s="33"/>
      <c r="IM31" s="33"/>
      <c r="IN31" s="33"/>
      <c r="IO31" s="790"/>
      <c r="IP31" s="790"/>
      <c r="IQ31" s="788"/>
      <c r="IR31" s="792"/>
      <c r="IS31" s="792"/>
      <c r="IT31" s="792"/>
      <c r="IU31" s="792"/>
      <c r="IV31" s="792"/>
      <c r="IW31" s="792"/>
      <c r="IX31" s="507"/>
      <c r="IY31" s="193"/>
      <c r="IZ31" s="193"/>
      <c r="JA31" s="193"/>
      <c r="JB31" s="193"/>
      <c r="JC31" s="193"/>
      <c r="JD31" s="193"/>
      <c r="JE31" s="193"/>
      <c r="JF31" s="193"/>
      <c r="JG31" s="193"/>
      <c r="JH31" s="193"/>
    </row>
    <row r="32" spans="2:268" ht="15.75" thickBot="1" x14ac:dyDescent="0.3">
      <c r="B32" s="805"/>
      <c r="C32" s="820">
        <v>65.06</v>
      </c>
      <c r="D32" s="821">
        <v>14</v>
      </c>
      <c r="E32" s="821">
        <v>2.645</v>
      </c>
      <c r="F32" s="821">
        <v>0.93700000000000006</v>
      </c>
      <c r="G32" s="821">
        <v>2.0459999999999998</v>
      </c>
      <c r="H32" s="192"/>
      <c r="I32" s="832"/>
      <c r="J32" s="877"/>
      <c r="K32" s="876"/>
      <c r="L32" s="876"/>
      <c r="M32" s="876"/>
      <c r="N32" s="876"/>
      <c r="O32" s="876"/>
      <c r="P32" s="692"/>
      <c r="Q32" s="692"/>
      <c r="R32" s="692"/>
      <c r="S32" s="827"/>
      <c r="T32" s="692"/>
      <c r="U32" s="692"/>
      <c r="V32" s="692"/>
      <c r="W32" s="692"/>
      <c r="X32" s="807"/>
      <c r="Y32" s="46"/>
      <c r="AS32" s="193"/>
      <c r="AT32" s="507"/>
      <c r="AU32" s="789"/>
      <c r="AV32" s="789"/>
      <c r="AW32" s="789"/>
      <c r="AX32" s="791"/>
      <c r="AY32" s="33"/>
      <c r="AZ32" s="33"/>
      <c r="BA32" s="33"/>
      <c r="BB32" s="33"/>
      <c r="BC32" s="33"/>
      <c r="BD32" s="33"/>
      <c r="BE32" s="33"/>
      <c r="BF32" s="33"/>
      <c r="BG32" s="790"/>
      <c r="BH32" s="791"/>
      <c r="BI32" s="33"/>
      <c r="BJ32" s="33"/>
      <c r="BK32" s="33"/>
      <c r="BL32" s="33"/>
      <c r="BM32" s="33"/>
      <c r="BN32" s="33"/>
      <c r="BO32" s="33"/>
      <c r="BP32" s="33"/>
      <c r="BQ32" s="790"/>
      <c r="BR32" s="791"/>
      <c r="BS32" s="33"/>
      <c r="BT32" s="33"/>
      <c r="BU32" s="33"/>
      <c r="BV32" s="33"/>
      <c r="BW32" s="33"/>
      <c r="BX32" s="33"/>
      <c r="BY32" s="33"/>
      <c r="BZ32" s="33"/>
      <c r="CA32" s="790"/>
      <c r="CB32" s="791"/>
      <c r="CC32" s="33"/>
      <c r="CD32" s="33"/>
      <c r="CE32" s="33"/>
      <c r="CF32" s="33"/>
      <c r="CG32" s="33"/>
      <c r="CH32" s="33"/>
      <c r="CI32" s="33"/>
      <c r="CJ32" s="33"/>
      <c r="CK32" s="790"/>
      <c r="CL32" s="791"/>
      <c r="CM32" s="33"/>
      <c r="CN32" s="33"/>
      <c r="CO32" s="33"/>
      <c r="CP32" s="33"/>
      <c r="CQ32" s="33"/>
      <c r="CR32" s="33"/>
      <c r="CS32" s="33"/>
      <c r="CT32" s="33"/>
      <c r="CU32" s="790"/>
      <c r="CV32" s="791"/>
      <c r="CW32" s="33"/>
      <c r="CX32" s="33"/>
      <c r="CY32" s="33"/>
      <c r="CZ32" s="33"/>
      <c r="DA32" s="33"/>
      <c r="DB32" s="33"/>
      <c r="DC32" s="33"/>
      <c r="DD32" s="33"/>
      <c r="DE32" s="790"/>
      <c r="DF32" s="791"/>
      <c r="DG32" s="33"/>
      <c r="DH32" s="33"/>
      <c r="DI32" s="33"/>
      <c r="DJ32" s="33"/>
      <c r="DK32" s="33"/>
      <c r="DL32" s="33"/>
      <c r="DM32" s="33"/>
      <c r="DN32" s="33"/>
      <c r="DO32" s="790"/>
      <c r="DP32" s="791"/>
      <c r="DQ32" s="33"/>
      <c r="DR32" s="33"/>
      <c r="DS32" s="33"/>
      <c r="DT32" s="33"/>
      <c r="DU32" s="33"/>
      <c r="DV32" s="33"/>
      <c r="DW32" s="33"/>
      <c r="DX32" s="33"/>
      <c r="DY32" s="790"/>
      <c r="DZ32" s="791"/>
      <c r="EA32" s="33"/>
      <c r="EB32" s="33"/>
      <c r="EC32" s="33"/>
      <c r="ED32" s="33"/>
      <c r="EE32" s="33"/>
      <c r="EF32" s="33"/>
      <c r="EG32" s="33"/>
      <c r="EH32" s="33"/>
      <c r="EI32" s="790"/>
      <c r="EJ32" s="791"/>
      <c r="EK32" s="33"/>
      <c r="EL32" s="33"/>
      <c r="EM32" s="33"/>
      <c r="EN32" s="33"/>
      <c r="EO32" s="33"/>
      <c r="EP32" s="33"/>
      <c r="EQ32" s="33"/>
      <c r="ER32" s="33"/>
      <c r="ES32" s="790"/>
      <c r="ET32" s="791"/>
      <c r="EU32" s="33"/>
      <c r="EV32" s="33"/>
      <c r="EW32" s="33"/>
      <c r="EX32" s="33"/>
      <c r="EY32" s="33"/>
      <c r="EZ32" s="33"/>
      <c r="FA32" s="33"/>
      <c r="FB32" s="33"/>
      <c r="FC32" s="790"/>
      <c r="FD32" s="791"/>
      <c r="FE32" s="33"/>
      <c r="FF32" s="33"/>
      <c r="FG32" s="33"/>
      <c r="FH32" s="33"/>
      <c r="FI32" s="33"/>
      <c r="FJ32" s="33"/>
      <c r="FK32" s="33"/>
      <c r="FL32" s="33"/>
      <c r="FM32" s="790"/>
      <c r="FN32" s="791"/>
      <c r="FO32" s="33"/>
      <c r="FP32" s="33"/>
      <c r="FQ32" s="33"/>
      <c r="FR32" s="33"/>
      <c r="FS32" s="33"/>
      <c r="FT32" s="33"/>
      <c r="FU32" s="33"/>
      <c r="FV32" s="33"/>
      <c r="FW32" s="790"/>
      <c r="FX32" s="791"/>
      <c r="FY32" s="33"/>
      <c r="FZ32" s="33"/>
      <c r="GA32" s="33"/>
      <c r="GB32" s="33"/>
      <c r="GC32" s="33"/>
      <c r="GD32" s="33"/>
      <c r="GE32" s="33"/>
      <c r="GF32" s="33"/>
      <c r="GG32" s="790"/>
      <c r="GH32" s="791"/>
      <c r="GI32" s="33"/>
      <c r="GJ32" s="33"/>
      <c r="GK32" s="33"/>
      <c r="GL32" s="33"/>
      <c r="GM32" s="33"/>
      <c r="GN32" s="33"/>
      <c r="GO32" s="33"/>
      <c r="GP32" s="33"/>
      <c r="GQ32" s="790"/>
      <c r="GR32" s="791"/>
      <c r="GS32" s="33"/>
      <c r="GT32" s="33"/>
      <c r="GU32" s="33"/>
      <c r="GV32" s="33"/>
      <c r="GW32" s="33"/>
      <c r="GX32" s="33"/>
      <c r="GY32" s="33"/>
      <c r="GZ32" s="33"/>
      <c r="HA32" s="790"/>
      <c r="HB32" s="791"/>
      <c r="HC32" s="33"/>
      <c r="HD32" s="33"/>
      <c r="HE32" s="33"/>
      <c r="HF32" s="33"/>
      <c r="HG32" s="33"/>
      <c r="HH32" s="33"/>
      <c r="HI32" s="33"/>
      <c r="HJ32" s="33"/>
      <c r="HK32" s="790"/>
      <c r="HL32" s="791"/>
      <c r="HM32" s="33"/>
      <c r="HN32" s="33"/>
      <c r="HO32" s="33"/>
      <c r="HP32" s="33"/>
      <c r="HQ32" s="33"/>
      <c r="HR32" s="33"/>
      <c r="HS32" s="33"/>
      <c r="HT32" s="33"/>
      <c r="HU32" s="790"/>
      <c r="HV32" s="791"/>
      <c r="HW32" s="33"/>
      <c r="HX32" s="33"/>
      <c r="HY32" s="33"/>
      <c r="HZ32" s="33"/>
      <c r="IA32" s="33"/>
      <c r="IB32" s="33"/>
      <c r="IC32" s="33"/>
      <c r="ID32" s="33"/>
      <c r="IE32" s="790"/>
      <c r="IF32" s="791"/>
      <c r="IG32" s="33"/>
      <c r="IH32" s="33"/>
      <c r="II32" s="33"/>
      <c r="IJ32" s="33"/>
      <c r="IK32" s="33"/>
      <c r="IL32" s="33"/>
      <c r="IM32" s="33"/>
      <c r="IN32" s="33"/>
      <c r="IO32" s="790"/>
      <c r="IP32" s="790"/>
      <c r="IQ32" s="788"/>
      <c r="IR32" s="792"/>
      <c r="IS32" s="792"/>
      <c r="IT32" s="792"/>
      <c r="IU32" s="792"/>
      <c r="IV32" s="792"/>
      <c r="IW32" s="792"/>
      <c r="IX32" s="507"/>
      <c r="IY32" s="193"/>
      <c r="IZ32" s="193"/>
      <c r="JA32" s="193"/>
      <c r="JB32" s="193"/>
      <c r="JC32" s="193"/>
      <c r="JD32" s="193"/>
      <c r="JE32" s="193"/>
      <c r="JF32" s="193"/>
      <c r="JG32" s="193"/>
      <c r="JH32" s="193"/>
    </row>
    <row r="33" spans="2:268" ht="15.75" thickBot="1" x14ac:dyDescent="0.3">
      <c r="B33" s="805"/>
      <c r="C33" s="820">
        <v>69.06</v>
      </c>
      <c r="D33" s="821">
        <v>15</v>
      </c>
      <c r="E33" s="821">
        <v>2.645</v>
      </c>
      <c r="F33" s="821">
        <v>0.93700000000000006</v>
      </c>
      <c r="G33" s="821">
        <v>2.0459999999999998</v>
      </c>
      <c r="H33" s="192"/>
      <c r="I33" s="547"/>
      <c r="J33" s="40"/>
      <c r="K33" s="692"/>
      <c r="L33" s="692"/>
      <c r="M33" s="692"/>
      <c r="N33" s="692"/>
      <c r="O33" s="692"/>
      <c r="P33" s="692"/>
      <c r="Q33" s="692"/>
      <c r="R33" s="692"/>
      <c r="S33" s="827"/>
      <c r="T33" s="692"/>
      <c r="U33" s="692"/>
      <c r="V33" s="692"/>
      <c r="W33" s="692"/>
      <c r="X33" s="807"/>
      <c r="Y33" s="46"/>
      <c r="AF33" s="135"/>
      <c r="AS33" s="193"/>
      <c r="AT33" s="507"/>
      <c r="AU33" s="789"/>
      <c r="AV33" s="789"/>
      <c r="AW33" s="789"/>
      <c r="AX33" s="791"/>
      <c r="AY33" s="33"/>
      <c r="AZ33" s="33"/>
      <c r="BA33" s="33"/>
      <c r="BB33" s="33"/>
      <c r="BC33" s="33"/>
      <c r="BD33" s="33"/>
      <c r="BE33" s="33"/>
      <c r="BF33" s="33"/>
      <c r="BG33" s="790"/>
      <c r="BH33" s="791"/>
      <c r="BI33" s="33"/>
      <c r="BJ33" s="33"/>
      <c r="BK33" s="33"/>
      <c r="BL33" s="33"/>
      <c r="BM33" s="33"/>
      <c r="BN33" s="33"/>
      <c r="BO33" s="33"/>
      <c r="BP33" s="33"/>
      <c r="BQ33" s="790"/>
      <c r="BR33" s="791"/>
      <c r="BS33" s="33"/>
      <c r="BT33" s="33"/>
      <c r="BU33" s="33"/>
      <c r="BV33" s="33"/>
      <c r="BW33" s="33"/>
      <c r="BX33" s="33"/>
      <c r="BY33" s="33"/>
      <c r="BZ33" s="33"/>
      <c r="CA33" s="790"/>
      <c r="CB33" s="791"/>
      <c r="CC33" s="33"/>
      <c r="CD33" s="33"/>
      <c r="CE33" s="33"/>
      <c r="CF33" s="33"/>
      <c r="CG33" s="33"/>
      <c r="CH33" s="33"/>
      <c r="CI33" s="33"/>
      <c r="CJ33" s="33"/>
      <c r="CK33" s="790"/>
      <c r="CL33" s="791"/>
      <c r="CM33" s="33"/>
      <c r="CN33" s="33"/>
      <c r="CO33" s="33"/>
      <c r="CP33" s="33"/>
      <c r="CQ33" s="33"/>
      <c r="CR33" s="33"/>
      <c r="CS33" s="33"/>
      <c r="CT33" s="33"/>
      <c r="CU33" s="790"/>
      <c r="CV33" s="791"/>
      <c r="CW33" s="33"/>
      <c r="CX33" s="33"/>
      <c r="CY33" s="33"/>
      <c r="CZ33" s="33"/>
      <c r="DA33" s="33"/>
      <c r="DB33" s="33"/>
      <c r="DC33" s="33"/>
      <c r="DD33" s="33"/>
      <c r="DE33" s="790"/>
      <c r="DF33" s="791"/>
      <c r="DG33" s="33"/>
      <c r="DH33" s="33"/>
      <c r="DI33" s="33"/>
      <c r="DJ33" s="33"/>
      <c r="DK33" s="33"/>
      <c r="DL33" s="33"/>
      <c r="DM33" s="33"/>
      <c r="DN33" s="33"/>
      <c r="DO33" s="790"/>
      <c r="DP33" s="791"/>
      <c r="DQ33" s="33"/>
      <c r="DR33" s="33"/>
      <c r="DS33" s="33"/>
      <c r="DT33" s="33"/>
      <c r="DU33" s="33"/>
      <c r="DV33" s="33"/>
      <c r="DW33" s="33"/>
      <c r="DX33" s="33"/>
      <c r="DY33" s="790"/>
      <c r="DZ33" s="791"/>
      <c r="EA33" s="33"/>
      <c r="EB33" s="33"/>
      <c r="EC33" s="33"/>
      <c r="ED33" s="33"/>
      <c r="EE33" s="33"/>
      <c r="EF33" s="33"/>
      <c r="EG33" s="33"/>
      <c r="EH33" s="33"/>
      <c r="EI33" s="790"/>
      <c r="EJ33" s="791"/>
      <c r="EK33" s="33"/>
      <c r="EL33" s="33"/>
      <c r="EM33" s="33"/>
      <c r="EN33" s="33"/>
      <c r="EO33" s="33"/>
      <c r="EP33" s="33"/>
      <c r="EQ33" s="33"/>
      <c r="ER33" s="33"/>
      <c r="ES33" s="790"/>
      <c r="ET33" s="791"/>
      <c r="EU33" s="33"/>
      <c r="EV33" s="33"/>
      <c r="EW33" s="33"/>
      <c r="EX33" s="33"/>
      <c r="EY33" s="33"/>
      <c r="EZ33" s="33"/>
      <c r="FA33" s="33"/>
      <c r="FB33" s="33"/>
      <c r="FC33" s="790"/>
      <c r="FD33" s="791"/>
      <c r="FE33" s="33"/>
      <c r="FF33" s="33"/>
      <c r="FG33" s="33"/>
      <c r="FH33" s="33"/>
      <c r="FI33" s="33"/>
      <c r="FJ33" s="33"/>
      <c r="FK33" s="33"/>
      <c r="FL33" s="33"/>
      <c r="FM33" s="790"/>
      <c r="FN33" s="791"/>
      <c r="FO33" s="791"/>
      <c r="FP33" s="33"/>
      <c r="FQ33" s="33"/>
      <c r="FR33" s="33"/>
      <c r="FS33" s="33"/>
      <c r="FT33" s="33"/>
      <c r="FU33" s="33"/>
      <c r="FV33" s="33"/>
      <c r="FW33" s="33"/>
      <c r="FX33" s="791"/>
      <c r="FY33" s="791"/>
      <c r="FZ33" s="33"/>
      <c r="GA33" s="33"/>
      <c r="GB33" s="33"/>
      <c r="GC33" s="33"/>
      <c r="GD33" s="33"/>
      <c r="GE33" s="33"/>
      <c r="GF33" s="33"/>
      <c r="GG33" s="33"/>
      <c r="GH33" s="791"/>
      <c r="GI33" s="791"/>
      <c r="GJ33" s="33"/>
      <c r="GK33" s="33"/>
      <c r="GL33" s="33"/>
      <c r="GM33" s="33"/>
      <c r="GN33" s="33"/>
      <c r="GO33" s="33"/>
      <c r="GP33" s="33"/>
      <c r="GQ33" s="33"/>
      <c r="GR33" s="791"/>
      <c r="GS33" s="791"/>
      <c r="GT33" s="33"/>
      <c r="GU33" s="33"/>
      <c r="GV33" s="33"/>
      <c r="GW33" s="33"/>
      <c r="GX33" s="33"/>
      <c r="GY33" s="33"/>
      <c r="GZ33" s="33"/>
      <c r="HA33" s="33"/>
      <c r="HB33" s="791"/>
      <c r="HC33" s="791"/>
      <c r="HD33" s="33"/>
      <c r="HE33" s="33"/>
      <c r="HF33" s="33"/>
      <c r="HG33" s="33"/>
      <c r="HH33" s="33"/>
      <c r="HI33" s="33"/>
      <c r="HJ33" s="33"/>
      <c r="HK33" s="33"/>
      <c r="HL33" s="791"/>
      <c r="HM33" s="791"/>
      <c r="HN33" s="33"/>
      <c r="HO33" s="33"/>
      <c r="HP33" s="33"/>
      <c r="HQ33" s="33"/>
      <c r="HR33" s="33"/>
      <c r="HS33" s="33"/>
      <c r="HT33" s="33"/>
      <c r="HU33" s="33"/>
      <c r="HV33" s="791"/>
      <c r="HW33" s="791"/>
      <c r="HX33" s="33"/>
      <c r="HY33" s="33"/>
      <c r="HZ33" s="33"/>
      <c r="IA33" s="33"/>
      <c r="IB33" s="33"/>
      <c r="IC33" s="33"/>
      <c r="ID33" s="33"/>
      <c r="IE33" s="33"/>
      <c r="IF33" s="791"/>
      <c r="IG33" s="791"/>
      <c r="IH33" s="33"/>
      <c r="II33" s="33"/>
      <c r="IJ33" s="33"/>
      <c r="IK33" s="33"/>
      <c r="IL33" s="33"/>
      <c r="IM33" s="33"/>
      <c r="IN33" s="792"/>
      <c r="IO33" s="792"/>
      <c r="IP33" s="792"/>
      <c r="IQ33" s="788"/>
      <c r="IR33" s="792"/>
      <c r="IS33" s="792"/>
      <c r="IT33" s="792"/>
      <c r="IU33" s="792"/>
      <c r="IV33" s="792"/>
      <c r="IW33" s="792"/>
      <c r="IX33" s="507"/>
      <c r="IY33" s="193"/>
      <c r="IZ33" s="193"/>
      <c r="JA33" s="193"/>
      <c r="JB33" s="193"/>
      <c r="JC33" s="193"/>
      <c r="JD33" s="193"/>
      <c r="JE33" s="193"/>
      <c r="JF33" s="193"/>
      <c r="JG33" s="193"/>
      <c r="JH33" s="193"/>
    </row>
    <row r="34" spans="2:268" ht="15.75" thickBot="1" x14ac:dyDescent="0.3">
      <c r="B34" s="805"/>
      <c r="C34" s="820">
        <v>73.06</v>
      </c>
      <c r="D34" s="821">
        <v>16</v>
      </c>
      <c r="E34" s="821">
        <v>2.645</v>
      </c>
      <c r="F34" s="821">
        <v>0.93700000000000006</v>
      </c>
      <c r="G34" s="821">
        <v>2.0459999999999998</v>
      </c>
      <c r="H34" s="192"/>
      <c r="I34" s="829"/>
      <c r="J34" s="405"/>
      <c r="K34" s="822"/>
      <c r="L34" s="822"/>
      <c r="M34" s="822"/>
      <c r="N34" s="822"/>
      <c r="O34" s="822"/>
      <c r="P34" s="822"/>
      <c r="Q34" s="822"/>
      <c r="R34" s="822"/>
      <c r="S34" s="830"/>
      <c r="T34" s="692"/>
      <c r="U34" s="692"/>
      <c r="V34" s="692"/>
      <c r="W34" s="692"/>
      <c r="X34" s="807"/>
      <c r="Y34" s="46"/>
      <c r="AF34" s="135"/>
      <c r="AS34" s="193"/>
      <c r="AT34" s="507"/>
      <c r="AU34" s="789"/>
      <c r="AV34" s="789"/>
      <c r="AW34" s="789"/>
      <c r="AX34" s="791"/>
      <c r="AY34" s="33"/>
      <c r="AZ34" s="33"/>
      <c r="BA34" s="33"/>
      <c r="BB34" s="33"/>
      <c r="BC34" s="33"/>
      <c r="BD34" s="33"/>
      <c r="BE34" s="33"/>
      <c r="BF34" s="33"/>
      <c r="BG34" s="790"/>
      <c r="BH34" s="791"/>
      <c r="BI34" s="33"/>
      <c r="BJ34" s="33"/>
      <c r="BK34" s="33"/>
      <c r="BL34" s="33"/>
      <c r="BM34" s="33"/>
      <c r="BN34" s="33"/>
      <c r="BO34" s="33"/>
      <c r="BP34" s="33"/>
      <c r="BQ34" s="790"/>
      <c r="BR34" s="791"/>
      <c r="BS34" s="33"/>
      <c r="BT34" s="33"/>
      <c r="BU34" s="33"/>
      <c r="BV34" s="33"/>
      <c r="BW34" s="33"/>
      <c r="BX34" s="33"/>
      <c r="BY34" s="33"/>
      <c r="BZ34" s="33"/>
      <c r="CA34" s="790"/>
      <c r="CB34" s="791"/>
      <c r="CC34" s="33"/>
      <c r="CD34" s="33"/>
      <c r="CE34" s="33"/>
      <c r="CF34" s="33"/>
      <c r="CG34" s="33"/>
      <c r="CH34" s="33"/>
      <c r="CI34" s="33"/>
      <c r="CJ34" s="33"/>
      <c r="CK34" s="790"/>
      <c r="CL34" s="791"/>
      <c r="CM34" s="33"/>
      <c r="CN34" s="33"/>
      <c r="CO34" s="33"/>
      <c r="CP34" s="33"/>
      <c r="CQ34" s="33"/>
      <c r="CR34" s="33"/>
      <c r="CS34" s="33"/>
      <c r="CT34" s="33"/>
      <c r="CU34" s="790"/>
      <c r="CV34" s="791"/>
      <c r="CW34" s="33"/>
      <c r="CX34" s="33"/>
      <c r="CY34" s="33"/>
      <c r="CZ34" s="33"/>
      <c r="DA34" s="33"/>
      <c r="DB34" s="33"/>
      <c r="DC34" s="33"/>
      <c r="DD34" s="33"/>
      <c r="DE34" s="790"/>
      <c r="DF34" s="791"/>
      <c r="DG34" s="33"/>
      <c r="DH34" s="33"/>
      <c r="DI34" s="33"/>
      <c r="DJ34" s="33"/>
      <c r="DK34" s="33"/>
      <c r="DL34" s="33"/>
      <c r="DM34" s="33"/>
      <c r="DN34" s="33"/>
      <c r="DO34" s="790"/>
      <c r="DP34" s="791"/>
      <c r="DQ34" s="33"/>
      <c r="DR34" s="33"/>
      <c r="DS34" s="33"/>
      <c r="DT34" s="33"/>
      <c r="DU34" s="33"/>
      <c r="DV34" s="33"/>
      <c r="DW34" s="33"/>
      <c r="DX34" s="33"/>
      <c r="DY34" s="790"/>
      <c r="DZ34" s="791"/>
      <c r="EA34" s="33"/>
      <c r="EB34" s="33"/>
      <c r="EC34" s="33"/>
      <c r="ED34" s="33"/>
      <c r="EE34" s="33"/>
      <c r="EF34" s="33"/>
      <c r="EG34" s="33"/>
      <c r="EH34" s="33"/>
      <c r="EI34" s="790"/>
      <c r="EJ34" s="791"/>
      <c r="EK34" s="33"/>
      <c r="EL34" s="33"/>
      <c r="EM34" s="33"/>
      <c r="EN34" s="33"/>
      <c r="EO34" s="33"/>
      <c r="EP34" s="33"/>
      <c r="EQ34" s="33"/>
      <c r="ER34" s="33"/>
      <c r="ES34" s="790"/>
      <c r="ET34" s="791"/>
      <c r="EU34" s="33"/>
      <c r="EV34" s="33"/>
      <c r="EW34" s="33"/>
      <c r="EX34" s="33"/>
      <c r="EY34" s="33"/>
      <c r="EZ34" s="33"/>
      <c r="FA34" s="33"/>
      <c r="FB34" s="33"/>
      <c r="FC34" s="790"/>
      <c r="FD34" s="791"/>
      <c r="FE34" s="33"/>
      <c r="FF34" s="33"/>
      <c r="FG34" s="33"/>
      <c r="FH34" s="33"/>
      <c r="FI34" s="33"/>
      <c r="FJ34" s="33"/>
      <c r="FK34" s="33"/>
      <c r="FL34" s="33"/>
      <c r="FM34" s="790"/>
      <c r="FN34" s="791"/>
      <c r="FO34" s="791"/>
      <c r="FP34" s="33"/>
      <c r="FQ34" s="33"/>
      <c r="FR34" s="33"/>
      <c r="FS34" s="33"/>
      <c r="FT34" s="33"/>
      <c r="FU34" s="33"/>
      <c r="FV34" s="33"/>
      <c r="FW34" s="33"/>
      <c r="FX34" s="791"/>
      <c r="FY34" s="791"/>
      <c r="FZ34" s="33"/>
      <c r="GA34" s="33"/>
      <c r="GB34" s="33"/>
      <c r="GC34" s="33"/>
      <c r="GD34" s="33"/>
      <c r="GE34" s="33"/>
      <c r="GF34" s="33"/>
      <c r="GG34" s="33"/>
      <c r="GH34" s="791"/>
      <c r="GI34" s="791"/>
      <c r="GJ34" s="33"/>
      <c r="GK34" s="33"/>
      <c r="GL34" s="33"/>
      <c r="GM34" s="33"/>
      <c r="GN34" s="791"/>
      <c r="GO34" s="791"/>
      <c r="GP34" s="791"/>
      <c r="GQ34" s="791"/>
      <c r="GR34" s="791"/>
      <c r="GS34" s="791"/>
      <c r="GT34" s="791"/>
      <c r="GU34" s="791"/>
      <c r="GV34" s="791"/>
      <c r="GW34" s="791"/>
      <c r="GX34" s="791"/>
      <c r="GY34" s="791"/>
      <c r="GZ34" s="791"/>
      <c r="HA34" s="791"/>
      <c r="HB34" s="791"/>
      <c r="HC34" s="791"/>
      <c r="HD34" s="791"/>
      <c r="HE34" s="791"/>
      <c r="HF34" s="791"/>
      <c r="HG34" s="791"/>
      <c r="HH34" s="791"/>
      <c r="HI34" s="791"/>
      <c r="HJ34" s="791"/>
      <c r="HK34" s="791"/>
      <c r="HL34" s="791"/>
      <c r="HM34" s="791"/>
      <c r="HN34" s="33"/>
      <c r="HO34" s="33"/>
      <c r="HP34" s="33"/>
      <c r="HQ34" s="33"/>
      <c r="HR34" s="33"/>
      <c r="HS34" s="33"/>
      <c r="HT34" s="33"/>
      <c r="HU34" s="33"/>
      <c r="HV34" s="33"/>
      <c r="HW34" s="33"/>
      <c r="HX34" s="33"/>
      <c r="HY34" s="33"/>
      <c r="HZ34" s="33"/>
      <c r="IA34" s="33"/>
      <c r="IB34" s="33"/>
      <c r="IC34" s="33"/>
      <c r="ID34" s="33"/>
      <c r="IE34" s="33"/>
      <c r="IF34" s="791"/>
      <c r="IG34" s="791"/>
      <c r="IH34" s="33"/>
      <c r="II34" s="33"/>
      <c r="IJ34" s="33"/>
      <c r="IK34" s="33"/>
      <c r="IL34" s="33"/>
      <c r="IM34" s="33"/>
      <c r="IN34" s="792"/>
      <c r="IO34" s="792"/>
      <c r="IP34" s="792"/>
      <c r="IQ34" s="788"/>
      <c r="IR34" s="792"/>
      <c r="IS34" s="792"/>
      <c r="IT34" s="792"/>
      <c r="IU34" s="792"/>
      <c r="IV34" s="792"/>
      <c r="IW34" s="792"/>
      <c r="IX34" s="507"/>
      <c r="IY34" s="193"/>
      <c r="IZ34" s="193"/>
      <c r="JA34" s="193"/>
      <c r="JB34" s="193"/>
      <c r="JC34" s="193"/>
      <c r="JD34" s="193"/>
      <c r="JE34" s="193"/>
      <c r="JF34" s="193"/>
      <c r="JG34" s="193"/>
      <c r="JH34" s="193"/>
    </row>
    <row r="35" spans="2:268" ht="15.75" thickBot="1" x14ac:dyDescent="0.3">
      <c r="B35" s="805"/>
      <c r="C35" s="809"/>
      <c r="D35" s="692"/>
      <c r="E35" s="692"/>
      <c r="F35" s="692"/>
      <c r="G35" s="692"/>
      <c r="H35" s="692"/>
      <c r="I35" s="692"/>
      <c r="J35" s="692"/>
      <c r="K35" s="692"/>
      <c r="L35" s="692"/>
      <c r="M35" s="692"/>
      <c r="N35" s="692"/>
      <c r="O35" s="692"/>
      <c r="P35" s="692"/>
      <c r="Q35" s="692"/>
      <c r="R35" s="692"/>
      <c r="S35" s="692"/>
      <c r="T35" s="692"/>
      <c r="U35" s="692"/>
      <c r="V35" s="692"/>
      <c r="W35" s="692"/>
      <c r="X35" s="807"/>
      <c r="Y35" s="46"/>
      <c r="AF35" s="135"/>
      <c r="AS35" s="193"/>
      <c r="AT35" s="507"/>
      <c r="AU35" s="789"/>
      <c r="AV35" s="789"/>
      <c r="AW35" s="789"/>
      <c r="AX35" s="791"/>
      <c r="AY35" s="33"/>
      <c r="AZ35" s="33"/>
      <c r="BA35" s="33"/>
      <c r="BB35" s="33"/>
      <c r="BC35" s="33"/>
      <c r="BD35" s="33"/>
      <c r="BE35" s="33"/>
      <c r="BF35" s="33"/>
      <c r="BG35" s="790"/>
      <c r="BH35" s="791"/>
      <c r="BI35" s="33"/>
      <c r="BJ35" s="33"/>
      <c r="BK35" s="33"/>
      <c r="BL35" s="33"/>
      <c r="BM35" s="33"/>
      <c r="BN35" s="33"/>
      <c r="BO35" s="33"/>
      <c r="BP35" s="33"/>
      <c r="BQ35" s="790"/>
      <c r="BR35" s="791"/>
      <c r="BS35" s="33"/>
      <c r="BT35" s="33"/>
      <c r="BU35" s="33"/>
      <c r="BV35" s="33"/>
      <c r="BW35" s="33"/>
      <c r="BX35" s="33"/>
      <c r="BY35" s="33"/>
      <c r="BZ35" s="33"/>
      <c r="CA35" s="790"/>
      <c r="CB35" s="791"/>
      <c r="CC35" s="33"/>
      <c r="CD35" s="33"/>
      <c r="CE35" s="33"/>
      <c r="CF35" s="33"/>
      <c r="CG35" s="33"/>
      <c r="CH35" s="33"/>
      <c r="CI35" s="33"/>
      <c r="CJ35" s="33"/>
      <c r="CK35" s="790"/>
      <c r="CL35" s="791"/>
      <c r="CM35" s="33"/>
      <c r="CN35" s="33"/>
      <c r="CO35" s="33"/>
      <c r="CP35" s="33"/>
      <c r="CQ35" s="33"/>
      <c r="CR35" s="33"/>
      <c r="CS35" s="33"/>
      <c r="CT35" s="33"/>
      <c r="CU35" s="790"/>
      <c r="CV35" s="791"/>
      <c r="CW35" s="33"/>
      <c r="CX35" s="33"/>
      <c r="CY35" s="33"/>
      <c r="CZ35" s="33"/>
      <c r="DA35" s="33"/>
      <c r="DB35" s="33"/>
      <c r="DC35" s="33"/>
      <c r="DD35" s="33"/>
      <c r="DE35" s="790"/>
      <c r="DF35" s="791"/>
      <c r="DG35" s="33"/>
      <c r="DH35" s="33"/>
      <c r="DI35" s="33"/>
      <c r="DJ35" s="33"/>
      <c r="DK35" s="33"/>
      <c r="DL35" s="33"/>
      <c r="DM35" s="33"/>
      <c r="DN35" s="33"/>
      <c r="DO35" s="790"/>
      <c r="DP35" s="791"/>
      <c r="DQ35" s="33"/>
      <c r="DR35" s="33"/>
      <c r="DS35" s="33"/>
      <c r="DT35" s="33"/>
      <c r="DU35" s="33"/>
      <c r="DV35" s="33"/>
      <c r="DW35" s="33"/>
      <c r="DX35" s="33"/>
      <c r="DY35" s="790"/>
      <c r="DZ35" s="791"/>
      <c r="EA35" s="33"/>
      <c r="EB35" s="33"/>
      <c r="EC35" s="33"/>
      <c r="ED35" s="33"/>
      <c r="EE35" s="33"/>
      <c r="EF35" s="33"/>
      <c r="EG35" s="33"/>
      <c r="EH35" s="33"/>
      <c r="EI35" s="790"/>
      <c r="EJ35" s="791"/>
      <c r="EK35" s="33"/>
      <c r="EL35" s="33"/>
      <c r="EM35" s="33"/>
      <c r="EN35" s="33"/>
      <c r="EO35" s="33"/>
      <c r="EP35" s="33"/>
      <c r="EQ35" s="33"/>
      <c r="ER35" s="33"/>
      <c r="ES35" s="790"/>
      <c r="ET35" s="791"/>
      <c r="EU35" s="33"/>
      <c r="EV35" s="33"/>
      <c r="EW35" s="33"/>
      <c r="EX35" s="33"/>
      <c r="EY35" s="33"/>
      <c r="EZ35" s="33"/>
      <c r="FA35" s="33"/>
      <c r="FB35" s="33"/>
      <c r="FC35" s="790"/>
      <c r="FD35" s="791"/>
      <c r="FE35" s="33"/>
      <c r="FF35" s="33"/>
      <c r="FG35" s="33"/>
      <c r="FH35" s="33"/>
      <c r="FI35" s="33"/>
      <c r="FJ35" s="33"/>
      <c r="FK35" s="33"/>
      <c r="FL35" s="33"/>
      <c r="FM35" s="790"/>
      <c r="FN35" s="791"/>
      <c r="FO35" s="791"/>
      <c r="FP35" s="33"/>
      <c r="FQ35" s="33"/>
      <c r="FR35" s="33"/>
      <c r="FS35" s="33"/>
      <c r="FT35" s="33"/>
      <c r="FU35" s="33"/>
      <c r="FV35" s="791"/>
      <c r="FW35" s="791"/>
      <c r="FX35" s="791"/>
      <c r="FY35" s="791"/>
      <c r="FZ35" s="791"/>
      <c r="GA35" s="791"/>
      <c r="GB35" s="791"/>
      <c r="GC35" s="791"/>
      <c r="GD35" s="791"/>
      <c r="GE35" s="791"/>
      <c r="GF35" s="791"/>
      <c r="GG35" s="791"/>
      <c r="GH35" s="791"/>
      <c r="GI35" s="791"/>
      <c r="GJ35" s="33"/>
      <c r="GK35" s="33"/>
      <c r="GL35" s="33"/>
      <c r="GM35" s="33"/>
      <c r="GN35" s="791"/>
      <c r="GO35" s="791"/>
      <c r="GP35" s="791"/>
      <c r="GQ35" s="791"/>
      <c r="GR35" s="791"/>
      <c r="GS35" s="791"/>
      <c r="GT35" s="791"/>
      <c r="GU35" s="791"/>
      <c r="GV35" s="791"/>
      <c r="GW35" s="791"/>
      <c r="GX35" s="791"/>
      <c r="GY35" s="791"/>
      <c r="GZ35" s="791"/>
      <c r="HA35" s="791"/>
      <c r="HB35" s="791"/>
      <c r="HC35" s="791"/>
      <c r="HD35" s="791"/>
      <c r="HE35" s="791"/>
      <c r="HF35" s="791"/>
      <c r="HG35" s="791"/>
      <c r="HH35" s="791"/>
      <c r="HI35" s="791"/>
      <c r="HJ35" s="791"/>
      <c r="HK35" s="791"/>
      <c r="HL35" s="791"/>
      <c r="HM35" s="791"/>
      <c r="HN35" s="33"/>
      <c r="HO35" s="33"/>
      <c r="HP35" s="33"/>
      <c r="HQ35" s="33"/>
      <c r="HR35" s="33"/>
      <c r="HS35" s="33"/>
      <c r="HT35" s="33"/>
      <c r="HU35" s="33"/>
      <c r="HV35" s="33"/>
      <c r="HW35" s="33"/>
      <c r="HX35" s="33"/>
      <c r="HY35" s="33"/>
      <c r="HZ35" s="33"/>
      <c r="IA35" s="33"/>
      <c r="IB35" s="33"/>
      <c r="IC35" s="33"/>
      <c r="ID35" s="33"/>
      <c r="IE35" s="33"/>
      <c r="IF35" s="791"/>
      <c r="IG35" s="791"/>
      <c r="IH35" s="33"/>
      <c r="II35" s="33"/>
      <c r="IJ35" s="33"/>
      <c r="IK35" s="33"/>
      <c r="IL35" s="33"/>
      <c r="IM35" s="33"/>
      <c r="IN35" s="792"/>
      <c r="IO35" s="792"/>
      <c r="IP35" s="792"/>
      <c r="IQ35" s="788"/>
      <c r="IR35" s="792"/>
      <c r="IS35" s="792"/>
      <c r="IT35" s="792"/>
      <c r="IU35" s="792"/>
      <c r="IV35" s="792"/>
      <c r="IW35" s="792"/>
      <c r="IX35" s="507"/>
      <c r="IY35" s="193"/>
      <c r="IZ35" s="193"/>
      <c r="JA35" s="193"/>
      <c r="JB35" s="193"/>
      <c r="JC35" s="193"/>
      <c r="JD35" s="193"/>
      <c r="JE35" s="193"/>
      <c r="JF35" s="193"/>
      <c r="JG35" s="193"/>
      <c r="JH35" s="193"/>
    </row>
    <row r="36" spans="2:268" ht="15.75" thickBot="1" x14ac:dyDescent="0.3">
      <c r="B36" s="805"/>
      <c r="C36" s="809"/>
      <c r="D36" s="692"/>
      <c r="E36" s="692"/>
      <c r="F36" s="692"/>
      <c r="G36" s="692"/>
      <c r="H36" s="692"/>
      <c r="I36" s="692"/>
      <c r="J36" s="692"/>
      <c r="K36" s="692"/>
      <c r="L36" s="692"/>
      <c r="M36" s="692"/>
      <c r="N36" s="692"/>
      <c r="O36" s="692"/>
      <c r="P36" s="692"/>
      <c r="Q36" s="692"/>
      <c r="R36" s="692"/>
      <c r="S36" s="692"/>
      <c r="T36" s="692"/>
      <c r="U36" s="692"/>
      <c r="V36" s="692"/>
      <c r="W36" s="692"/>
      <c r="X36" s="807"/>
      <c r="Y36" s="46"/>
      <c r="AF36" s="135"/>
      <c r="AS36" s="193"/>
      <c r="AT36" s="507"/>
      <c r="AU36" s="789"/>
      <c r="AV36" s="789"/>
      <c r="AW36" s="789"/>
      <c r="AX36" s="791"/>
      <c r="AY36" s="33"/>
      <c r="AZ36" s="33"/>
      <c r="BA36" s="33"/>
      <c r="BB36" s="33"/>
      <c r="BC36" s="33"/>
      <c r="BD36" s="33"/>
      <c r="BE36" s="33"/>
      <c r="BF36" s="33"/>
      <c r="BG36" s="790"/>
      <c r="BH36" s="791"/>
      <c r="BI36" s="33"/>
      <c r="BJ36" s="33"/>
      <c r="BK36" s="33"/>
      <c r="BL36" s="33"/>
      <c r="BM36" s="33"/>
      <c r="BN36" s="33"/>
      <c r="BO36" s="33"/>
      <c r="BP36" s="33"/>
      <c r="BQ36" s="790"/>
      <c r="BR36" s="791"/>
      <c r="BS36" s="33"/>
      <c r="BT36" s="33"/>
      <c r="BU36" s="33"/>
      <c r="BV36" s="33"/>
      <c r="BW36" s="33"/>
      <c r="BX36" s="33"/>
      <c r="BY36" s="33"/>
      <c r="BZ36" s="33"/>
      <c r="CA36" s="790"/>
      <c r="CB36" s="791"/>
      <c r="CC36" s="33"/>
      <c r="CD36" s="33"/>
      <c r="CE36" s="33"/>
      <c r="CF36" s="33"/>
      <c r="CG36" s="33"/>
      <c r="CH36" s="33"/>
      <c r="CI36" s="33"/>
      <c r="CJ36" s="33"/>
      <c r="CK36" s="790"/>
      <c r="CL36" s="791"/>
      <c r="CM36" s="33"/>
      <c r="CN36" s="33"/>
      <c r="CO36" s="33"/>
      <c r="CP36" s="33"/>
      <c r="CQ36" s="33"/>
      <c r="CR36" s="33"/>
      <c r="CS36" s="33"/>
      <c r="CT36" s="33"/>
      <c r="CU36" s="790"/>
      <c r="CV36" s="791"/>
      <c r="CW36" s="33"/>
      <c r="CX36" s="33"/>
      <c r="CY36" s="33"/>
      <c r="CZ36" s="33"/>
      <c r="DA36" s="33"/>
      <c r="DB36" s="33"/>
      <c r="DC36" s="33"/>
      <c r="DD36" s="33"/>
      <c r="DE36" s="790"/>
      <c r="DF36" s="791"/>
      <c r="DG36" s="33"/>
      <c r="DH36" s="33"/>
      <c r="DI36" s="33"/>
      <c r="DJ36" s="33"/>
      <c r="DK36" s="33"/>
      <c r="DL36" s="33"/>
      <c r="DM36" s="33"/>
      <c r="DN36" s="33"/>
      <c r="DO36" s="790"/>
      <c r="DP36" s="791"/>
      <c r="DQ36" s="33"/>
      <c r="DR36" s="33"/>
      <c r="DS36" s="33"/>
      <c r="DT36" s="33"/>
      <c r="DU36" s="33"/>
      <c r="DV36" s="33"/>
      <c r="DW36" s="33"/>
      <c r="DX36" s="33"/>
      <c r="DY36" s="790"/>
      <c r="DZ36" s="791"/>
      <c r="EA36" s="33"/>
      <c r="EB36" s="33"/>
      <c r="EC36" s="33"/>
      <c r="ED36" s="33"/>
      <c r="EE36" s="33"/>
      <c r="EF36" s="33"/>
      <c r="EG36" s="33"/>
      <c r="EH36" s="33"/>
      <c r="EI36" s="790"/>
      <c r="EJ36" s="791"/>
      <c r="EK36" s="33"/>
      <c r="EL36" s="33"/>
      <c r="EM36" s="33"/>
      <c r="EN36" s="33"/>
      <c r="EO36" s="33"/>
      <c r="EP36" s="33"/>
      <c r="EQ36" s="33"/>
      <c r="ER36" s="33"/>
      <c r="ES36" s="790"/>
      <c r="ET36" s="791"/>
      <c r="EU36" s="33"/>
      <c r="EV36" s="33"/>
      <c r="EW36" s="33"/>
      <c r="EX36" s="33"/>
      <c r="EY36" s="33"/>
      <c r="EZ36" s="33"/>
      <c r="FA36" s="33"/>
      <c r="FB36" s="33"/>
      <c r="FC36" s="790"/>
      <c r="FD36" s="791"/>
      <c r="FE36" s="33"/>
      <c r="FF36" s="33"/>
      <c r="FG36" s="33"/>
      <c r="FH36" s="33"/>
      <c r="FI36" s="33"/>
      <c r="FJ36" s="33"/>
      <c r="FK36" s="33"/>
      <c r="FL36" s="33"/>
      <c r="FM36" s="790"/>
      <c r="FN36" s="791"/>
      <c r="FO36" s="791"/>
      <c r="FP36" s="33"/>
      <c r="FQ36" s="33"/>
      <c r="FR36" s="33"/>
      <c r="FS36" s="33"/>
      <c r="FT36" s="33"/>
      <c r="FU36" s="33"/>
      <c r="FV36" s="791"/>
      <c r="FW36" s="791"/>
      <c r="FX36" s="791"/>
      <c r="FY36" s="791"/>
      <c r="FZ36" s="791"/>
      <c r="GA36" s="791"/>
      <c r="GB36" s="791"/>
      <c r="GC36" s="791"/>
      <c r="GD36" s="791"/>
      <c r="GE36" s="791"/>
      <c r="GF36" s="791"/>
      <c r="GG36" s="791"/>
      <c r="GH36" s="791"/>
      <c r="GI36" s="791"/>
      <c r="GJ36" s="33"/>
      <c r="GK36" s="33"/>
      <c r="GL36" s="33"/>
      <c r="GM36" s="33"/>
      <c r="GN36" s="791"/>
      <c r="GO36" s="791"/>
      <c r="GP36" s="791"/>
      <c r="GQ36" s="791"/>
      <c r="GR36" s="791"/>
      <c r="GS36" s="791"/>
      <c r="GT36" s="791"/>
      <c r="GU36" s="791"/>
      <c r="GV36" s="791"/>
      <c r="GW36" s="791"/>
      <c r="GX36" s="791"/>
      <c r="GY36" s="791"/>
      <c r="GZ36" s="791"/>
      <c r="HA36" s="791"/>
      <c r="HB36" s="791"/>
      <c r="HC36" s="791"/>
      <c r="HD36" s="791"/>
      <c r="HE36" s="791"/>
      <c r="HF36" s="791"/>
      <c r="HG36" s="791"/>
      <c r="HH36" s="791"/>
      <c r="HI36" s="791"/>
      <c r="HJ36" s="791"/>
      <c r="HK36" s="791"/>
      <c r="HL36" s="791"/>
      <c r="HM36" s="791"/>
      <c r="HN36" s="33"/>
      <c r="HO36" s="33"/>
      <c r="HP36" s="33"/>
      <c r="HQ36" s="33"/>
      <c r="HR36" s="33"/>
      <c r="HS36" s="33"/>
      <c r="HT36" s="33"/>
      <c r="HU36" s="33"/>
      <c r="HV36" s="33"/>
      <c r="HW36" s="33"/>
      <c r="HX36" s="33"/>
      <c r="HY36" s="33"/>
      <c r="HZ36" s="33"/>
      <c r="IA36" s="33"/>
      <c r="IB36" s="33"/>
      <c r="IC36" s="33"/>
      <c r="ID36" s="33"/>
      <c r="IE36" s="33"/>
      <c r="IF36" s="791"/>
      <c r="IG36" s="791"/>
      <c r="IH36" s="33"/>
      <c r="II36" s="33"/>
      <c r="IJ36" s="33"/>
      <c r="IK36" s="33"/>
      <c r="IL36" s="33"/>
      <c r="IM36" s="33"/>
      <c r="IN36" s="792"/>
      <c r="IO36" s="792"/>
      <c r="IP36" s="792"/>
      <c r="IQ36" s="788"/>
      <c r="IR36" s="792"/>
      <c r="IS36" s="792"/>
      <c r="IT36" s="792"/>
      <c r="IU36" s="792"/>
      <c r="IV36" s="792"/>
      <c r="IW36" s="792"/>
      <c r="IX36" s="507"/>
      <c r="IY36" s="193"/>
      <c r="IZ36" s="193"/>
      <c r="JA36" s="193"/>
      <c r="JB36" s="193"/>
      <c r="JC36" s="193"/>
      <c r="JD36" s="193"/>
      <c r="JE36" s="193"/>
      <c r="JF36" s="193"/>
      <c r="JG36" s="193"/>
      <c r="JH36" s="193"/>
    </row>
    <row r="37" spans="2:268" ht="15.75" thickBot="1" x14ac:dyDescent="0.3">
      <c r="B37" s="805"/>
      <c r="C37" s="809"/>
      <c r="D37" s="692"/>
      <c r="E37" s="692"/>
      <c r="F37" s="692"/>
      <c r="G37" s="692"/>
      <c r="H37" s="692"/>
      <c r="I37" s="692"/>
      <c r="J37" s="692"/>
      <c r="K37" s="692"/>
      <c r="L37" s="692"/>
      <c r="M37" s="692"/>
      <c r="N37" s="692"/>
      <c r="O37" s="692"/>
      <c r="P37" s="692"/>
      <c r="Q37" s="692"/>
      <c r="R37" s="692"/>
      <c r="S37" s="692"/>
      <c r="T37" s="692"/>
      <c r="U37" s="692"/>
      <c r="V37" s="692"/>
      <c r="W37" s="692"/>
      <c r="X37" s="807"/>
      <c r="Y37" s="46"/>
      <c r="AF37" s="135"/>
      <c r="AS37" s="193"/>
      <c r="AT37" s="507"/>
      <c r="AU37" s="789"/>
      <c r="AV37" s="789"/>
      <c r="AW37" s="789"/>
      <c r="AX37" s="791"/>
      <c r="AY37" s="33"/>
      <c r="AZ37" s="33"/>
      <c r="BA37" s="33"/>
      <c r="BB37" s="33"/>
      <c r="BC37" s="33"/>
      <c r="BD37" s="33"/>
      <c r="BE37" s="33"/>
      <c r="BF37" s="33"/>
      <c r="BG37" s="790"/>
      <c r="BH37" s="791"/>
      <c r="BI37" s="33"/>
      <c r="BJ37" s="33"/>
      <c r="BK37" s="33"/>
      <c r="BL37" s="33"/>
      <c r="BM37" s="33"/>
      <c r="BN37" s="33"/>
      <c r="BO37" s="33"/>
      <c r="BP37" s="33"/>
      <c r="BQ37" s="790"/>
      <c r="BR37" s="791"/>
      <c r="BS37" s="33"/>
      <c r="BT37" s="33"/>
      <c r="BU37" s="33"/>
      <c r="BV37" s="33"/>
      <c r="BW37" s="33"/>
      <c r="BX37" s="33"/>
      <c r="BY37" s="33"/>
      <c r="BZ37" s="33"/>
      <c r="CA37" s="790"/>
      <c r="CB37" s="791"/>
      <c r="CC37" s="33"/>
      <c r="CD37" s="33"/>
      <c r="CE37" s="33"/>
      <c r="CF37" s="33"/>
      <c r="CG37" s="33"/>
      <c r="CH37" s="33"/>
      <c r="CI37" s="33"/>
      <c r="CJ37" s="33"/>
      <c r="CK37" s="790"/>
      <c r="CL37" s="791"/>
      <c r="CM37" s="33"/>
      <c r="CN37" s="33"/>
      <c r="CO37" s="33"/>
      <c r="CP37" s="33"/>
      <c r="CQ37" s="33"/>
      <c r="CR37" s="33"/>
      <c r="CS37" s="33"/>
      <c r="CT37" s="33"/>
      <c r="CU37" s="790"/>
      <c r="CV37" s="791"/>
      <c r="CW37" s="33"/>
      <c r="CX37" s="33"/>
      <c r="CY37" s="33"/>
      <c r="CZ37" s="33"/>
      <c r="DA37" s="33"/>
      <c r="DB37" s="33"/>
      <c r="DC37" s="33"/>
      <c r="DD37" s="33"/>
      <c r="DE37" s="790"/>
      <c r="DF37" s="791"/>
      <c r="DG37" s="33"/>
      <c r="DH37" s="33"/>
      <c r="DI37" s="33"/>
      <c r="DJ37" s="33"/>
      <c r="DK37" s="33"/>
      <c r="DL37" s="33"/>
      <c r="DM37" s="33"/>
      <c r="DN37" s="33"/>
      <c r="DO37" s="790"/>
      <c r="DP37" s="791"/>
      <c r="DQ37" s="33"/>
      <c r="DR37" s="33"/>
      <c r="DS37" s="33"/>
      <c r="DT37" s="33"/>
      <c r="DU37" s="33"/>
      <c r="DV37" s="33"/>
      <c r="DW37" s="33"/>
      <c r="DX37" s="33"/>
      <c r="DY37" s="790"/>
      <c r="DZ37" s="791"/>
      <c r="EA37" s="33"/>
      <c r="EB37" s="33"/>
      <c r="EC37" s="33"/>
      <c r="ED37" s="33"/>
      <c r="EE37" s="33"/>
      <c r="EF37" s="33"/>
      <c r="EG37" s="33"/>
      <c r="EH37" s="33"/>
      <c r="EI37" s="790"/>
      <c r="EJ37" s="791"/>
      <c r="EK37" s="33"/>
      <c r="EL37" s="33"/>
      <c r="EM37" s="33"/>
      <c r="EN37" s="33"/>
      <c r="EO37" s="33"/>
      <c r="EP37" s="33"/>
      <c r="EQ37" s="33"/>
      <c r="ER37" s="33"/>
      <c r="ES37" s="790"/>
      <c r="ET37" s="791"/>
      <c r="EU37" s="33"/>
      <c r="EV37" s="33"/>
      <c r="EW37" s="33"/>
      <c r="EX37" s="33"/>
      <c r="EY37" s="33"/>
      <c r="EZ37" s="33"/>
      <c r="FA37" s="33"/>
      <c r="FB37" s="33"/>
      <c r="FC37" s="790"/>
      <c r="FD37" s="791"/>
      <c r="FE37" s="33"/>
      <c r="FF37" s="33"/>
      <c r="FG37" s="33"/>
      <c r="FH37" s="33"/>
      <c r="FI37" s="33"/>
      <c r="FJ37" s="33"/>
      <c r="FK37" s="33"/>
      <c r="FL37" s="33"/>
      <c r="FM37" s="790"/>
      <c r="FN37" s="791"/>
      <c r="FO37" s="791"/>
      <c r="FP37" s="33"/>
      <c r="FQ37" s="33"/>
      <c r="FR37" s="33"/>
      <c r="FS37" s="33"/>
      <c r="FT37" s="33"/>
      <c r="FU37" s="33"/>
      <c r="FV37" s="791"/>
      <c r="FW37" s="791"/>
      <c r="FX37" s="791"/>
      <c r="FY37" s="791"/>
      <c r="FZ37" s="791"/>
      <c r="GA37" s="791"/>
      <c r="GB37" s="791"/>
      <c r="GC37" s="791"/>
      <c r="GD37" s="791"/>
      <c r="GE37" s="791"/>
      <c r="GF37" s="791"/>
      <c r="GG37" s="791"/>
      <c r="GH37" s="791"/>
      <c r="GI37" s="791"/>
      <c r="GJ37" s="33"/>
      <c r="GK37" s="33"/>
      <c r="GL37" s="33"/>
      <c r="GM37" s="33"/>
      <c r="GN37" s="791"/>
      <c r="GO37" s="791"/>
      <c r="GP37" s="791"/>
      <c r="GQ37" s="791"/>
      <c r="GR37" s="791"/>
      <c r="GS37" s="791"/>
      <c r="GT37" s="791"/>
      <c r="GU37" s="791"/>
      <c r="GV37" s="791"/>
      <c r="GW37" s="791"/>
      <c r="GX37" s="791"/>
      <c r="GY37" s="791"/>
      <c r="GZ37" s="791"/>
      <c r="HA37" s="791"/>
      <c r="HB37" s="791"/>
      <c r="HC37" s="791"/>
      <c r="HD37" s="791"/>
      <c r="HE37" s="791"/>
      <c r="HF37" s="791"/>
      <c r="HG37" s="791"/>
      <c r="HH37" s="791"/>
      <c r="HI37" s="791"/>
      <c r="HJ37" s="791"/>
      <c r="HK37" s="791"/>
      <c r="HL37" s="791"/>
      <c r="HM37" s="791"/>
      <c r="HN37" s="33"/>
      <c r="HO37" s="33"/>
      <c r="HP37" s="33"/>
      <c r="HQ37" s="33"/>
      <c r="HR37" s="33"/>
      <c r="HS37" s="33"/>
      <c r="HT37" s="33"/>
      <c r="HU37" s="33"/>
      <c r="HV37" s="33"/>
      <c r="HW37" s="33"/>
      <c r="HX37" s="33"/>
      <c r="HY37" s="33"/>
      <c r="HZ37" s="33"/>
      <c r="IA37" s="33"/>
      <c r="IB37" s="33"/>
      <c r="IC37" s="33"/>
      <c r="ID37" s="33"/>
      <c r="IE37" s="33"/>
      <c r="IF37" s="791"/>
      <c r="IG37" s="791"/>
      <c r="IH37" s="33"/>
      <c r="II37" s="33"/>
      <c r="IJ37" s="33"/>
      <c r="IK37" s="33"/>
      <c r="IL37" s="33"/>
      <c r="IM37" s="33"/>
      <c r="IN37" s="792"/>
      <c r="IO37" s="792"/>
      <c r="IP37" s="792"/>
      <c r="IQ37" s="788"/>
      <c r="IR37" s="792"/>
      <c r="IS37" s="792"/>
      <c r="IT37" s="792"/>
      <c r="IU37" s="792"/>
      <c r="IV37" s="792"/>
      <c r="IW37" s="792"/>
      <c r="IX37" s="507"/>
      <c r="IY37" s="193"/>
      <c r="IZ37" s="193"/>
      <c r="JA37" s="193"/>
      <c r="JB37" s="193"/>
      <c r="JC37" s="193"/>
      <c r="JD37" s="193"/>
      <c r="JE37" s="193"/>
      <c r="JF37" s="193"/>
      <c r="JG37" s="193"/>
      <c r="JH37" s="193"/>
    </row>
    <row r="38" spans="2:268" ht="15.75" thickBot="1" x14ac:dyDescent="0.3">
      <c r="B38" s="47"/>
      <c r="C38" s="808"/>
      <c r="D38" s="808"/>
      <c r="E38" s="808"/>
      <c r="F38" s="808"/>
      <c r="G38" s="808"/>
      <c r="H38" s="808"/>
      <c r="I38" s="808"/>
      <c r="J38" s="808"/>
      <c r="K38" s="808"/>
      <c r="L38" s="808"/>
      <c r="M38" s="808"/>
      <c r="N38" s="808"/>
      <c r="O38" s="808"/>
      <c r="P38" s="808"/>
      <c r="Q38" s="808"/>
      <c r="R38" s="808"/>
      <c r="S38" s="808"/>
      <c r="T38" s="808"/>
      <c r="U38" s="808"/>
      <c r="V38" s="808"/>
      <c r="W38" s="808"/>
      <c r="X38" s="76"/>
      <c r="Y38" s="46"/>
      <c r="AF38" s="135"/>
      <c r="AS38" s="193"/>
      <c r="AT38" s="507"/>
      <c r="AU38" s="789"/>
      <c r="AV38" s="789"/>
      <c r="AW38" s="789"/>
      <c r="AX38" s="791"/>
      <c r="AY38" s="33"/>
      <c r="AZ38" s="33"/>
      <c r="BA38" s="33"/>
      <c r="BB38" s="33"/>
      <c r="BC38" s="33"/>
      <c r="BD38" s="33"/>
      <c r="BE38" s="33"/>
      <c r="BF38" s="33"/>
      <c r="BG38" s="790"/>
      <c r="BH38" s="791"/>
      <c r="BI38" s="33"/>
      <c r="BJ38" s="33"/>
      <c r="BK38" s="33"/>
      <c r="BL38" s="33"/>
      <c r="BM38" s="33"/>
      <c r="BN38" s="33"/>
      <c r="BO38" s="33"/>
      <c r="BP38" s="33"/>
      <c r="BQ38" s="790"/>
      <c r="BR38" s="791"/>
      <c r="BS38" s="33"/>
      <c r="BT38" s="33"/>
      <c r="BU38" s="33"/>
      <c r="BV38" s="33"/>
      <c r="BW38" s="33"/>
      <c r="BX38" s="33"/>
      <c r="BY38" s="33"/>
      <c r="BZ38" s="33"/>
      <c r="CA38" s="790"/>
      <c r="CB38" s="791"/>
      <c r="CC38" s="33"/>
      <c r="CD38" s="33"/>
      <c r="CE38" s="33"/>
      <c r="CF38" s="33"/>
      <c r="CG38" s="33"/>
      <c r="CH38" s="33"/>
      <c r="CI38" s="33"/>
      <c r="CJ38" s="33"/>
      <c r="CK38" s="790"/>
      <c r="CL38" s="791"/>
      <c r="CM38" s="33"/>
      <c r="CN38" s="33"/>
      <c r="CO38" s="33"/>
      <c r="CP38" s="33"/>
      <c r="CQ38" s="33"/>
      <c r="CR38" s="33"/>
      <c r="CS38" s="33"/>
      <c r="CT38" s="33"/>
      <c r="CU38" s="790"/>
      <c r="CV38" s="791"/>
      <c r="CW38" s="33"/>
      <c r="CX38" s="33"/>
      <c r="CY38" s="33"/>
      <c r="CZ38" s="33"/>
      <c r="DA38" s="33"/>
      <c r="DB38" s="33"/>
      <c r="DC38" s="33"/>
      <c r="DD38" s="33"/>
      <c r="DE38" s="790"/>
      <c r="DF38" s="791"/>
      <c r="DG38" s="33"/>
      <c r="DH38" s="33"/>
      <c r="DI38" s="33"/>
      <c r="DJ38" s="33"/>
      <c r="DK38" s="33"/>
      <c r="DL38" s="33"/>
      <c r="DM38" s="33"/>
      <c r="DN38" s="33"/>
      <c r="DO38" s="790"/>
      <c r="DP38" s="791"/>
      <c r="DQ38" s="33"/>
      <c r="DR38" s="33"/>
      <c r="DS38" s="33"/>
      <c r="DT38" s="33"/>
      <c r="DU38" s="33"/>
      <c r="DV38" s="33"/>
      <c r="DW38" s="33"/>
      <c r="DX38" s="33"/>
      <c r="DY38" s="790"/>
      <c r="DZ38" s="791"/>
      <c r="EA38" s="33"/>
      <c r="EB38" s="33"/>
      <c r="EC38" s="33"/>
      <c r="ED38" s="33"/>
      <c r="EE38" s="33"/>
      <c r="EF38" s="33"/>
      <c r="EG38" s="33"/>
      <c r="EH38" s="33"/>
      <c r="EI38" s="790"/>
      <c r="EJ38" s="791"/>
      <c r="EK38" s="33"/>
      <c r="EL38" s="33"/>
      <c r="EM38" s="33"/>
      <c r="EN38" s="33"/>
      <c r="EO38" s="33"/>
      <c r="EP38" s="33"/>
      <c r="EQ38" s="33"/>
      <c r="ER38" s="33"/>
      <c r="ES38" s="790"/>
      <c r="ET38" s="791"/>
      <c r="EU38" s="33"/>
      <c r="EV38" s="33"/>
      <c r="EW38" s="33"/>
      <c r="EX38" s="33"/>
      <c r="EY38" s="33"/>
      <c r="EZ38" s="33"/>
      <c r="FA38" s="33"/>
      <c r="FB38" s="33"/>
      <c r="FC38" s="790"/>
      <c r="FD38" s="791"/>
      <c r="FE38" s="33"/>
      <c r="FF38" s="33"/>
      <c r="FG38" s="33"/>
      <c r="FH38" s="33"/>
      <c r="FI38" s="33"/>
      <c r="FJ38" s="33"/>
      <c r="FK38" s="33"/>
      <c r="FL38" s="33"/>
      <c r="FM38" s="790"/>
      <c r="FN38" s="791"/>
      <c r="FO38" s="791"/>
      <c r="FP38" s="33"/>
      <c r="FQ38" s="33"/>
      <c r="FR38" s="33"/>
      <c r="FS38" s="33"/>
      <c r="FT38" s="33"/>
      <c r="FU38" s="33"/>
      <c r="FV38" s="791"/>
      <c r="FW38" s="791"/>
      <c r="FX38" s="791"/>
      <c r="FY38" s="791"/>
      <c r="FZ38" s="791"/>
      <c r="GA38" s="791"/>
      <c r="GB38" s="791"/>
      <c r="GC38" s="791"/>
      <c r="GD38" s="791"/>
      <c r="GE38" s="791"/>
      <c r="GF38" s="791"/>
      <c r="GG38" s="791"/>
      <c r="GH38" s="791"/>
      <c r="GI38" s="791"/>
      <c r="GJ38" s="33"/>
      <c r="GK38" s="33"/>
      <c r="GL38" s="33"/>
      <c r="GM38" s="33"/>
      <c r="GN38" s="791"/>
      <c r="GO38" s="791"/>
      <c r="GP38" s="791"/>
      <c r="GQ38" s="791"/>
      <c r="GR38" s="791"/>
      <c r="GS38" s="791"/>
      <c r="GT38" s="791"/>
      <c r="GU38" s="791"/>
      <c r="GV38" s="791"/>
      <c r="GW38" s="791"/>
      <c r="GX38" s="791"/>
      <c r="GY38" s="791"/>
      <c r="GZ38" s="791"/>
      <c r="HA38" s="791"/>
      <c r="HB38" s="791"/>
      <c r="HC38" s="791"/>
      <c r="HD38" s="791"/>
      <c r="HE38" s="791"/>
      <c r="HF38" s="791"/>
      <c r="HG38" s="791"/>
      <c r="HH38" s="791"/>
      <c r="HI38" s="791"/>
      <c r="HJ38" s="791"/>
      <c r="HK38" s="791"/>
      <c r="HL38" s="791"/>
      <c r="HM38" s="791"/>
      <c r="HN38" s="33"/>
      <c r="HO38" s="33"/>
      <c r="HP38" s="33"/>
      <c r="HQ38" s="33"/>
      <c r="HR38" s="33"/>
      <c r="HS38" s="33"/>
      <c r="HT38" s="33"/>
      <c r="HU38" s="33"/>
      <c r="HV38" s="33"/>
      <c r="HW38" s="33"/>
      <c r="HX38" s="33"/>
      <c r="HY38" s="33"/>
      <c r="HZ38" s="33"/>
      <c r="IA38" s="33"/>
      <c r="IB38" s="33"/>
      <c r="IC38" s="33"/>
      <c r="ID38" s="33"/>
      <c r="IE38" s="33"/>
      <c r="IF38" s="791"/>
      <c r="IG38" s="791"/>
      <c r="IH38" s="33"/>
      <c r="II38" s="33"/>
      <c r="IJ38" s="33"/>
      <c r="IK38" s="33"/>
      <c r="IL38" s="33"/>
      <c r="IM38" s="33"/>
      <c r="IN38" s="792"/>
      <c r="IO38" s="792"/>
      <c r="IP38" s="792"/>
      <c r="IQ38" s="788"/>
      <c r="IR38" s="792"/>
      <c r="IS38" s="792"/>
      <c r="IT38" s="792"/>
      <c r="IU38" s="792"/>
      <c r="IV38" s="792"/>
      <c r="IW38" s="792"/>
      <c r="IX38" s="507"/>
      <c r="IY38" s="193"/>
      <c r="IZ38" s="193"/>
      <c r="JA38" s="193"/>
      <c r="JB38" s="193"/>
      <c r="JC38" s="193"/>
      <c r="JD38" s="193"/>
      <c r="JE38" s="193"/>
      <c r="JF38" s="193"/>
      <c r="JG38" s="193"/>
      <c r="JH38" s="193"/>
    </row>
    <row r="39" spans="2:268" ht="15.75" thickBot="1" x14ac:dyDescent="0.3">
      <c r="B39" s="47"/>
      <c r="C39" s="45"/>
      <c r="D39" s="45"/>
      <c r="E39" s="45"/>
      <c r="F39" s="45"/>
      <c r="G39" s="45"/>
      <c r="H39" s="45"/>
      <c r="I39" s="45"/>
      <c r="J39" s="808"/>
      <c r="K39" s="45"/>
      <c r="L39" s="45"/>
      <c r="M39" s="45"/>
      <c r="N39" s="45"/>
      <c r="O39" s="45"/>
      <c r="P39" s="45"/>
      <c r="Q39" s="45"/>
      <c r="R39" s="45"/>
      <c r="S39" s="45"/>
      <c r="T39" s="45"/>
      <c r="U39" s="45"/>
      <c r="V39" s="45"/>
      <c r="W39" s="45"/>
      <c r="X39" s="76"/>
      <c r="Y39" s="46"/>
      <c r="AF39" s="135"/>
      <c r="AS39" s="193"/>
      <c r="AT39" s="507"/>
      <c r="AU39" s="789"/>
      <c r="AV39" s="789"/>
      <c r="AW39" s="789"/>
      <c r="AX39" s="791"/>
      <c r="AY39" s="33"/>
      <c r="AZ39" s="33"/>
      <c r="BA39" s="33"/>
      <c r="BB39" s="33"/>
      <c r="BC39" s="33"/>
      <c r="BD39" s="33"/>
      <c r="BE39" s="33"/>
      <c r="BF39" s="33"/>
      <c r="BG39" s="790"/>
      <c r="BH39" s="791"/>
      <c r="BI39" s="33"/>
      <c r="BJ39" s="33"/>
      <c r="BK39" s="33"/>
      <c r="BL39" s="33"/>
      <c r="BM39" s="33"/>
      <c r="BN39" s="33"/>
      <c r="BO39" s="33"/>
      <c r="BP39" s="33"/>
      <c r="BQ39" s="790"/>
      <c r="BR39" s="791"/>
      <c r="BS39" s="33"/>
      <c r="BT39" s="33"/>
      <c r="BU39" s="33"/>
      <c r="BV39" s="33"/>
      <c r="BW39" s="33"/>
      <c r="BX39" s="33"/>
      <c r="BY39" s="33"/>
      <c r="BZ39" s="33"/>
      <c r="CA39" s="790"/>
      <c r="CB39" s="791"/>
      <c r="CC39" s="33"/>
      <c r="CD39" s="33"/>
      <c r="CE39" s="33"/>
      <c r="CF39" s="33"/>
      <c r="CG39" s="33"/>
      <c r="CH39" s="33"/>
      <c r="CI39" s="33"/>
      <c r="CJ39" s="33"/>
      <c r="CK39" s="790"/>
      <c r="CL39" s="791"/>
      <c r="CM39" s="33"/>
      <c r="CN39" s="33"/>
      <c r="CO39" s="33"/>
      <c r="CP39" s="33"/>
      <c r="CQ39" s="33"/>
      <c r="CR39" s="33"/>
      <c r="CS39" s="33"/>
      <c r="CT39" s="33"/>
      <c r="CU39" s="790"/>
      <c r="CV39" s="791"/>
      <c r="CW39" s="33"/>
      <c r="CX39" s="33"/>
      <c r="CY39" s="33"/>
      <c r="CZ39" s="33"/>
      <c r="DA39" s="33"/>
      <c r="DB39" s="33"/>
      <c r="DC39" s="33"/>
      <c r="DD39" s="33"/>
      <c r="DE39" s="790"/>
      <c r="DF39" s="791"/>
      <c r="DG39" s="33"/>
      <c r="DH39" s="33"/>
      <c r="DI39" s="33"/>
      <c r="DJ39" s="33"/>
      <c r="DK39" s="33"/>
      <c r="DL39" s="33"/>
      <c r="DM39" s="33"/>
      <c r="DN39" s="33"/>
      <c r="DO39" s="790"/>
      <c r="DP39" s="791"/>
      <c r="DQ39" s="33"/>
      <c r="DR39" s="33"/>
      <c r="DS39" s="33"/>
      <c r="DT39" s="33"/>
      <c r="DU39" s="33"/>
      <c r="DV39" s="33"/>
      <c r="DW39" s="33"/>
      <c r="DX39" s="33"/>
      <c r="DY39" s="790"/>
      <c r="DZ39" s="791"/>
      <c r="EA39" s="33"/>
      <c r="EB39" s="33"/>
      <c r="EC39" s="33"/>
      <c r="ED39" s="33"/>
      <c r="EE39" s="33"/>
      <c r="EF39" s="33"/>
      <c r="EG39" s="33"/>
      <c r="EH39" s="33"/>
      <c r="EI39" s="790"/>
      <c r="EJ39" s="791"/>
      <c r="EK39" s="33"/>
      <c r="EL39" s="33"/>
      <c r="EM39" s="33"/>
      <c r="EN39" s="33"/>
      <c r="EO39" s="33"/>
      <c r="EP39" s="33"/>
      <c r="EQ39" s="33"/>
      <c r="ER39" s="33"/>
      <c r="ES39" s="790"/>
      <c r="ET39" s="791"/>
      <c r="EU39" s="33"/>
      <c r="EV39" s="33"/>
      <c r="EW39" s="33"/>
      <c r="EX39" s="33"/>
      <c r="EY39" s="33"/>
      <c r="EZ39" s="33"/>
      <c r="FA39" s="33"/>
      <c r="FB39" s="33"/>
      <c r="FC39" s="790"/>
      <c r="FD39" s="791"/>
      <c r="FE39" s="33"/>
      <c r="FF39" s="33"/>
      <c r="FG39" s="33"/>
      <c r="FH39" s="33"/>
      <c r="FI39" s="33"/>
      <c r="FJ39" s="33"/>
      <c r="FK39" s="33"/>
      <c r="FL39" s="33"/>
      <c r="FM39" s="790"/>
      <c r="FN39" s="791"/>
      <c r="FO39" s="791"/>
      <c r="FP39" s="33"/>
      <c r="FQ39" s="33"/>
      <c r="FR39" s="33"/>
      <c r="FS39" s="33"/>
      <c r="FT39" s="33"/>
      <c r="FU39" s="33"/>
      <c r="FV39" s="786"/>
      <c r="FW39" s="786"/>
      <c r="FX39" s="786"/>
      <c r="FY39" s="786"/>
      <c r="FZ39" s="786"/>
      <c r="GA39" s="786"/>
      <c r="GB39" s="786"/>
      <c r="GC39" s="786"/>
      <c r="GD39" s="786"/>
      <c r="GE39" s="786"/>
      <c r="GF39" s="786"/>
      <c r="GG39" s="786"/>
      <c r="GH39" s="791"/>
      <c r="GI39" s="791"/>
      <c r="GJ39" s="33"/>
      <c r="GK39" s="33"/>
      <c r="GL39" s="33"/>
      <c r="GM39" s="33"/>
      <c r="GN39" s="791"/>
      <c r="GO39" s="791"/>
      <c r="GP39" s="791"/>
      <c r="GQ39" s="791"/>
      <c r="GR39" s="791"/>
      <c r="GS39" s="791"/>
      <c r="GT39" s="791"/>
      <c r="GU39" s="791"/>
      <c r="GV39" s="791"/>
      <c r="GW39" s="791"/>
      <c r="GX39" s="791"/>
      <c r="GY39" s="791"/>
      <c r="GZ39" s="791"/>
      <c r="HA39" s="791"/>
      <c r="HB39" s="791"/>
      <c r="HC39" s="791"/>
      <c r="HD39" s="791"/>
      <c r="HE39" s="791"/>
      <c r="HF39" s="791"/>
      <c r="HG39" s="791"/>
      <c r="HH39" s="791"/>
      <c r="HI39" s="791"/>
      <c r="HJ39" s="791"/>
      <c r="HK39" s="791"/>
      <c r="HL39" s="791"/>
      <c r="HM39" s="791"/>
      <c r="HN39" s="33"/>
      <c r="HO39" s="33"/>
      <c r="HP39" s="33"/>
      <c r="HQ39" s="33"/>
      <c r="HR39" s="33"/>
      <c r="HS39" s="33"/>
      <c r="HT39" s="33"/>
      <c r="HU39" s="33"/>
      <c r="HV39" s="33"/>
      <c r="HW39" s="33"/>
      <c r="HX39" s="33"/>
      <c r="HY39" s="33"/>
      <c r="HZ39" s="33"/>
      <c r="IA39" s="33"/>
      <c r="IB39" s="33"/>
      <c r="IC39" s="33"/>
      <c r="ID39" s="33"/>
      <c r="IE39" s="33"/>
      <c r="IF39" s="791"/>
      <c r="IG39" s="791"/>
      <c r="IH39" s="33"/>
      <c r="II39" s="33"/>
      <c r="IJ39" s="33"/>
      <c r="IK39" s="33"/>
      <c r="IL39" s="33"/>
      <c r="IM39" s="33"/>
      <c r="IN39" s="792"/>
      <c r="IO39" s="792"/>
      <c r="IP39" s="792"/>
      <c r="IQ39" s="788"/>
      <c r="IR39" s="792"/>
      <c r="IS39" s="792"/>
      <c r="IT39" s="792"/>
      <c r="IU39" s="792"/>
      <c r="IV39" s="792"/>
      <c r="IW39" s="792"/>
      <c r="IX39" s="507"/>
      <c r="IY39" s="193"/>
      <c r="IZ39" s="193"/>
      <c r="JA39" s="193"/>
      <c r="JB39" s="193"/>
      <c r="JC39" s="193"/>
      <c r="JD39" s="193"/>
      <c r="JE39" s="193"/>
      <c r="JF39" s="193"/>
      <c r="JG39" s="193"/>
      <c r="JH39" s="193"/>
    </row>
    <row r="40" spans="2:26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F40" s="135"/>
      <c r="AS40" s="193"/>
      <c r="AT40" s="507"/>
      <c r="AU40" s="789"/>
      <c r="AV40" s="789"/>
      <c r="AW40" s="789"/>
      <c r="AX40" s="791"/>
      <c r="AY40" s="33"/>
      <c r="AZ40" s="33"/>
      <c r="BA40" s="33"/>
      <c r="BB40" s="33"/>
      <c r="BC40" s="33"/>
      <c r="BD40" s="33"/>
      <c r="BE40" s="33"/>
      <c r="BF40" s="33"/>
      <c r="BG40" s="790"/>
      <c r="BH40" s="791"/>
      <c r="BI40" s="33"/>
      <c r="BJ40" s="33"/>
      <c r="BK40" s="33"/>
      <c r="BL40" s="33"/>
      <c r="BM40" s="33"/>
      <c r="BN40" s="33"/>
      <c r="BO40" s="33"/>
      <c r="BP40" s="33"/>
      <c r="BQ40" s="790"/>
      <c r="BR40" s="791"/>
      <c r="BS40" s="33"/>
      <c r="BT40" s="33"/>
      <c r="BU40" s="33"/>
      <c r="BV40" s="33"/>
      <c r="BW40" s="33"/>
      <c r="BX40" s="33"/>
      <c r="BY40" s="33"/>
      <c r="BZ40" s="33"/>
      <c r="CA40" s="790"/>
      <c r="CB40" s="791"/>
      <c r="CC40" s="33"/>
      <c r="CD40" s="33"/>
      <c r="CE40" s="33"/>
      <c r="CF40" s="33"/>
      <c r="CG40" s="33"/>
      <c r="CH40" s="33"/>
      <c r="CI40" s="33"/>
      <c r="CJ40" s="33"/>
      <c r="CK40" s="790"/>
      <c r="CL40" s="791"/>
      <c r="CM40" s="33"/>
      <c r="CN40" s="33"/>
      <c r="CO40" s="33"/>
      <c r="CP40" s="33"/>
      <c r="CQ40" s="33"/>
      <c r="CR40" s="33"/>
      <c r="CS40" s="33"/>
      <c r="CT40" s="33"/>
      <c r="CU40" s="790"/>
      <c r="CV40" s="791"/>
      <c r="CW40" s="33"/>
      <c r="CX40" s="33"/>
      <c r="CY40" s="33"/>
      <c r="CZ40" s="33"/>
      <c r="DA40" s="33"/>
      <c r="DB40" s="33"/>
      <c r="DC40" s="33"/>
      <c r="DD40" s="33"/>
      <c r="DE40" s="790"/>
      <c r="DF40" s="791"/>
      <c r="DG40" s="33"/>
      <c r="DH40" s="33"/>
      <c r="DI40" s="33"/>
      <c r="DJ40" s="33"/>
      <c r="DK40" s="33"/>
      <c r="DL40" s="33"/>
      <c r="DM40" s="33"/>
      <c r="DN40" s="33"/>
      <c r="DO40" s="790"/>
      <c r="DP40" s="791"/>
      <c r="DQ40" s="33"/>
      <c r="DR40" s="33"/>
      <c r="DS40" s="33"/>
      <c r="DT40" s="33"/>
      <c r="DU40" s="33"/>
      <c r="DV40" s="33"/>
      <c r="DW40" s="33"/>
      <c r="DX40" s="33"/>
      <c r="DY40" s="790"/>
      <c r="DZ40" s="791"/>
      <c r="EA40" s="33"/>
      <c r="EB40" s="33"/>
      <c r="EC40" s="33"/>
      <c r="ED40" s="33"/>
      <c r="EE40" s="33"/>
      <c r="EF40" s="33"/>
      <c r="EG40" s="33"/>
      <c r="EH40" s="33"/>
      <c r="EI40" s="790"/>
      <c r="EJ40" s="791"/>
      <c r="EK40" s="33"/>
      <c r="EL40" s="33"/>
      <c r="EM40" s="33"/>
      <c r="EN40" s="33"/>
      <c r="EO40" s="33"/>
      <c r="EP40" s="33"/>
      <c r="EQ40" s="33"/>
      <c r="ER40" s="33"/>
      <c r="ES40" s="790"/>
      <c r="ET40" s="791"/>
      <c r="EU40" s="33"/>
      <c r="EV40" s="33"/>
      <c r="EW40" s="33"/>
      <c r="EX40" s="33"/>
      <c r="EY40" s="33"/>
      <c r="EZ40" s="33"/>
      <c r="FA40" s="33"/>
      <c r="FB40" s="33"/>
      <c r="FC40" s="790"/>
      <c r="FD40" s="791"/>
      <c r="FE40" s="33"/>
      <c r="FF40" s="33"/>
      <c r="FG40" s="33"/>
      <c r="FH40" s="33"/>
      <c r="FI40" s="33"/>
      <c r="FJ40" s="33"/>
      <c r="FK40" s="33"/>
      <c r="FL40" s="33"/>
      <c r="FM40" s="790"/>
      <c r="FN40" s="791"/>
      <c r="FO40" s="791"/>
      <c r="FP40" s="33"/>
      <c r="FQ40" s="33"/>
      <c r="FR40" s="33"/>
      <c r="FS40" s="33"/>
      <c r="FT40" s="33"/>
      <c r="FU40" s="33"/>
      <c r="FV40" s="791"/>
      <c r="FW40" s="791"/>
      <c r="FX40" s="791"/>
      <c r="FY40" s="791"/>
      <c r="FZ40" s="791"/>
      <c r="GA40" s="791"/>
      <c r="GB40" s="791"/>
      <c r="GC40" s="791"/>
      <c r="GD40" s="791"/>
      <c r="GE40" s="791"/>
      <c r="GF40" s="791"/>
      <c r="GG40" s="791"/>
      <c r="GH40" s="791"/>
      <c r="GI40" s="791"/>
      <c r="GJ40" s="33"/>
      <c r="GK40" s="33"/>
      <c r="GL40" s="33"/>
      <c r="GM40" s="33"/>
      <c r="GN40" s="791"/>
      <c r="GO40" s="791"/>
      <c r="GP40" s="791"/>
      <c r="GQ40" s="791"/>
      <c r="GR40" s="791"/>
      <c r="GS40" s="791"/>
      <c r="GT40" s="791"/>
      <c r="GU40" s="791"/>
      <c r="GV40" s="791"/>
      <c r="GW40" s="791"/>
      <c r="GX40" s="791"/>
      <c r="GY40" s="791"/>
      <c r="GZ40" s="791"/>
      <c r="HA40" s="791"/>
      <c r="HB40" s="791"/>
      <c r="HC40" s="791"/>
      <c r="HD40" s="791"/>
      <c r="HE40" s="791"/>
      <c r="HF40" s="791"/>
      <c r="HG40" s="791"/>
      <c r="HH40" s="791"/>
      <c r="HI40" s="791"/>
      <c r="HJ40" s="791"/>
      <c r="HK40" s="791"/>
      <c r="HL40" s="791"/>
      <c r="HM40" s="791"/>
      <c r="HN40" s="33"/>
      <c r="HO40" s="33"/>
      <c r="HP40" s="33"/>
      <c r="HQ40" s="33"/>
      <c r="HR40" s="33"/>
      <c r="HS40" s="33"/>
      <c r="HT40" s="33"/>
      <c r="HU40" s="33"/>
      <c r="HV40" s="33"/>
      <c r="HW40" s="33"/>
      <c r="HX40" s="33"/>
      <c r="HY40" s="33"/>
      <c r="HZ40" s="33"/>
      <c r="IA40" s="33"/>
      <c r="IB40" s="33"/>
      <c r="IC40" s="33"/>
      <c r="ID40" s="33"/>
      <c r="IE40" s="33"/>
      <c r="IF40" s="791"/>
      <c r="IG40" s="791"/>
      <c r="IH40" s="33"/>
      <c r="II40" s="33"/>
      <c r="IJ40" s="33"/>
      <c r="IK40" s="33"/>
      <c r="IL40" s="33"/>
      <c r="IM40" s="33"/>
      <c r="IN40" s="792"/>
      <c r="IO40" s="792"/>
      <c r="IP40" s="792"/>
      <c r="IQ40" s="788"/>
      <c r="IR40" s="792"/>
      <c r="IS40" s="792"/>
      <c r="IT40" s="792"/>
      <c r="IU40" s="792"/>
      <c r="IV40" s="792"/>
      <c r="IW40" s="792"/>
      <c r="IX40" s="507"/>
      <c r="IY40" s="193"/>
      <c r="IZ40" s="193"/>
      <c r="JA40" s="193"/>
      <c r="JB40" s="193"/>
      <c r="JC40" s="193"/>
      <c r="JD40" s="193"/>
      <c r="JE40" s="193"/>
      <c r="JF40" s="193"/>
      <c r="JG40" s="193"/>
      <c r="JH40" s="193"/>
    </row>
    <row r="41" spans="2:268" x14ac:dyDescent="0.25">
      <c r="B41" s="2"/>
      <c r="C41" s="2"/>
      <c r="D41" s="2"/>
      <c r="E41" s="2"/>
      <c r="F41" s="2"/>
      <c r="G41" s="2"/>
      <c r="H41" s="2"/>
      <c r="I41" s="2"/>
      <c r="J41" s="2"/>
      <c r="K41" s="2"/>
      <c r="L41" s="2"/>
      <c r="M41" s="2"/>
      <c r="N41" s="2"/>
      <c r="O41" s="2"/>
      <c r="P41" s="2"/>
      <c r="Q41" s="2"/>
      <c r="R41" s="2"/>
      <c r="S41" s="2"/>
      <c r="T41" s="2"/>
      <c r="U41" s="2"/>
      <c r="V41" s="2"/>
      <c r="W41" s="2"/>
      <c r="X41" s="2"/>
      <c r="AS41" s="193"/>
      <c r="AT41" s="507"/>
      <c r="AU41" s="507"/>
      <c r="AV41" s="507"/>
      <c r="AW41" s="507"/>
      <c r="AX41" s="507"/>
      <c r="AY41" s="507"/>
      <c r="AZ41" s="507"/>
      <c r="BA41" s="507"/>
      <c r="BB41" s="507"/>
      <c r="BC41" s="507"/>
      <c r="BD41" s="507"/>
      <c r="BE41" s="507"/>
      <c r="BF41" s="507"/>
      <c r="BG41" s="507"/>
      <c r="BH41" s="786"/>
      <c r="BI41" s="787"/>
      <c r="BJ41" s="787"/>
      <c r="BK41" s="787"/>
      <c r="BL41" s="787"/>
      <c r="BM41" s="787"/>
      <c r="BN41" s="787"/>
      <c r="BO41" s="787"/>
      <c r="BP41" s="787"/>
      <c r="BQ41" s="787"/>
      <c r="BR41" s="786"/>
      <c r="BS41" s="787"/>
      <c r="BT41" s="787"/>
      <c r="BU41" s="787"/>
      <c r="BV41" s="787"/>
      <c r="BW41" s="787"/>
      <c r="BX41" s="787"/>
      <c r="BY41" s="787"/>
      <c r="BZ41" s="787"/>
      <c r="CA41" s="787"/>
      <c r="CB41" s="786"/>
      <c r="CC41" s="787"/>
      <c r="CD41" s="787"/>
      <c r="CE41" s="787"/>
      <c r="CF41" s="787"/>
      <c r="CG41" s="787"/>
      <c r="CH41" s="787"/>
      <c r="CI41" s="787"/>
      <c r="CJ41" s="787"/>
      <c r="CK41" s="787"/>
      <c r="CL41" s="786"/>
      <c r="CM41" s="787"/>
      <c r="CN41" s="787"/>
      <c r="CO41" s="787"/>
      <c r="CP41" s="787"/>
      <c r="CQ41" s="787"/>
      <c r="CR41" s="787"/>
      <c r="CS41" s="787"/>
      <c r="CT41" s="787"/>
      <c r="CU41" s="787"/>
      <c r="CV41" s="786"/>
      <c r="CW41" s="787"/>
      <c r="CX41" s="787"/>
      <c r="CY41" s="787"/>
      <c r="CZ41" s="787"/>
      <c r="DA41" s="787"/>
      <c r="DB41" s="787"/>
      <c r="DC41" s="787"/>
      <c r="DD41" s="787"/>
      <c r="DE41" s="787"/>
      <c r="DF41" s="786"/>
      <c r="DG41" s="787"/>
      <c r="DH41" s="787"/>
      <c r="DI41" s="787"/>
      <c r="DJ41" s="787"/>
      <c r="DK41" s="787"/>
      <c r="DL41" s="787"/>
      <c r="DM41" s="787"/>
      <c r="DN41" s="787"/>
      <c r="DO41" s="787"/>
      <c r="DP41" s="786"/>
      <c r="DQ41" s="787"/>
      <c r="DR41" s="787"/>
      <c r="DS41" s="787"/>
      <c r="DT41" s="787"/>
      <c r="DU41" s="787"/>
      <c r="DV41" s="787"/>
      <c r="DW41" s="787"/>
      <c r="DX41" s="787"/>
      <c r="DY41" s="787"/>
      <c r="DZ41" s="786"/>
      <c r="EA41" s="787"/>
      <c r="EB41" s="787"/>
      <c r="EC41" s="787"/>
      <c r="ED41" s="787"/>
      <c r="EE41" s="787"/>
      <c r="EF41" s="787"/>
      <c r="EG41" s="787"/>
      <c r="EH41" s="787"/>
      <c r="EI41" s="787"/>
      <c r="EJ41" s="786"/>
      <c r="EK41" s="787"/>
      <c r="EL41" s="787"/>
      <c r="EM41" s="787"/>
      <c r="EN41" s="787"/>
      <c r="EO41" s="787"/>
      <c r="EP41" s="787"/>
      <c r="EQ41" s="787"/>
      <c r="ER41" s="787"/>
      <c r="ES41" s="787"/>
      <c r="ET41" s="786"/>
      <c r="EU41" s="787"/>
      <c r="EV41" s="787"/>
      <c r="EW41" s="787"/>
      <c r="EX41" s="787"/>
      <c r="EY41" s="787"/>
      <c r="EZ41" s="787"/>
      <c r="FA41" s="787"/>
      <c r="FB41" s="787"/>
      <c r="FC41" s="787"/>
      <c r="FD41" s="786"/>
      <c r="FE41" s="787"/>
      <c r="FF41" s="787"/>
      <c r="FG41" s="787"/>
      <c r="FH41" s="787"/>
      <c r="FI41" s="787"/>
      <c r="FJ41" s="787"/>
      <c r="FK41" s="787"/>
      <c r="FL41" s="787"/>
      <c r="FM41" s="787"/>
      <c r="FN41" s="786"/>
      <c r="FO41" s="787"/>
      <c r="FP41" s="787"/>
      <c r="FQ41" s="787"/>
      <c r="FR41" s="787"/>
      <c r="FS41" s="787"/>
      <c r="FT41" s="787"/>
      <c r="FU41" s="787"/>
      <c r="FV41" s="791"/>
      <c r="FW41" s="791"/>
      <c r="FX41" s="791"/>
      <c r="FY41" s="791"/>
      <c r="FZ41" s="791"/>
      <c r="GA41" s="791"/>
      <c r="GB41" s="791"/>
      <c r="GC41" s="791"/>
      <c r="GD41" s="791"/>
      <c r="GE41" s="791"/>
      <c r="GF41" s="791"/>
      <c r="GG41" s="791"/>
      <c r="GH41" s="786"/>
      <c r="GI41" s="787"/>
      <c r="GJ41" s="787"/>
      <c r="GK41" s="787"/>
      <c r="GL41" s="787"/>
      <c r="GM41" s="787"/>
      <c r="GN41" s="791"/>
      <c r="GO41" s="791"/>
      <c r="GP41" s="791"/>
      <c r="GQ41" s="791"/>
      <c r="GR41" s="791"/>
      <c r="GS41" s="791"/>
      <c r="GT41" s="791"/>
      <c r="GU41" s="791"/>
      <c r="GV41" s="791"/>
      <c r="GW41" s="791"/>
      <c r="GX41" s="791"/>
      <c r="GY41" s="791"/>
      <c r="GZ41" s="791"/>
      <c r="HA41" s="791"/>
      <c r="HB41" s="791"/>
      <c r="HC41" s="791"/>
      <c r="HD41" s="791"/>
      <c r="HE41" s="791"/>
      <c r="HF41" s="791"/>
      <c r="HG41" s="791"/>
      <c r="HH41" s="791"/>
      <c r="HI41" s="791"/>
      <c r="HJ41" s="791"/>
      <c r="HK41" s="791"/>
      <c r="HL41" s="786"/>
      <c r="HM41" s="787"/>
      <c r="HN41" s="787"/>
      <c r="HO41" s="787"/>
      <c r="HP41" s="787"/>
      <c r="HQ41" s="787"/>
      <c r="HR41" s="787"/>
      <c r="HS41" s="787"/>
      <c r="HT41" s="33"/>
      <c r="HU41" s="33"/>
      <c r="HV41" s="33"/>
      <c r="HW41" s="33"/>
      <c r="HX41" s="33"/>
      <c r="HY41" s="33"/>
      <c r="HZ41" s="33"/>
      <c r="IA41" s="33"/>
      <c r="IB41" s="33"/>
      <c r="IC41" s="33"/>
      <c r="ID41" s="33"/>
      <c r="IE41" s="33"/>
      <c r="IF41" s="786"/>
      <c r="IG41" s="787"/>
      <c r="IH41" s="787"/>
      <c r="II41" s="787"/>
      <c r="IJ41" s="787"/>
      <c r="IK41" s="787"/>
      <c r="IL41" s="787"/>
      <c r="IM41" s="787"/>
      <c r="IN41" s="507"/>
      <c r="IO41" s="507"/>
      <c r="IP41" s="507"/>
      <c r="IQ41" s="507"/>
      <c r="IR41" s="507"/>
      <c r="IS41" s="507"/>
      <c r="IT41" s="507"/>
      <c r="IU41" s="507"/>
      <c r="IV41" s="507"/>
      <c r="IW41" s="507"/>
      <c r="IX41" s="507"/>
      <c r="IY41" s="193"/>
      <c r="IZ41" s="193"/>
      <c r="JA41" s="193"/>
      <c r="JB41" s="193"/>
      <c r="JC41" s="193"/>
      <c r="JD41" s="193"/>
      <c r="JE41" s="193"/>
      <c r="JF41" s="193"/>
      <c r="JG41" s="193"/>
      <c r="JH41" s="193"/>
    </row>
    <row r="42" spans="2:268" ht="15.75" thickBot="1" x14ac:dyDescent="0.3">
      <c r="B42" s="2"/>
      <c r="C42" s="2"/>
      <c r="D42" s="2"/>
      <c r="E42" s="2"/>
      <c r="F42" s="2"/>
      <c r="G42" s="2"/>
      <c r="H42" s="2"/>
      <c r="I42" s="2"/>
      <c r="J42" s="2"/>
      <c r="K42" s="2"/>
      <c r="L42" s="2"/>
      <c r="M42" s="2"/>
      <c r="N42" s="2"/>
      <c r="O42" s="2"/>
      <c r="P42" s="2"/>
      <c r="Q42" s="2"/>
      <c r="R42" s="2"/>
      <c r="S42" s="2"/>
      <c r="T42" s="2"/>
      <c r="U42" s="2"/>
      <c r="V42" s="2"/>
      <c r="W42" s="2"/>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c r="IZ42" s="193"/>
      <c r="JA42" s="193"/>
      <c r="JB42" s="193"/>
      <c r="JC42" s="193"/>
      <c r="JD42" s="193"/>
      <c r="JE42" s="193"/>
      <c r="JF42" s="193"/>
      <c r="JG42" s="193"/>
      <c r="JH42" s="193"/>
    </row>
    <row r="43" spans="2:268" ht="24" thickBot="1" x14ac:dyDescent="0.4">
      <c r="B43" s="635" t="s">
        <v>339</v>
      </c>
      <c r="C43" s="460"/>
      <c r="D43" s="460"/>
      <c r="E43" s="460"/>
      <c r="F43" s="461"/>
      <c r="G43" s="193"/>
      <c r="H43" s="193"/>
      <c r="I43" s="193"/>
      <c r="J43" s="193"/>
      <c r="K43" s="2"/>
      <c r="L43" s="193"/>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AS43" s="193"/>
      <c r="AT43" s="193"/>
      <c r="AU43" s="193"/>
      <c r="AV43" s="193"/>
      <c r="AW43" s="193"/>
      <c r="AX43" s="193"/>
      <c r="AY43" s="193"/>
      <c r="AZ43" s="193"/>
      <c r="BA43" s="193"/>
      <c r="BB43" s="193"/>
      <c r="BC43" s="193"/>
      <c r="BD43" s="193"/>
      <c r="BE43" s="193"/>
      <c r="BF43" s="787"/>
      <c r="BG43" s="787"/>
      <c r="BH43" s="787"/>
      <c r="BI43" s="787"/>
      <c r="BJ43" s="787"/>
      <c r="BK43" s="787"/>
      <c r="BL43" s="787"/>
      <c r="BM43" s="787"/>
      <c r="BN43" s="786"/>
      <c r="BO43" s="787"/>
      <c r="BP43" s="787"/>
      <c r="BQ43" s="787"/>
      <c r="BR43" s="787"/>
      <c r="BS43" s="787"/>
      <c r="BT43" s="787"/>
      <c r="BU43" s="787"/>
      <c r="BV43" s="787"/>
      <c r="BW43" s="787"/>
      <c r="BX43" s="786"/>
      <c r="BY43" s="787"/>
      <c r="BZ43" s="787"/>
      <c r="CA43" s="787"/>
      <c r="CB43" s="787"/>
      <c r="CC43" s="787"/>
      <c r="CD43" s="787"/>
      <c r="CE43" s="787"/>
      <c r="CF43" s="787"/>
      <c r="CG43" s="787"/>
      <c r="CH43" s="786"/>
      <c r="CI43" s="787"/>
      <c r="CJ43" s="787"/>
      <c r="CK43" s="787"/>
      <c r="CL43" s="787"/>
      <c r="CM43" s="787"/>
      <c r="CN43" s="787"/>
      <c r="CO43" s="787"/>
      <c r="CP43" s="787"/>
      <c r="CQ43" s="787"/>
      <c r="CR43" s="786"/>
      <c r="CS43" s="787"/>
      <c r="CT43" s="787"/>
      <c r="CU43" s="787"/>
      <c r="CV43" s="787"/>
      <c r="CW43" s="787"/>
      <c r="CX43" s="787"/>
      <c r="CY43" s="787"/>
      <c r="CZ43" s="787"/>
      <c r="DA43" s="787"/>
      <c r="DB43" s="786"/>
      <c r="DC43" s="787"/>
      <c r="DD43" s="787"/>
      <c r="DE43" s="787"/>
      <c r="DF43" s="787"/>
      <c r="DG43" s="787"/>
      <c r="DH43" s="787"/>
      <c r="DI43" s="787"/>
      <c r="DJ43" s="787"/>
      <c r="DK43" s="787"/>
      <c r="DL43" s="786"/>
      <c r="DM43" s="787"/>
      <c r="DN43" s="787"/>
      <c r="DO43" s="787"/>
      <c r="DP43" s="787"/>
      <c r="DQ43" s="787"/>
      <c r="DR43" s="787"/>
      <c r="DS43" s="787"/>
      <c r="DT43" s="787"/>
      <c r="DU43" s="787"/>
      <c r="DV43" s="786"/>
      <c r="DW43" s="787"/>
      <c r="DX43" s="787"/>
      <c r="DY43" s="787"/>
      <c r="DZ43" s="787"/>
      <c r="EA43" s="787"/>
      <c r="EB43" s="787"/>
      <c r="EC43" s="787"/>
      <c r="ED43" s="787"/>
      <c r="EE43" s="787"/>
      <c r="EF43" s="786"/>
      <c r="EG43" s="787"/>
      <c r="EH43" s="787"/>
      <c r="EI43" s="787"/>
      <c r="EJ43" s="787"/>
      <c r="EK43" s="787"/>
      <c r="EL43" s="787"/>
      <c r="EM43" s="787"/>
      <c r="EN43" s="787"/>
      <c r="EO43" s="787"/>
      <c r="EP43" s="786"/>
      <c r="EQ43" s="787"/>
      <c r="ER43" s="787"/>
      <c r="ES43" s="787"/>
      <c r="ET43" s="787"/>
      <c r="EU43" s="787"/>
      <c r="EV43" s="787"/>
      <c r="EW43" s="787"/>
      <c r="EX43" s="787"/>
      <c r="EY43" s="787"/>
      <c r="EZ43" s="786"/>
      <c r="FA43" s="787"/>
      <c r="FB43" s="787"/>
      <c r="FC43" s="787"/>
      <c r="FD43" s="787"/>
      <c r="FE43" s="787"/>
      <c r="FF43" s="787"/>
      <c r="FG43" s="787"/>
      <c r="FH43" s="787"/>
      <c r="FI43" s="787"/>
      <c r="FJ43" s="786"/>
      <c r="FK43" s="787"/>
      <c r="FL43" s="787"/>
      <c r="FM43" s="787"/>
      <c r="FN43" s="787"/>
      <c r="FO43" s="787"/>
      <c r="FP43" s="787"/>
      <c r="FQ43" s="787"/>
      <c r="FR43" s="787"/>
      <c r="FS43" s="787"/>
      <c r="FT43" s="786"/>
      <c r="FU43" s="787"/>
      <c r="FV43" s="787"/>
      <c r="FW43" s="787"/>
      <c r="FX43" s="787"/>
      <c r="FY43" s="787"/>
      <c r="FZ43" s="787"/>
      <c r="GA43" s="787"/>
      <c r="GB43" s="787"/>
      <c r="GC43" s="787"/>
      <c r="GD43" s="786"/>
      <c r="GE43" s="787"/>
      <c r="GF43" s="787"/>
      <c r="GG43" s="787"/>
      <c r="GH43" s="787"/>
      <c r="GI43" s="787"/>
      <c r="GJ43" s="787"/>
      <c r="GK43" s="787"/>
      <c r="GL43" s="787"/>
      <c r="GM43" s="787"/>
      <c r="GN43" s="786"/>
      <c r="GO43" s="787"/>
      <c r="GP43" s="787"/>
      <c r="GQ43" s="787"/>
      <c r="GR43" s="787"/>
      <c r="GS43" s="787"/>
      <c r="GT43" s="787"/>
      <c r="GU43" s="787"/>
      <c r="GV43" s="507"/>
      <c r="GW43" s="507"/>
      <c r="GX43" s="507"/>
      <c r="GY43" s="507"/>
      <c r="GZ43" s="507"/>
      <c r="HA43" s="507"/>
      <c r="HB43" s="507"/>
      <c r="HC43" s="507"/>
      <c r="HD43" s="507"/>
      <c r="HE43" s="507"/>
      <c r="HF43" s="507"/>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c r="IW43" s="193"/>
      <c r="IX43" s="193"/>
      <c r="IY43" s="193"/>
      <c r="IZ43" s="193"/>
      <c r="JA43" s="193"/>
      <c r="JB43" s="193"/>
      <c r="JC43" s="193"/>
      <c r="JD43" s="193"/>
      <c r="JE43" s="193"/>
      <c r="JF43" s="193"/>
      <c r="JG43" s="193"/>
      <c r="JH43" s="193"/>
    </row>
    <row r="44" spans="2:268" ht="19.5" thickBot="1" x14ac:dyDescent="0.35">
      <c r="B44" s="636" t="s">
        <v>181</v>
      </c>
      <c r="C44" s="637" t="e">
        <f>C3+5.963+2.137</f>
        <v>#VALUE!</v>
      </c>
      <c r="D44" s="515"/>
      <c r="E44" s="515"/>
      <c r="F44" s="638"/>
      <c r="G44" s="193"/>
      <c r="H44" s="193"/>
      <c r="I44" s="193"/>
      <c r="J44" s="193"/>
      <c r="K44" s="193"/>
      <c r="L44" s="193"/>
      <c r="N44" s="994"/>
      <c r="O44" s="155"/>
      <c r="P44" s="75"/>
      <c r="Q44" s="156"/>
      <c r="R44" s="157">
        <v>12</v>
      </c>
      <c r="S44" s="157">
        <f t="shared" ref="S44:AA44" si="0">R44+6</f>
        <v>18</v>
      </c>
      <c r="T44" s="157">
        <f t="shared" si="0"/>
        <v>24</v>
      </c>
      <c r="U44" s="157">
        <f t="shared" si="0"/>
        <v>30</v>
      </c>
      <c r="V44" s="157">
        <f t="shared" si="0"/>
        <v>36</v>
      </c>
      <c r="W44" s="157">
        <f t="shared" si="0"/>
        <v>42</v>
      </c>
      <c r="X44" s="158">
        <f t="shared" si="0"/>
        <v>48</v>
      </c>
      <c r="Y44" s="157">
        <f t="shared" si="0"/>
        <v>54</v>
      </c>
      <c r="Z44" s="157">
        <f t="shared" si="0"/>
        <v>60</v>
      </c>
      <c r="AA44" s="157">
        <f t="shared" si="0"/>
        <v>66</v>
      </c>
      <c r="AB44" s="157">
        <f t="shared" ref="AB44:AJ44" si="1">AA44+6</f>
        <v>72</v>
      </c>
      <c r="AC44" s="157">
        <f t="shared" si="1"/>
        <v>78</v>
      </c>
      <c r="AD44" s="157">
        <f t="shared" si="1"/>
        <v>84</v>
      </c>
      <c r="AE44" s="157">
        <f t="shared" si="1"/>
        <v>90</v>
      </c>
      <c r="AF44" s="157">
        <f t="shared" si="1"/>
        <v>96</v>
      </c>
      <c r="AG44" s="157">
        <f t="shared" si="1"/>
        <v>102</v>
      </c>
      <c r="AH44" s="157">
        <f t="shared" si="1"/>
        <v>108</v>
      </c>
      <c r="AI44" s="157">
        <f t="shared" si="1"/>
        <v>114</v>
      </c>
      <c r="AJ44" s="157">
        <f t="shared" si="1"/>
        <v>120</v>
      </c>
      <c r="AK44" s="74"/>
      <c r="AL44" s="74"/>
      <c r="AM44" s="74"/>
      <c r="AN44" s="74"/>
      <c r="AO44" s="74"/>
      <c r="AP44" s="74"/>
      <c r="AQ44" s="75"/>
    </row>
    <row r="45" spans="2:268" ht="18.75" customHeight="1" thickBot="1" x14ac:dyDescent="0.35">
      <c r="B45" s="639" t="s">
        <v>39</v>
      </c>
      <c r="C45" s="716" t="e">
        <f>VALUE(FIXED(C5,2))</f>
        <v>#VALUE!</v>
      </c>
      <c r="D45" s="40"/>
      <c r="E45" s="471"/>
      <c r="F45" s="641"/>
      <c r="G45" s="193"/>
      <c r="H45" s="193"/>
      <c r="I45" s="193"/>
      <c r="J45" s="193"/>
      <c r="K45" s="193"/>
      <c r="L45" s="193"/>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row>
    <row r="46" spans="2:268" ht="15.75" customHeight="1" thickBot="1" x14ac:dyDescent="0.4">
      <c r="B46" s="642" t="s">
        <v>63</v>
      </c>
      <c r="C46" s="471"/>
      <c r="D46" s="471"/>
      <c r="E46" s="471"/>
      <c r="F46" s="641"/>
      <c r="G46" s="193"/>
      <c r="H46" s="193"/>
      <c r="I46" s="193"/>
      <c r="J46" s="193"/>
      <c r="K46" s="193"/>
      <c r="L46" s="193"/>
      <c r="N46" s="484"/>
      <c r="O46" s="154">
        <v>13.06</v>
      </c>
      <c r="P46" s="183">
        <v>2</v>
      </c>
      <c r="Q46" s="490"/>
      <c r="R46" s="630">
        <v>2.72</v>
      </c>
      <c r="S46" s="630">
        <v>4.4400000000000004</v>
      </c>
      <c r="T46" s="630">
        <v>6.17</v>
      </c>
      <c r="U46" s="630">
        <v>7.9</v>
      </c>
      <c r="V46" s="630">
        <v>9.6300000000000008</v>
      </c>
      <c r="W46" s="630">
        <v>11.35</v>
      </c>
      <c r="X46" s="630">
        <v>13.08</v>
      </c>
      <c r="Y46" s="630">
        <v>14.81</v>
      </c>
      <c r="Z46" s="630">
        <v>16.54</v>
      </c>
      <c r="AA46" s="630">
        <v>18.260000000000002</v>
      </c>
      <c r="AB46" s="670">
        <v>19.990000000000002</v>
      </c>
      <c r="AC46" s="670">
        <v>21.720000000000002</v>
      </c>
      <c r="AD46" s="670">
        <v>23.450000000000003</v>
      </c>
      <c r="AE46" s="670">
        <v>25.180000000000003</v>
      </c>
      <c r="AF46" s="670">
        <v>26.910000000000004</v>
      </c>
      <c r="AG46" s="670">
        <v>28.640000000000004</v>
      </c>
      <c r="AH46" s="670">
        <v>30.370000000000005</v>
      </c>
      <c r="AI46" s="670">
        <v>32.1</v>
      </c>
      <c r="AJ46" s="670">
        <v>33.83</v>
      </c>
      <c r="AK46" s="114"/>
      <c r="AL46" s="114"/>
      <c r="AM46" s="114"/>
      <c r="AN46" s="114"/>
      <c r="AO46" s="114"/>
      <c r="AP46" s="114"/>
      <c r="AQ46" s="120"/>
      <c r="IS46" s="135"/>
    </row>
    <row r="47" spans="2:268" ht="15" customHeight="1" thickBot="1" x14ac:dyDescent="0.3">
      <c r="B47" s="643"/>
      <c r="C47" s="40"/>
      <c r="D47" s="471"/>
      <c r="E47" s="471"/>
      <c r="F47" s="654"/>
      <c r="G47" s="193"/>
      <c r="H47" s="193"/>
      <c r="I47" s="193"/>
      <c r="J47" s="193"/>
      <c r="K47" s="193"/>
      <c r="L47" s="193"/>
      <c r="N47" s="136"/>
      <c r="O47" s="124">
        <v>17.059999999999999</v>
      </c>
      <c r="P47" s="184">
        <v>3</v>
      </c>
      <c r="Q47" s="631"/>
      <c r="R47" s="630">
        <v>3.42</v>
      </c>
      <c r="S47" s="630">
        <v>5.5</v>
      </c>
      <c r="T47" s="630">
        <v>7.58</v>
      </c>
      <c r="U47" s="630">
        <v>9.66</v>
      </c>
      <c r="V47" s="630">
        <v>11.74</v>
      </c>
      <c r="W47" s="630">
        <v>13.82</v>
      </c>
      <c r="X47" s="630">
        <v>15.9</v>
      </c>
      <c r="Y47" s="630">
        <v>17.98</v>
      </c>
      <c r="Z47" s="630">
        <v>20.060000000000002</v>
      </c>
      <c r="AA47" s="630">
        <v>22.13</v>
      </c>
      <c r="AB47" s="671">
        <v>24.21</v>
      </c>
      <c r="AC47" s="671">
        <v>26.29</v>
      </c>
      <c r="AD47" s="671">
        <v>28.369999999999997</v>
      </c>
      <c r="AE47" s="671">
        <v>30.449999999999996</v>
      </c>
      <c r="AF47" s="671">
        <v>32.529999999999994</v>
      </c>
      <c r="AG47" s="671">
        <v>34.609999999999992</v>
      </c>
      <c r="AH47" s="671">
        <v>36.689999999999991</v>
      </c>
      <c r="AI47" s="671">
        <v>38.769999999999989</v>
      </c>
      <c r="AJ47" s="671">
        <v>40.849999999999987</v>
      </c>
      <c r="AK47" s="45"/>
      <c r="AL47" s="117"/>
      <c r="AM47" s="117" t="e">
        <f>D50</f>
        <v>#VALUE!</v>
      </c>
      <c r="AN47" s="118" t="e">
        <f>C44</f>
        <v>#VALUE!</v>
      </c>
      <c r="AO47" s="117" t="e">
        <f>E50</f>
        <v>#VALUE!</v>
      </c>
      <c r="AP47" s="45"/>
      <c r="AQ47" s="46"/>
      <c r="CL47" s="61"/>
      <c r="CM47" s="61"/>
      <c r="CN47" s="61"/>
      <c r="CO47" s="61"/>
      <c r="CP47" s="61"/>
      <c r="CQ47" s="61"/>
      <c r="CR47" s="61"/>
      <c r="CS47" s="61"/>
    </row>
    <row r="48" spans="2:268" ht="15" customHeight="1" thickBot="1" x14ac:dyDescent="0.3">
      <c r="B48" s="643"/>
      <c r="C48" s="644"/>
      <c r="D48" s="645" t="s">
        <v>215</v>
      </c>
      <c r="E48" s="662"/>
      <c r="F48" s="668"/>
      <c r="G48" s="436"/>
      <c r="H48" s="436"/>
      <c r="I48" s="436"/>
      <c r="J48" s="193"/>
      <c r="K48" s="193"/>
      <c r="L48" s="193"/>
      <c r="N48" s="79"/>
      <c r="O48" s="124">
        <v>21.06</v>
      </c>
      <c r="P48" s="184">
        <v>4</v>
      </c>
      <c r="Q48" s="631"/>
      <c r="R48" s="630">
        <v>4.12</v>
      </c>
      <c r="S48" s="630">
        <v>6.55</v>
      </c>
      <c r="T48" s="630">
        <v>8.98</v>
      </c>
      <c r="U48" s="630">
        <v>11.41</v>
      </c>
      <c r="V48" s="630">
        <v>13.84</v>
      </c>
      <c r="W48" s="630">
        <v>16.27</v>
      </c>
      <c r="X48" s="630">
        <v>18.7</v>
      </c>
      <c r="Y48" s="630">
        <v>21.13</v>
      </c>
      <c r="Z48" s="630">
        <v>23.56</v>
      </c>
      <c r="AA48" s="630">
        <v>25.99</v>
      </c>
      <c r="AB48" s="671">
        <v>28.419999999999998</v>
      </c>
      <c r="AC48" s="671">
        <v>30.849999999999998</v>
      </c>
      <c r="AD48" s="671">
        <v>33.28</v>
      </c>
      <c r="AE48" s="671">
        <v>35.71</v>
      </c>
      <c r="AF48" s="671">
        <v>38.14</v>
      </c>
      <c r="AG48" s="671">
        <v>40.57</v>
      </c>
      <c r="AH48" s="671">
        <v>43</v>
      </c>
      <c r="AI48" s="671">
        <v>45.43</v>
      </c>
      <c r="AJ48" s="671">
        <v>47.86</v>
      </c>
      <c r="AK48" s="76"/>
      <c r="AL48" s="118" t="e">
        <f>C45</f>
        <v>#VALUE!</v>
      </c>
      <c r="AM48" s="118" t="e">
        <f>INDEX(P46:AJ65,MATCH(AL48,O46:O61,0),D51)</f>
        <v>#VALUE!</v>
      </c>
      <c r="AN48" s="118" t="e">
        <f>(((AN47-AM47)/(AO47-AM47))*(AO48-AM48))+AM48</f>
        <v>#VALUE!</v>
      </c>
      <c r="AO48" s="118" t="e">
        <f>INDEX(P46:AJ65,MATCH(AL48,O46:O61,0),E51)</f>
        <v>#VALUE!</v>
      </c>
      <c r="AP48" s="45"/>
      <c r="AQ48" s="46"/>
    </row>
    <row r="49" spans="1:59" ht="16.5" thickBot="1" x14ac:dyDescent="0.3">
      <c r="B49" s="643"/>
      <c r="C49" s="646"/>
      <c r="D49" s="647" t="s">
        <v>64</v>
      </c>
      <c r="E49" s="663" t="s">
        <v>65</v>
      </c>
      <c r="F49" s="668"/>
      <c r="G49" s="436"/>
      <c r="H49" s="436"/>
      <c r="I49" s="436"/>
      <c r="J49" s="193"/>
      <c r="K49" s="193"/>
      <c r="L49" s="193"/>
      <c r="N49" s="79"/>
      <c r="O49" s="124">
        <v>25.06</v>
      </c>
      <c r="P49" s="184">
        <v>5</v>
      </c>
      <c r="Q49" s="631"/>
      <c r="R49" s="630">
        <v>4.82</v>
      </c>
      <c r="S49" s="630">
        <v>7.6</v>
      </c>
      <c r="T49" s="630">
        <v>10.38</v>
      </c>
      <c r="U49" s="630">
        <v>13.17</v>
      </c>
      <c r="V49" s="630">
        <v>15.95</v>
      </c>
      <c r="W49" s="630">
        <v>18.73</v>
      </c>
      <c r="X49" s="630">
        <v>21.51</v>
      </c>
      <c r="Y49" s="630">
        <v>24.29</v>
      </c>
      <c r="Z49" s="630">
        <v>27.07</v>
      </c>
      <c r="AA49" s="630">
        <v>29.85</v>
      </c>
      <c r="AB49" s="671">
        <v>32.630000000000003</v>
      </c>
      <c r="AC49" s="671">
        <v>35.410000000000004</v>
      </c>
      <c r="AD49" s="671">
        <v>38.190000000000005</v>
      </c>
      <c r="AE49" s="671">
        <v>40.970000000000006</v>
      </c>
      <c r="AF49" s="671">
        <v>43.750000000000007</v>
      </c>
      <c r="AG49" s="671">
        <v>46.530000000000008</v>
      </c>
      <c r="AH49" s="671">
        <v>49.310000000000009</v>
      </c>
      <c r="AI49" s="671">
        <v>52.090000000000011</v>
      </c>
      <c r="AJ49" s="671">
        <v>54.870000000000012</v>
      </c>
      <c r="AK49" s="45"/>
      <c r="AL49" s="413"/>
      <c r="AM49" s="118"/>
      <c r="AN49" s="119"/>
      <c r="AO49" s="118"/>
      <c r="AP49" s="45"/>
      <c r="AQ49" s="46"/>
    </row>
    <row r="50" spans="1:59" ht="16.5" thickBot="1" x14ac:dyDescent="0.3">
      <c r="B50" s="643"/>
      <c r="C50" s="648"/>
      <c r="D50" s="649" t="e">
        <f>IF(AND(C44&lt;18,C44&gt;=H3),12,FLOOR(C44/6,1)*6)</f>
        <v>#VALUE!</v>
      </c>
      <c r="E50" s="664" t="e">
        <f>IF(D50&lt;12,12,D50+6)</f>
        <v>#VALUE!</v>
      </c>
      <c r="F50" s="668"/>
      <c r="G50" s="436"/>
      <c r="H50" s="436"/>
      <c r="I50" s="436"/>
      <c r="J50" s="193"/>
      <c r="K50" s="193"/>
      <c r="L50" s="193"/>
      <c r="N50" s="79"/>
      <c r="O50" s="124">
        <v>29.06</v>
      </c>
      <c r="P50" s="184">
        <v>6</v>
      </c>
      <c r="Q50" s="631"/>
      <c r="R50" s="630">
        <v>5.52</v>
      </c>
      <c r="S50" s="630">
        <v>8.66</v>
      </c>
      <c r="T50" s="630">
        <v>11.79</v>
      </c>
      <c r="U50" s="630">
        <v>14.919999999999998</v>
      </c>
      <c r="V50" s="630">
        <v>18.049999999999997</v>
      </c>
      <c r="W50" s="630">
        <v>21.179999999999996</v>
      </c>
      <c r="X50" s="630">
        <v>24.309999999999995</v>
      </c>
      <c r="Y50" s="630">
        <v>27.439999999999994</v>
      </c>
      <c r="Z50" s="630">
        <v>30.569999999999993</v>
      </c>
      <c r="AA50" s="630">
        <v>33.71</v>
      </c>
      <c r="AB50" s="671">
        <v>36.840000000000003</v>
      </c>
      <c r="AC50" s="671">
        <v>39.970000000000006</v>
      </c>
      <c r="AD50" s="671">
        <v>43.100000000000009</v>
      </c>
      <c r="AE50" s="671">
        <v>46.230000000000011</v>
      </c>
      <c r="AF50" s="671">
        <v>49.360000000000014</v>
      </c>
      <c r="AG50" s="671">
        <v>52.490000000000016</v>
      </c>
      <c r="AH50" s="671">
        <v>55.620000000000019</v>
      </c>
      <c r="AI50" s="671">
        <v>58.750000000000021</v>
      </c>
      <c r="AJ50" s="671">
        <v>61.880000000000024</v>
      </c>
      <c r="AK50" s="45"/>
      <c r="AL50" s="117"/>
      <c r="AM50" s="118"/>
      <c r="AN50" s="118"/>
      <c r="AO50" s="118"/>
      <c r="AP50" s="45"/>
      <c r="AQ50" s="46"/>
    </row>
    <row r="51" spans="1:59" ht="15.75" thickBot="1" x14ac:dyDescent="0.3">
      <c r="B51" s="643"/>
      <c r="C51" s="648" t="s">
        <v>34</v>
      </c>
      <c r="D51" s="649" t="e">
        <f>HLOOKUP(D50,P44:AJ45,2)</f>
        <v>#VALUE!</v>
      </c>
      <c r="E51" s="664" t="e">
        <f>HLOOKUP(E50,P44:AJ45,2)</f>
        <v>#VALUE!</v>
      </c>
      <c r="F51" s="668"/>
      <c r="G51" s="436"/>
      <c r="H51" s="436"/>
      <c r="I51" s="436"/>
      <c r="J51" s="193"/>
      <c r="K51" s="193"/>
      <c r="L51" s="193"/>
      <c r="N51" s="79"/>
      <c r="O51" s="124">
        <v>33.06</v>
      </c>
      <c r="P51" s="184">
        <v>7</v>
      </c>
      <c r="Q51" s="631"/>
      <c r="R51" s="630">
        <v>6.23</v>
      </c>
      <c r="S51" s="630">
        <v>9.7100000000000009</v>
      </c>
      <c r="T51" s="630">
        <v>13.19</v>
      </c>
      <c r="U51" s="630">
        <v>16.68</v>
      </c>
      <c r="V51" s="630">
        <v>20.16</v>
      </c>
      <c r="W51" s="630">
        <v>23.64</v>
      </c>
      <c r="X51" s="630">
        <v>27.12</v>
      </c>
      <c r="Y51" s="630">
        <v>30.61</v>
      </c>
      <c r="Z51" s="630">
        <v>34.090000000000003</v>
      </c>
      <c r="AA51" s="630">
        <v>37.57</v>
      </c>
      <c r="AB51" s="671">
        <v>41.05</v>
      </c>
      <c r="AC51" s="671">
        <v>44.529999999999994</v>
      </c>
      <c r="AD51" s="671">
        <v>48.009999999999991</v>
      </c>
      <c r="AE51" s="671">
        <v>51.489999999999988</v>
      </c>
      <c r="AF51" s="671">
        <v>54.969999999999985</v>
      </c>
      <c r="AG51" s="671">
        <v>58.449999999999982</v>
      </c>
      <c r="AH51" s="671">
        <v>61.929999999999978</v>
      </c>
      <c r="AI51" s="671">
        <v>65.409999999999982</v>
      </c>
      <c r="AJ51" s="671">
        <v>68.889999999999986</v>
      </c>
      <c r="AK51" s="45"/>
      <c r="AL51" s="45"/>
      <c r="AM51" s="45"/>
      <c r="AN51" s="45"/>
      <c r="AO51" s="45"/>
      <c r="AP51" s="45"/>
      <c r="AQ51" s="46"/>
    </row>
    <row r="52" spans="1:59" ht="16.5" thickBot="1" x14ac:dyDescent="0.3">
      <c r="B52" s="643"/>
      <c r="C52" s="650"/>
      <c r="D52" s="651"/>
      <c r="E52" s="665"/>
      <c r="F52" s="668"/>
      <c r="G52" s="436"/>
      <c r="H52" s="436"/>
      <c r="I52" s="436"/>
      <c r="J52" s="193"/>
      <c r="K52" s="193"/>
      <c r="L52" s="193"/>
      <c r="N52" s="79"/>
      <c r="O52" s="124">
        <v>37.06</v>
      </c>
      <c r="P52" s="184">
        <v>8</v>
      </c>
      <c r="Q52" s="631"/>
      <c r="R52" s="630">
        <v>6.93</v>
      </c>
      <c r="S52" s="630">
        <v>10.76</v>
      </c>
      <c r="T52" s="630">
        <v>14.6</v>
      </c>
      <c r="U52" s="630">
        <v>18.43</v>
      </c>
      <c r="V52" s="630">
        <v>22.27</v>
      </c>
      <c r="W52" s="630">
        <v>26.1</v>
      </c>
      <c r="X52" s="630">
        <v>29.93</v>
      </c>
      <c r="Y52" s="630">
        <v>33.770000000000003</v>
      </c>
      <c r="Z52" s="630">
        <v>37.6</v>
      </c>
      <c r="AA52" s="630">
        <v>41.44</v>
      </c>
      <c r="AB52" s="671">
        <v>45.269999999999996</v>
      </c>
      <c r="AC52" s="671">
        <v>49.099999999999994</v>
      </c>
      <c r="AD52" s="671">
        <v>52.929999999999993</v>
      </c>
      <c r="AE52" s="671">
        <v>56.759999999999991</v>
      </c>
      <c r="AF52" s="671">
        <v>60.589999999999989</v>
      </c>
      <c r="AG52" s="671">
        <v>64.419999999999987</v>
      </c>
      <c r="AH52" s="671">
        <v>68.249999999999986</v>
      </c>
      <c r="AI52" s="671">
        <v>72.079999999999984</v>
      </c>
      <c r="AJ52" s="671">
        <v>75.909999999999982</v>
      </c>
      <c r="AK52" s="45"/>
      <c r="AL52" s="117"/>
      <c r="AM52" s="117" t="e">
        <f>D62</f>
        <v>#VALUE!</v>
      </c>
      <c r="AN52" s="118" t="e">
        <f>C56</f>
        <v>#VALUE!</v>
      </c>
      <c r="AO52" s="117" t="e">
        <f>E62</f>
        <v>#VALUE!</v>
      </c>
      <c r="AP52" s="45"/>
      <c r="AQ52" s="46"/>
    </row>
    <row r="53" spans="1:59" ht="16.5" thickBot="1" x14ac:dyDescent="0.3">
      <c r="A53" s="71"/>
      <c r="B53" s="643"/>
      <c r="C53" s="471"/>
      <c r="D53" s="471"/>
      <c r="E53" s="666"/>
      <c r="F53" s="169"/>
      <c r="G53" s="193"/>
      <c r="H53" s="193"/>
      <c r="I53" s="193"/>
      <c r="J53" s="193"/>
      <c r="K53" s="193"/>
      <c r="L53" s="193"/>
      <c r="N53" s="79"/>
      <c r="O53" s="124">
        <v>41.06</v>
      </c>
      <c r="P53" s="184">
        <v>9</v>
      </c>
      <c r="Q53" s="631"/>
      <c r="R53" s="630">
        <v>7.63</v>
      </c>
      <c r="S53" s="630">
        <v>11.82</v>
      </c>
      <c r="T53" s="630">
        <v>16</v>
      </c>
      <c r="U53" s="630">
        <v>20.190000000000001</v>
      </c>
      <c r="V53" s="630">
        <v>24.37</v>
      </c>
      <c r="W53" s="630">
        <v>28.55</v>
      </c>
      <c r="X53" s="630">
        <v>32.730000000000004</v>
      </c>
      <c r="Y53" s="630">
        <v>36.910000000000004</v>
      </c>
      <c r="Z53" s="630">
        <v>41.09</v>
      </c>
      <c r="AA53" s="630">
        <v>45.3</v>
      </c>
      <c r="AB53" s="671">
        <v>49.48</v>
      </c>
      <c r="AC53" s="671">
        <v>53.66</v>
      </c>
      <c r="AD53" s="671">
        <v>57.839999999999996</v>
      </c>
      <c r="AE53" s="671">
        <v>62.019999999999996</v>
      </c>
      <c r="AF53" s="671">
        <v>66.199999999999989</v>
      </c>
      <c r="AG53" s="671">
        <v>70.38</v>
      </c>
      <c r="AH53" s="671">
        <v>74.56</v>
      </c>
      <c r="AI53" s="671">
        <v>78.740000000000009</v>
      </c>
      <c r="AJ53" s="671">
        <v>82.920000000000016</v>
      </c>
      <c r="AK53" s="45"/>
      <c r="AL53" s="118" t="e">
        <f>C57</f>
        <v>#VALUE!</v>
      </c>
      <c r="AM53" s="118" t="e">
        <f>INDEX(P46:AJ65,MATCH(AL53,O46:O61,0),D63)</f>
        <v>#VALUE!</v>
      </c>
      <c r="AN53" s="118" t="e">
        <f>(((AN52-AM52)/(AO52-AM52))*(AO53-AM53))+AM53</f>
        <v>#VALUE!</v>
      </c>
      <c r="AO53" s="118" t="e">
        <f>INDEX(P46:AJ65,MATCH(AL53,O46:O61,0),E63)</f>
        <v>#VALUE!</v>
      </c>
      <c r="AP53" s="45"/>
      <c r="AQ53" s="46"/>
    </row>
    <row r="54" spans="1:59" ht="21.75" thickBot="1" x14ac:dyDescent="0.4">
      <c r="B54" s="652"/>
      <c r="C54" s="471"/>
      <c r="D54" s="40"/>
      <c r="E54" s="666"/>
      <c r="F54" s="169"/>
      <c r="G54" s="193"/>
      <c r="H54" s="193"/>
      <c r="I54" s="658"/>
      <c r="J54" s="658"/>
      <c r="K54" s="658"/>
      <c r="L54" s="193"/>
      <c r="N54" s="79"/>
      <c r="O54" s="124">
        <v>45.06</v>
      </c>
      <c r="P54" s="184">
        <v>10</v>
      </c>
      <c r="Q54" s="631"/>
      <c r="R54" s="630">
        <v>8.33</v>
      </c>
      <c r="S54" s="630">
        <v>12.87</v>
      </c>
      <c r="T54" s="630">
        <v>17.41</v>
      </c>
      <c r="U54" s="630">
        <v>21.94</v>
      </c>
      <c r="V54" s="630">
        <v>26.48</v>
      </c>
      <c r="W54" s="630">
        <v>31.01</v>
      </c>
      <c r="X54" s="630">
        <v>35.549999999999997</v>
      </c>
      <c r="Y54" s="630">
        <v>40.090000000000003</v>
      </c>
      <c r="Z54" s="630">
        <v>44.62</v>
      </c>
      <c r="AA54" s="630">
        <v>49.16</v>
      </c>
      <c r="AB54" s="671">
        <v>53.699999999999996</v>
      </c>
      <c r="AC54" s="671">
        <v>58.239999999999995</v>
      </c>
      <c r="AD54" s="671">
        <v>62.779999999999994</v>
      </c>
      <c r="AE54" s="671">
        <v>67.319999999999993</v>
      </c>
      <c r="AF54" s="671">
        <v>71.86</v>
      </c>
      <c r="AG54" s="671">
        <v>76.400000000000006</v>
      </c>
      <c r="AH54" s="671">
        <v>80.940000000000012</v>
      </c>
      <c r="AI54" s="671">
        <v>85.480000000000018</v>
      </c>
      <c r="AJ54" s="671">
        <v>90.020000000000024</v>
      </c>
      <c r="AK54" s="45"/>
      <c r="AL54" s="413"/>
      <c r="AM54" s="118"/>
      <c r="AN54" s="119"/>
      <c r="AO54" s="118"/>
      <c r="AP54" s="45"/>
      <c r="AQ54" s="46"/>
    </row>
    <row r="55" spans="1:59" ht="19.5" thickBot="1" x14ac:dyDescent="0.35">
      <c r="B55" s="643"/>
      <c r="C55" s="471"/>
      <c r="D55" s="653"/>
      <c r="E55" s="667"/>
      <c r="F55" s="669"/>
      <c r="G55" s="425"/>
      <c r="H55" s="193"/>
      <c r="I55" s="658"/>
      <c r="J55" s="658"/>
      <c r="K55" s="658"/>
      <c r="L55" s="193"/>
      <c r="N55" s="79"/>
      <c r="O55" s="124">
        <v>49.06</v>
      </c>
      <c r="P55" s="184">
        <v>11</v>
      </c>
      <c r="Q55" s="631"/>
      <c r="R55" s="630">
        <v>9.0399999999999991</v>
      </c>
      <c r="S55" s="630">
        <v>13.92</v>
      </c>
      <c r="T55" s="630">
        <v>18.809999999999999</v>
      </c>
      <c r="U55" s="630">
        <v>23.7</v>
      </c>
      <c r="V55" s="630">
        <v>28.58</v>
      </c>
      <c r="W55" s="630">
        <v>33.47</v>
      </c>
      <c r="X55" s="630">
        <v>38.36</v>
      </c>
      <c r="Y55" s="630">
        <v>43.25</v>
      </c>
      <c r="Z55" s="630">
        <v>48.13</v>
      </c>
      <c r="AA55" s="630">
        <v>53.02</v>
      </c>
      <c r="AB55" s="671">
        <v>57.910000000000004</v>
      </c>
      <c r="AC55" s="671">
        <v>62.800000000000004</v>
      </c>
      <c r="AD55" s="671">
        <v>67.69</v>
      </c>
      <c r="AE55" s="671">
        <v>72.58</v>
      </c>
      <c r="AF55" s="671">
        <v>77.47</v>
      </c>
      <c r="AG55" s="671">
        <v>82.36</v>
      </c>
      <c r="AH55" s="671">
        <v>87.25</v>
      </c>
      <c r="AI55" s="671">
        <v>92.14</v>
      </c>
      <c r="AJ55" s="671">
        <v>97.03</v>
      </c>
      <c r="AK55" s="45"/>
      <c r="AL55" s="117"/>
      <c r="AM55" s="118"/>
      <c r="AN55" s="118"/>
      <c r="AO55" s="118"/>
      <c r="AP55" s="185"/>
      <c r="AQ55" s="46"/>
    </row>
    <row r="56" spans="1:59" ht="19.5" thickBot="1" x14ac:dyDescent="0.35">
      <c r="B56" s="639" t="s">
        <v>38</v>
      </c>
      <c r="C56" s="640" t="e">
        <f>C4+5.963+2.137</f>
        <v>#VALUE!</v>
      </c>
      <c r="D56" s="471"/>
      <c r="E56" s="666"/>
      <c r="F56" s="169"/>
      <c r="G56" s="656"/>
      <c r="H56" s="193"/>
      <c r="I56" s="658"/>
      <c r="J56" s="658"/>
      <c r="K56" s="658"/>
      <c r="L56" s="193"/>
      <c r="N56" s="79"/>
      <c r="O56" s="124">
        <v>53.06</v>
      </c>
      <c r="P56" s="184">
        <v>12</v>
      </c>
      <c r="Q56" s="631"/>
      <c r="R56" s="630">
        <v>9.74</v>
      </c>
      <c r="S56" s="630">
        <v>14.98</v>
      </c>
      <c r="T56" s="630">
        <v>20.21</v>
      </c>
      <c r="U56" s="630">
        <v>25.450000000000003</v>
      </c>
      <c r="V56" s="630">
        <v>30.690000000000005</v>
      </c>
      <c r="W56" s="630">
        <v>35.930000000000007</v>
      </c>
      <c r="X56" s="630">
        <v>41.170000000000009</v>
      </c>
      <c r="Y56" s="630">
        <v>46.410000000000011</v>
      </c>
      <c r="Z56" s="630">
        <v>51.650000000000013</v>
      </c>
      <c r="AA56" s="630">
        <v>56.89</v>
      </c>
      <c r="AB56" s="671">
        <v>62.13</v>
      </c>
      <c r="AC56" s="671">
        <v>67.37</v>
      </c>
      <c r="AD56" s="671">
        <v>72.61</v>
      </c>
      <c r="AE56" s="671">
        <v>77.849999999999994</v>
      </c>
      <c r="AF56" s="671">
        <v>83.089999999999989</v>
      </c>
      <c r="AG56" s="671">
        <v>88.329999999999984</v>
      </c>
      <c r="AH56" s="671">
        <v>93.569999999999979</v>
      </c>
      <c r="AI56" s="671">
        <v>98.809999999999974</v>
      </c>
      <c r="AJ56" s="671">
        <v>104.04999999999997</v>
      </c>
      <c r="AK56" s="45"/>
      <c r="AL56" s="327"/>
      <c r="AM56" s="327"/>
      <c r="AN56" s="327"/>
      <c r="AO56" s="327"/>
      <c r="AP56" s="327"/>
      <c r="AQ56" s="46"/>
    </row>
    <row r="57" spans="1:59" ht="19.5" thickBot="1" x14ac:dyDescent="0.35">
      <c r="B57" s="639" t="s">
        <v>39</v>
      </c>
      <c r="C57" s="716" t="e">
        <f>VALUE(FIXED(C5,2))</f>
        <v>#VALUE!</v>
      </c>
      <c r="D57" s="40"/>
      <c r="E57" s="666"/>
      <c r="F57" s="169"/>
      <c r="G57" s="656"/>
      <c r="H57" s="193"/>
      <c r="I57" s="658"/>
      <c r="J57" s="658"/>
      <c r="K57" s="658"/>
      <c r="L57" s="193"/>
      <c r="N57" s="79"/>
      <c r="O57" s="124">
        <v>57.06</v>
      </c>
      <c r="P57" s="184">
        <v>13</v>
      </c>
      <c r="Q57" s="631"/>
      <c r="R57" s="630">
        <v>10.44</v>
      </c>
      <c r="S57" s="630">
        <v>16.03</v>
      </c>
      <c r="T57" s="630">
        <v>21.62</v>
      </c>
      <c r="U57" s="630">
        <v>27.21</v>
      </c>
      <c r="V57" s="630">
        <v>32.799999999999997</v>
      </c>
      <c r="W57" s="630">
        <v>38.39</v>
      </c>
      <c r="X57" s="630">
        <v>43.98</v>
      </c>
      <c r="Y57" s="630">
        <v>49.57</v>
      </c>
      <c r="Z57" s="630">
        <v>55.15</v>
      </c>
      <c r="AA57" s="630">
        <v>60.74</v>
      </c>
      <c r="AB57" s="671">
        <v>66.33</v>
      </c>
      <c r="AC57" s="671">
        <v>71.92</v>
      </c>
      <c r="AD57" s="671">
        <v>77.510000000000005</v>
      </c>
      <c r="AE57" s="671">
        <v>83.100000000000009</v>
      </c>
      <c r="AF57" s="671">
        <v>88.690000000000012</v>
      </c>
      <c r="AG57" s="671">
        <v>94.280000000000015</v>
      </c>
      <c r="AH57" s="671">
        <v>99.870000000000019</v>
      </c>
      <c r="AI57" s="671">
        <v>105.46000000000002</v>
      </c>
      <c r="AJ57" s="671">
        <v>111.05000000000003</v>
      </c>
      <c r="AK57" s="45"/>
      <c r="AL57" s="45"/>
      <c r="AM57" s="327"/>
      <c r="AN57" s="186"/>
      <c r="AO57" s="185"/>
      <c r="AP57" s="325"/>
      <c r="AQ57" s="46"/>
    </row>
    <row r="58" spans="1:59" ht="21.75" thickBot="1" x14ac:dyDescent="0.4">
      <c r="B58" s="642" t="s">
        <v>63</v>
      </c>
      <c r="C58" s="471"/>
      <c r="D58" s="471"/>
      <c r="E58" s="666"/>
      <c r="F58" s="169"/>
      <c r="G58" s="656"/>
      <c r="H58" s="193"/>
      <c r="I58" s="658"/>
      <c r="J58" s="658"/>
      <c r="K58" s="658"/>
      <c r="L58" s="193"/>
      <c r="N58" s="79"/>
      <c r="O58" s="124">
        <v>61.06</v>
      </c>
      <c r="P58" s="184">
        <v>14</v>
      </c>
      <c r="Q58" s="491"/>
      <c r="R58" s="630">
        <v>11.14</v>
      </c>
      <c r="S58" s="630">
        <v>17.079999999999998</v>
      </c>
      <c r="T58" s="630">
        <v>23.02</v>
      </c>
      <c r="U58" s="630">
        <v>28.96</v>
      </c>
      <c r="V58" s="630">
        <v>34.9</v>
      </c>
      <c r="W58" s="630">
        <v>40.840000000000003</v>
      </c>
      <c r="X58" s="630">
        <v>46.78</v>
      </c>
      <c r="Y58" s="630">
        <v>52.73</v>
      </c>
      <c r="Z58" s="630">
        <v>58.67</v>
      </c>
      <c r="AA58" s="630">
        <v>64.61</v>
      </c>
      <c r="AB58" s="633">
        <v>70.55</v>
      </c>
      <c r="AC58" s="633">
        <v>76.489999999999995</v>
      </c>
      <c r="AD58" s="633">
        <v>82.429999999999993</v>
      </c>
      <c r="AE58" s="633">
        <v>88.36999999999999</v>
      </c>
      <c r="AF58" s="633">
        <v>94.309999999999988</v>
      </c>
      <c r="AG58" s="633">
        <v>100.24999999999999</v>
      </c>
      <c r="AH58" s="633">
        <v>106.18999999999998</v>
      </c>
      <c r="AI58" s="633">
        <v>112.12999999999998</v>
      </c>
      <c r="AJ58" s="633">
        <v>118.06999999999998</v>
      </c>
      <c r="AK58" s="45"/>
      <c r="AL58" s="45"/>
      <c r="AM58" s="327" t="s">
        <v>241</v>
      </c>
      <c r="AN58" s="186"/>
      <c r="AO58" s="153" t="e">
        <f>AN48</f>
        <v>#VALUE!</v>
      </c>
      <c r="AP58" s="325" t="s">
        <v>141</v>
      </c>
      <c r="AQ58" s="46"/>
    </row>
    <row r="59" spans="1:59" ht="19.5" thickBot="1" x14ac:dyDescent="0.35">
      <c r="B59" s="643"/>
      <c r="C59" s="40"/>
      <c r="D59" s="471"/>
      <c r="E59" s="666"/>
      <c r="F59" s="169"/>
      <c r="G59" s="193"/>
      <c r="H59" s="193"/>
      <c r="I59" s="658"/>
      <c r="J59" s="658"/>
      <c r="K59" s="658"/>
      <c r="L59" s="193"/>
      <c r="N59" s="79"/>
      <c r="O59" s="124">
        <v>65.06</v>
      </c>
      <c r="P59" s="184">
        <v>15</v>
      </c>
      <c r="Q59" s="491"/>
      <c r="R59" s="633">
        <v>11.84</v>
      </c>
      <c r="S59" s="633">
        <v>18.14</v>
      </c>
      <c r="T59" s="633">
        <v>24.43</v>
      </c>
      <c r="U59" s="633">
        <v>30.72</v>
      </c>
      <c r="V59" s="633">
        <v>37.01</v>
      </c>
      <c r="W59" s="633">
        <v>43.3</v>
      </c>
      <c r="X59" s="633">
        <v>49.589999999999996</v>
      </c>
      <c r="Y59" s="633">
        <v>55.879999999999995</v>
      </c>
      <c r="Z59" s="633">
        <v>62.18</v>
      </c>
      <c r="AA59" s="633">
        <v>68.47</v>
      </c>
      <c r="AB59" s="633">
        <v>74.760000000000005</v>
      </c>
      <c r="AC59" s="633">
        <v>81.050000000000011</v>
      </c>
      <c r="AD59" s="633">
        <v>87.340000000000018</v>
      </c>
      <c r="AE59" s="633">
        <v>93.630000000000024</v>
      </c>
      <c r="AF59" s="633">
        <v>99.92000000000003</v>
      </c>
      <c r="AG59" s="633">
        <v>106.21000000000004</v>
      </c>
      <c r="AH59" s="633">
        <v>112.50000000000004</v>
      </c>
      <c r="AI59" s="633">
        <v>118.79000000000005</v>
      </c>
      <c r="AJ59" s="633">
        <v>125.08000000000006</v>
      </c>
      <c r="AK59" s="45"/>
      <c r="AL59" s="45"/>
      <c r="AM59" s="327" t="s">
        <v>242</v>
      </c>
      <c r="AN59" s="185"/>
      <c r="AO59" s="153" t="e">
        <f>AN53</f>
        <v>#VALUE!</v>
      </c>
      <c r="AP59" s="185" t="s">
        <v>141</v>
      </c>
      <c r="AQ59" s="77"/>
    </row>
    <row r="60" spans="1:59" ht="15.75" thickBot="1" x14ac:dyDescent="0.3">
      <c r="B60" s="643"/>
      <c r="C60" s="644"/>
      <c r="D60" s="645" t="s">
        <v>32</v>
      </c>
      <c r="E60" s="662"/>
      <c r="F60" s="668"/>
      <c r="G60" s="193"/>
      <c r="H60" s="193"/>
      <c r="I60" s="193"/>
      <c r="J60" s="193"/>
      <c r="K60" s="193"/>
      <c r="L60" s="193"/>
      <c r="N60" s="79"/>
      <c r="O60" s="124">
        <v>69.06</v>
      </c>
      <c r="P60" s="184">
        <v>16</v>
      </c>
      <c r="Q60" s="491"/>
      <c r="R60" s="630">
        <v>12.55</v>
      </c>
      <c r="S60" s="630">
        <v>19.190000000000001</v>
      </c>
      <c r="T60" s="630">
        <v>25.83</v>
      </c>
      <c r="U60" s="630">
        <v>32.47</v>
      </c>
      <c r="V60" s="630">
        <v>39.119999999999997</v>
      </c>
      <c r="W60" s="630">
        <v>45.76</v>
      </c>
      <c r="X60" s="630">
        <v>52.4</v>
      </c>
      <c r="Y60" s="630">
        <v>59.04</v>
      </c>
      <c r="Z60" s="630">
        <v>65.69</v>
      </c>
      <c r="AA60" s="630">
        <v>72.33</v>
      </c>
      <c r="AB60" s="633">
        <v>78.97</v>
      </c>
      <c r="AC60" s="633">
        <v>85.61</v>
      </c>
      <c r="AD60" s="633">
        <v>92.25</v>
      </c>
      <c r="AE60" s="633">
        <v>98.89</v>
      </c>
      <c r="AF60" s="633">
        <v>105.53</v>
      </c>
      <c r="AG60" s="633">
        <v>112.17</v>
      </c>
      <c r="AH60" s="633">
        <v>118.81</v>
      </c>
      <c r="AI60" s="633">
        <v>125.45</v>
      </c>
      <c r="AJ60" s="633">
        <v>132.09</v>
      </c>
      <c r="AK60" s="45"/>
      <c r="AL60" s="45"/>
      <c r="AM60" s="45"/>
      <c r="AN60" s="45"/>
      <c r="AO60" s="45"/>
      <c r="AP60" s="45"/>
      <c r="AQ60" s="77"/>
      <c r="BG60" s="61"/>
    </row>
    <row r="61" spans="1:59" ht="15.75" thickBot="1" x14ac:dyDescent="0.3">
      <c r="B61" s="643"/>
      <c r="C61" s="646"/>
      <c r="D61" s="647" t="s">
        <v>64</v>
      </c>
      <c r="E61" s="663" t="s">
        <v>65</v>
      </c>
      <c r="F61" s="668"/>
      <c r="G61" s="193"/>
      <c r="H61" s="193"/>
      <c r="I61" s="193"/>
      <c r="J61" s="193"/>
      <c r="K61" s="193"/>
      <c r="L61" s="193"/>
      <c r="N61" s="79"/>
      <c r="O61" s="124">
        <v>73.06</v>
      </c>
      <c r="P61" s="184">
        <v>17</v>
      </c>
      <c r="Q61" s="491"/>
      <c r="R61" s="630">
        <v>13.25</v>
      </c>
      <c r="S61" s="630">
        <v>20.239999999999998</v>
      </c>
      <c r="T61" s="630">
        <v>27.24</v>
      </c>
      <c r="U61" s="630">
        <v>34.229999999999997</v>
      </c>
      <c r="V61" s="630">
        <v>41.22</v>
      </c>
      <c r="W61" s="630">
        <v>48.22</v>
      </c>
      <c r="X61" s="630">
        <v>55.21</v>
      </c>
      <c r="Y61" s="630">
        <v>62.2</v>
      </c>
      <c r="Z61" s="630">
        <v>69.2</v>
      </c>
      <c r="AA61" s="630">
        <v>76.19</v>
      </c>
      <c r="AB61" s="633">
        <v>83.179999999999993</v>
      </c>
      <c r="AC61" s="633">
        <v>90.169999999999987</v>
      </c>
      <c r="AD61" s="633">
        <v>97.159999999999982</v>
      </c>
      <c r="AE61" s="633">
        <v>104.14999999999998</v>
      </c>
      <c r="AF61" s="633">
        <v>111.13999999999997</v>
      </c>
      <c r="AG61" s="633">
        <v>118.12999999999997</v>
      </c>
      <c r="AH61" s="633">
        <v>125.11999999999996</v>
      </c>
      <c r="AI61" s="633">
        <v>132.10999999999996</v>
      </c>
      <c r="AJ61" s="633">
        <v>139.09999999999997</v>
      </c>
      <c r="AK61" s="45"/>
      <c r="AL61" s="45"/>
      <c r="AM61" s="45"/>
      <c r="AN61" s="45"/>
      <c r="AO61" s="45"/>
      <c r="AP61" s="45"/>
      <c r="AQ61" s="77"/>
      <c r="BG61" s="61"/>
    </row>
    <row r="62" spans="1:59" ht="15.75" thickBot="1" x14ac:dyDescent="0.3">
      <c r="A62" s="2"/>
      <c r="B62" s="643"/>
      <c r="C62" s="648"/>
      <c r="D62" s="649" t="e">
        <f>IF(AND(C56&lt;18,C56&gt;=H4),12,FLOOR(C56/6,1)*6)</f>
        <v>#VALUE!</v>
      </c>
      <c r="E62" s="664" t="e">
        <f>IF(D62&lt;12,12,D62+6)</f>
        <v>#VALUE!</v>
      </c>
      <c r="F62" s="668"/>
      <c r="G62" s="193"/>
      <c r="H62" s="193"/>
      <c r="I62" s="193"/>
      <c r="J62" s="193"/>
      <c r="K62" s="193"/>
      <c r="L62" s="193"/>
      <c r="N62" s="79"/>
      <c r="O62" s="124"/>
      <c r="P62" s="184"/>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5.75" thickBot="1" x14ac:dyDescent="0.3">
      <c r="A63" s="2"/>
      <c r="B63" s="643"/>
      <c r="C63" s="648" t="s">
        <v>34</v>
      </c>
      <c r="D63" s="649" t="e">
        <f>HLOOKUP(D62,P44:AJ45,2)</f>
        <v>#VALUE!</v>
      </c>
      <c r="E63" s="664" t="e">
        <f>HLOOKUP(E62,P44:AJ45,2)</f>
        <v>#VALUE!</v>
      </c>
      <c r="F63" s="668"/>
      <c r="G63" s="193"/>
      <c r="H63" s="193"/>
      <c r="I63" s="193"/>
      <c r="J63" s="193"/>
      <c r="K63" s="193"/>
      <c r="L63" s="193"/>
      <c r="N63" s="79"/>
      <c r="O63" s="124"/>
      <c r="P63" s="184"/>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5.75" thickBot="1" x14ac:dyDescent="0.3">
      <c r="B64" s="643"/>
      <c r="C64" s="650"/>
      <c r="D64" s="651"/>
      <c r="E64" s="665"/>
      <c r="F64" s="668"/>
      <c r="G64" s="193"/>
      <c r="H64" s="193"/>
      <c r="I64" s="193"/>
      <c r="J64" s="193"/>
      <c r="K64" s="193"/>
      <c r="L64" s="193"/>
      <c r="N64" s="79"/>
      <c r="O64" s="124"/>
      <c r="P64" s="184"/>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15.75" thickBot="1" x14ac:dyDescent="0.3">
      <c r="B65" s="42"/>
      <c r="C65" s="43"/>
      <c r="D65" s="43"/>
      <c r="E65" s="43"/>
      <c r="F65" s="170"/>
      <c r="G65" s="193"/>
      <c r="H65" s="193"/>
      <c r="I65" s="193"/>
      <c r="J65" s="193"/>
      <c r="K65" s="193"/>
      <c r="L65" s="193"/>
      <c r="N65" s="79"/>
      <c r="O65" s="124"/>
      <c r="P65" s="184"/>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193"/>
      <c r="C66" s="193"/>
      <c r="D66" s="193"/>
      <c r="E66" s="193"/>
      <c r="F66" s="193"/>
      <c r="G66" s="193"/>
      <c r="H66" s="193"/>
      <c r="I66" s="193"/>
      <c r="J66" s="193"/>
      <c r="K66" s="193"/>
      <c r="L66" s="193"/>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193"/>
      <c r="C67" s="436"/>
      <c r="D67" s="436"/>
      <c r="E67" s="436"/>
      <c r="F67" s="436"/>
      <c r="G67" s="436"/>
      <c r="H67" s="436"/>
      <c r="I67" s="436"/>
      <c r="J67" s="193"/>
      <c r="K67" s="193"/>
      <c r="L67" s="193"/>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193"/>
      <c r="C68" s="436"/>
      <c r="D68" s="436"/>
      <c r="E68" s="436"/>
      <c r="F68" s="436"/>
      <c r="G68" s="436"/>
      <c r="H68" s="436"/>
      <c r="I68" s="436"/>
      <c r="J68" s="193"/>
      <c r="K68" s="193"/>
      <c r="L68" s="193"/>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193"/>
      <c r="C69" s="436"/>
      <c r="D69" s="436"/>
      <c r="E69" s="436"/>
      <c r="F69" s="436"/>
      <c r="G69" s="436"/>
      <c r="H69" s="436"/>
      <c r="I69" s="436"/>
      <c r="J69" s="193"/>
      <c r="K69" s="193"/>
      <c r="L69" s="193"/>
      <c r="BG69" s="2"/>
      <c r="BH69" s="2"/>
    </row>
    <row r="70" spans="1:79" ht="24" thickBot="1" x14ac:dyDescent="0.4">
      <c r="A70" s="2"/>
      <c r="B70" s="193"/>
      <c r="C70" s="436"/>
      <c r="D70" s="436"/>
      <c r="E70" s="436"/>
      <c r="F70" s="436"/>
      <c r="G70" s="436"/>
      <c r="H70" s="436"/>
      <c r="I70" s="436"/>
      <c r="J70" s="193"/>
      <c r="K70" s="193"/>
      <c r="L70" s="193"/>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193"/>
      <c r="C71" s="436"/>
      <c r="D71" s="436"/>
      <c r="E71" s="436"/>
      <c r="F71" s="436"/>
      <c r="G71" s="436"/>
      <c r="H71" s="436"/>
      <c r="I71" s="436"/>
      <c r="J71" s="193"/>
      <c r="K71" s="193"/>
      <c r="L71" s="193"/>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193"/>
      <c r="C72" s="193"/>
      <c r="D72" s="193"/>
      <c r="E72" s="193"/>
      <c r="F72" s="193"/>
      <c r="G72" s="193"/>
      <c r="H72" s="193"/>
      <c r="I72" s="193"/>
      <c r="J72" s="193"/>
      <c r="K72" s="193"/>
      <c r="L72" s="193"/>
      <c r="N72" s="997"/>
      <c r="O72" s="423" t="s">
        <v>379</v>
      </c>
      <c r="P72" s="422"/>
      <c r="Q72" s="40"/>
      <c r="R72" s="423" t="s">
        <v>378</v>
      </c>
      <c r="S72" s="40"/>
      <c r="T72" s="40"/>
      <c r="U72" s="423" t="s">
        <v>249</v>
      </c>
      <c r="V72" s="40"/>
      <c r="W72" s="169"/>
      <c r="X72" s="193"/>
      <c r="Y72" s="41"/>
      <c r="Z72" s="496" t="s">
        <v>149</v>
      </c>
      <c r="AA72" s="40"/>
      <c r="AB72" s="40" t="e">
        <f>(AO58*2)+(AO59*2)</f>
        <v>#VALUE!</v>
      </c>
      <c r="AC72" s="40" t="s">
        <v>141</v>
      </c>
      <c r="AD72" s="40"/>
      <c r="AE72" s="40"/>
      <c r="AF72" s="40"/>
      <c r="AG72" s="40"/>
      <c r="AH72" s="40"/>
      <c r="AI72" s="40"/>
      <c r="AJ72" s="169"/>
      <c r="BF72" s="2"/>
      <c r="BG72" s="2"/>
    </row>
    <row r="73" spans="1:79" ht="21" x14ac:dyDescent="0.35">
      <c r="A73" s="2"/>
      <c r="B73" s="655"/>
      <c r="C73" s="193"/>
      <c r="D73" s="193"/>
      <c r="E73" s="193"/>
      <c r="F73" s="193"/>
      <c r="G73" s="193"/>
      <c r="H73" s="193"/>
      <c r="I73" s="193"/>
      <c r="J73" s="193"/>
      <c r="K73" s="193"/>
      <c r="L73" s="193"/>
      <c r="N73" s="504"/>
      <c r="O73" s="223" t="s">
        <v>142</v>
      </c>
      <c r="P73" s="40">
        <v>0.12740000000000001</v>
      </c>
      <c r="Q73" s="40" t="s">
        <v>139</v>
      </c>
      <c r="R73" s="40" t="s">
        <v>376</v>
      </c>
      <c r="S73" s="40">
        <f>0.14</f>
        <v>0.14000000000000001</v>
      </c>
      <c r="T73" s="40" t="s">
        <v>141</v>
      </c>
      <c r="U73" s="581" t="str">
        <f>IF(C4&gt;108.977,"GA_7.088",IF(AND(C3&lt;=108.977,C4&lt;=36.977),"OP_7.088","SE_7.088"))</f>
        <v>GA_7.088</v>
      </c>
      <c r="V73" s="583" t="e">
        <f>INDEX(MC_ROOF!J2:K10, MATCH(U73,MC_ROOF!J2:J10,0),2)</f>
        <v>#VALUE!</v>
      </c>
      <c r="W73" s="169" t="s">
        <v>141</v>
      </c>
      <c r="X73" s="193"/>
      <c r="Y73" s="41"/>
      <c r="Z73" s="496" t="s">
        <v>341</v>
      </c>
      <c r="AA73" s="40"/>
      <c r="AB73" s="415" t="e">
        <f>P76</f>
        <v>#N/A</v>
      </c>
      <c r="AC73" s="40" t="s">
        <v>141</v>
      </c>
      <c r="AD73" s="40"/>
      <c r="AE73" s="40"/>
      <c r="AF73" s="40"/>
      <c r="AG73" s="40"/>
      <c r="AH73" s="40"/>
      <c r="AI73" s="40"/>
      <c r="AJ73" s="169"/>
      <c r="BF73" s="2"/>
    </row>
    <row r="74" spans="1:79" ht="15.75" x14ac:dyDescent="0.25">
      <c r="A74" s="2"/>
      <c r="B74" s="193"/>
      <c r="C74" s="193"/>
      <c r="D74" s="425"/>
      <c r="E74" s="425"/>
      <c r="F74" s="426"/>
      <c r="G74" s="425"/>
      <c r="H74" s="193"/>
      <c r="I74" s="193"/>
      <c r="J74" s="193"/>
      <c r="K74" s="193"/>
      <c r="L74" s="193"/>
      <c r="N74" s="420"/>
      <c r="O74" s="40" t="s">
        <v>231</v>
      </c>
      <c r="P74" s="40" t="str">
        <f>C5</f>
        <v>ENTER HEIGHT</v>
      </c>
      <c r="Q74" s="40" t="s">
        <v>151</v>
      </c>
      <c r="R74" s="40" t="s">
        <v>244</v>
      </c>
      <c r="S74" s="40" t="e">
        <f>P75</f>
        <v>#N/A</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193"/>
      <c r="C75" s="193"/>
      <c r="D75" s="425"/>
      <c r="E75" s="656"/>
      <c r="F75" s="656"/>
      <c r="G75" s="656"/>
      <c r="H75" s="193"/>
      <c r="I75" s="193"/>
      <c r="J75" s="193"/>
      <c r="K75" s="193"/>
      <c r="L75" s="193"/>
      <c r="N75" s="41"/>
      <c r="O75" s="40" t="s">
        <v>336</v>
      </c>
      <c r="P75" s="40" t="e">
        <f>IF(G13=1,8,IF(G13=2,12,IF(G13=3,14,IF(G13=4,24,IF(G13=5,24,"N/A")))))</f>
        <v>#N/A</v>
      </c>
      <c r="Q75" s="40"/>
      <c r="R75" s="40"/>
      <c r="S75" s="40"/>
      <c r="T75" s="40"/>
      <c r="U75" s="40"/>
      <c r="V75" s="40"/>
      <c r="W75" s="169"/>
      <c r="X75" s="193"/>
      <c r="Y75" s="41"/>
      <c r="Z75" s="496" t="s">
        <v>342</v>
      </c>
      <c r="AA75" s="40"/>
      <c r="AB75" s="40" t="e">
        <f>S76</f>
        <v>#N/A</v>
      </c>
      <c r="AC75" s="40" t="s">
        <v>141</v>
      </c>
      <c r="AD75" s="40"/>
      <c r="AE75" s="40"/>
      <c r="AF75" s="40"/>
      <c r="AG75" s="40"/>
      <c r="AH75" s="40"/>
      <c r="AI75" s="40"/>
      <c r="AJ75" s="169"/>
    </row>
    <row r="76" spans="1:79" ht="18.75" x14ac:dyDescent="0.3">
      <c r="A76" s="2"/>
      <c r="B76" s="193"/>
      <c r="C76" s="193"/>
      <c r="D76" s="425"/>
      <c r="E76" s="656"/>
      <c r="F76" s="657"/>
      <c r="G76" s="656"/>
      <c r="H76" s="193"/>
      <c r="I76" s="658"/>
      <c r="J76" s="658"/>
      <c r="K76" s="658"/>
      <c r="L76" s="193"/>
      <c r="N76" s="41"/>
      <c r="O76" s="672" t="s">
        <v>380</v>
      </c>
      <c r="P76" s="875" t="e">
        <f>P75*(P73*P74)</f>
        <v>#N/A</v>
      </c>
      <c r="Q76" s="40" t="s">
        <v>141</v>
      </c>
      <c r="R76" s="495" t="s">
        <v>248</v>
      </c>
      <c r="S76" s="40" t="e">
        <f>S74*2*S73</f>
        <v>#N/A</v>
      </c>
      <c r="T76" s="40" t="s">
        <v>141</v>
      </c>
      <c r="U76" s="582" t="s">
        <v>249</v>
      </c>
      <c r="V76" s="583" t="e">
        <f>V73</f>
        <v>#VALUE!</v>
      </c>
      <c r="W76" s="169" t="s">
        <v>141</v>
      </c>
      <c r="X76" s="193"/>
      <c r="Y76" s="41"/>
      <c r="Z76" s="496" t="s">
        <v>254</v>
      </c>
      <c r="AA76" s="40"/>
      <c r="AB76" s="40" t="e">
        <f>S83</f>
        <v>#N/A</v>
      </c>
      <c r="AC76" s="40" t="s">
        <v>141</v>
      </c>
      <c r="AD76" s="40"/>
      <c r="AE76" s="40"/>
      <c r="AF76" s="40"/>
      <c r="AG76" s="40"/>
      <c r="AH76" s="40"/>
      <c r="AI76" s="40"/>
      <c r="AJ76" s="169"/>
      <c r="BS76" s="2"/>
      <c r="BT76" s="2"/>
      <c r="BU76" s="2"/>
      <c r="BV76" s="2"/>
      <c r="BW76" s="2"/>
      <c r="BX76" s="2"/>
      <c r="BY76" s="2"/>
      <c r="BZ76" s="2"/>
      <c r="CA76" s="2"/>
    </row>
    <row r="77" spans="1:79" ht="18.75" x14ac:dyDescent="0.3">
      <c r="B77" s="193"/>
      <c r="C77" s="193"/>
      <c r="D77" s="425"/>
      <c r="E77" s="656"/>
      <c r="F77" s="656"/>
      <c r="G77" s="656"/>
      <c r="H77" s="193"/>
      <c r="I77" s="658"/>
      <c r="J77" s="658"/>
      <c r="K77" s="658"/>
      <c r="L77" s="193"/>
      <c r="N77" s="41"/>
      <c r="O77" s="423"/>
      <c r="P77" s="40"/>
      <c r="Q77" s="40"/>
      <c r="R77" s="40"/>
      <c r="S77" s="40"/>
      <c r="T77" s="40"/>
      <c r="U77" s="40"/>
      <c r="V77" s="40"/>
      <c r="W77" s="169"/>
      <c r="X77" s="193"/>
      <c r="Y77" s="41"/>
      <c r="Z77" s="496" t="s">
        <v>249</v>
      </c>
      <c r="AA77" s="40"/>
      <c r="AB77" s="40" t="e">
        <f>V76</f>
        <v>#VALUE!</v>
      </c>
      <c r="AC77" s="40" t="s">
        <v>141</v>
      </c>
      <c r="AD77" s="40"/>
      <c r="AE77" s="40"/>
      <c r="AF77" s="40"/>
      <c r="AG77" s="40"/>
      <c r="AH77" s="40"/>
      <c r="AI77" s="40"/>
      <c r="AJ77" s="169"/>
      <c r="BS77" s="2"/>
      <c r="BT77" s="2"/>
      <c r="BU77" s="2"/>
      <c r="BV77" s="2"/>
      <c r="BW77" s="2"/>
      <c r="BX77" s="2"/>
      <c r="BY77" s="2"/>
      <c r="BZ77" s="2"/>
      <c r="CA77" s="2"/>
    </row>
    <row r="78" spans="1:79" x14ac:dyDescent="0.25">
      <c r="B78" s="193"/>
      <c r="C78" s="193"/>
      <c r="D78" s="193"/>
      <c r="E78" s="193"/>
      <c r="F78" s="193"/>
      <c r="G78" s="193"/>
      <c r="H78" s="193"/>
      <c r="I78" s="193"/>
      <c r="J78" s="193"/>
      <c r="K78" s="193"/>
      <c r="L78" s="193"/>
      <c r="N78" s="41"/>
      <c r="O78" s="423"/>
      <c r="P78" s="40"/>
      <c r="Q78" s="40"/>
      <c r="R78" s="40"/>
      <c r="S78" s="40"/>
      <c r="T78" s="40"/>
      <c r="U78" s="40"/>
      <c r="V78" s="40"/>
      <c r="W78" s="169"/>
      <c r="X78" s="193"/>
      <c r="Y78" s="41"/>
      <c r="Z78" s="496"/>
      <c r="AA78" s="40"/>
      <c r="AB78" s="40"/>
      <c r="AC78" s="40"/>
      <c r="AD78" s="40"/>
      <c r="AE78" s="40"/>
      <c r="AF78" s="40"/>
      <c r="AG78" s="40"/>
      <c r="AH78" s="40"/>
      <c r="AI78" s="40"/>
      <c r="AJ78" s="169"/>
      <c r="BS78" s="2"/>
      <c r="BT78" s="2"/>
      <c r="BU78" s="2"/>
      <c r="BV78" s="2"/>
      <c r="BW78" s="2"/>
      <c r="BX78" s="2"/>
      <c r="BY78" s="2"/>
      <c r="BZ78" s="2"/>
      <c r="CA78" s="2"/>
    </row>
    <row r="79" spans="1:79" x14ac:dyDescent="0.25">
      <c r="B79" s="193"/>
      <c r="C79" s="193"/>
      <c r="D79" s="193"/>
      <c r="E79" s="193"/>
      <c r="F79" s="193"/>
      <c r="G79" s="193"/>
      <c r="H79" s="193"/>
      <c r="I79" s="193"/>
      <c r="J79" s="193"/>
      <c r="K79" s="193"/>
      <c r="L79" s="193"/>
      <c r="N79" s="41"/>
      <c r="O79" s="423" t="s">
        <v>148</v>
      </c>
      <c r="P79" s="40"/>
      <c r="Q79" s="40"/>
      <c r="R79" s="423" t="s">
        <v>253</v>
      </c>
      <c r="S79" s="40"/>
      <c r="T79" s="40"/>
      <c r="U79" s="423"/>
      <c r="V79" s="40"/>
      <c r="W79" s="169"/>
      <c r="X79" s="193"/>
      <c r="Y79" s="41"/>
      <c r="AA79" s="40"/>
      <c r="AB79" s="40"/>
      <c r="AC79" s="40"/>
      <c r="AD79" s="40"/>
      <c r="AE79" s="40"/>
      <c r="AF79" s="40"/>
      <c r="AG79" s="40"/>
      <c r="AH79" s="40"/>
      <c r="AI79" s="40"/>
      <c r="AJ79" s="169"/>
      <c r="BS79" s="2"/>
      <c r="BT79" s="2"/>
      <c r="BU79" s="2"/>
      <c r="BV79" s="2"/>
      <c r="BW79" s="2"/>
      <c r="BX79" s="2"/>
      <c r="BY79" s="2"/>
      <c r="BZ79" s="2"/>
      <c r="CA79" s="2"/>
    </row>
    <row r="80" spans="1:79" x14ac:dyDescent="0.25">
      <c r="B80" s="193"/>
      <c r="C80" s="193"/>
      <c r="D80" s="193"/>
      <c r="E80" s="193"/>
      <c r="F80" s="193"/>
      <c r="G80" s="193"/>
      <c r="H80" s="193"/>
      <c r="I80" s="193"/>
      <c r="J80" s="193"/>
      <c r="K80" s="193"/>
      <c r="L80" s="193"/>
      <c r="N80" s="41"/>
      <c r="O80" s="223" t="s">
        <v>142</v>
      </c>
      <c r="P80" s="40">
        <v>8.9999999999999998E-4</v>
      </c>
      <c r="Q80" s="40" t="s">
        <v>147</v>
      </c>
      <c r="R80" s="40" t="s">
        <v>142</v>
      </c>
      <c r="S80" s="40">
        <v>2.2602375158275841E-2</v>
      </c>
      <c r="T80" s="40" t="s">
        <v>141</v>
      </c>
      <c r="U80" s="40"/>
      <c r="V80" s="40"/>
      <c r="W80" s="169"/>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60" x14ac:dyDescent="0.25">
      <c r="B81" s="193"/>
      <c r="C81" s="193"/>
      <c r="D81" s="193"/>
      <c r="E81" s="193"/>
      <c r="F81" s="193"/>
      <c r="G81" s="193"/>
      <c r="H81" s="193"/>
      <c r="I81" s="193"/>
      <c r="J81" s="193"/>
      <c r="K81" s="193"/>
      <c r="L81" s="193"/>
      <c r="N81" s="41"/>
      <c r="O81" s="223" t="s">
        <v>152</v>
      </c>
      <c r="P81" s="40" t="e">
        <f>(C3*C5*2)+(C4*C5*2)</f>
        <v>#VALUE!</v>
      </c>
      <c r="Q81" s="40" t="s">
        <v>153</v>
      </c>
      <c r="R81" s="40" t="s">
        <v>231</v>
      </c>
      <c r="S81" s="40" t="str">
        <f>C5</f>
        <v>ENTER HEIGHT</v>
      </c>
      <c r="T81" s="40" t="s">
        <v>151</v>
      </c>
      <c r="U81" s="40"/>
      <c r="V81" s="40"/>
      <c r="W81" s="169"/>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60" x14ac:dyDescent="0.25">
      <c r="A82" s="2"/>
      <c r="B82" s="193"/>
      <c r="C82" s="193"/>
      <c r="D82" s="193"/>
      <c r="E82" s="193"/>
      <c r="F82" s="193"/>
      <c r="G82" s="193"/>
      <c r="H82" s="193"/>
      <c r="I82" s="193"/>
      <c r="J82" s="193"/>
      <c r="K82" s="193"/>
      <c r="L82" s="193"/>
      <c r="N82" s="41"/>
      <c r="O82" s="223"/>
      <c r="P82" s="40"/>
      <c r="Q82" s="40"/>
      <c r="R82" s="40" t="s">
        <v>377</v>
      </c>
      <c r="S82" s="40" t="e">
        <f>IF(G13=1,2,IF(G13=2,4,IF(G13=3,4,IF(G13=4,8,IF(G13=5,8,"N/A")))))</f>
        <v>#N/A</v>
      </c>
      <c r="T82" s="40"/>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60" x14ac:dyDescent="0.25">
      <c r="A83" s="2"/>
      <c r="B83" s="193"/>
      <c r="C83" s="193"/>
      <c r="D83" s="193"/>
      <c r="E83" s="193"/>
      <c r="F83" s="193"/>
      <c r="G83" s="193"/>
      <c r="H83" s="193"/>
      <c r="I83" s="193"/>
      <c r="J83" s="193"/>
      <c r="K83" s="193"/>
      <c r="L83" s="193"/>
      <c r="N83" s="41"/>
      <c r="O83" s="435" t="s">
        <v>148</v>
      </c>
      <c r="P83" s="415" t="e">
        <f>P80*P81</f>
        <v>#VALUE!</v>
      </c>
      <c r="Q83" s="40" t="s">
        <v>141</v>
      </c>
      <c r="R83" s="495" t="s">
        <v>254</v>
      </c>
      <c r="S83" s="40" t="e">
        <f>S82*(S80*S81)</f>
        <v>#N/A</v>
      </c>
      <c r="T83" s="40" t="s">
        <v>141</v>
      </c>
      <c r="U83" s="495"/>
      <c r="V83" s="40"/>
      <c r="W83" s="169"/>
      <c r="X83" s="193"/>
      <c r="Y83" s="41"/>
      <c r="Z83" s="40"/>
      <c r="AA83" s="40"/>
      <c r="AB83" s="40"/>
      <c r="AC83" s="40"/>
      <c r="AD83" s="40"/>
      <c r="AE83" s="40"/>
      <c r="AF83" s="40"/>
      <c r="AG83" s="40"/>
      <c r="AH83" s="40"/>
      <c r="AI83" s="40"/>
      <c r="AJ83" s="169"/>
      <c r="BS83" s="2"/>
      <c r="BT83" s="2"/>
      <c r="BU83" s="2"/>
      <c r="BV83" s="2"/>
      <c r="BW83" s="2"/>
      <c r="BX83" s="2"/>
      <c r="BY83" s="2"/>
      <c r="BZ83" s="2"/>
      <c r="CA83" s="2"/>
    </row>
    <row r="84" spans="1:160" x14ac:dyDescent="0.25">
      <c r="A84" s="2"/>
      <c r="B84" s="193"/>
      <c r="C84" s="193"/>
      <c r="D84" s="193"/>
      <c r="E84" s="193"/>
      <c r="F84" s="193"/>
      <c r="G84" s="193"/>
      <c r="H84" s="193"/>
      <c r="I84" s="193"/>
      <c r="J84" s="193"/>
      <c r="K84" s="193"/>
      <c r="L84" s="193"/>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60" x14ac:dyDescent="0.25">
      <c r="A85" s="2"/>
      <c r="B85" s="193"/>
      <c r="C85" s="193"/>
      <c r="D85" s="193"/>
      <c r="E85" s="193"/>
      <c r="F85" s="193"/>
      <c r="G85" s="193"/>
      <c r="H85" s="193"/>
      <c r="I85" s="193"/>
      <c r="J85" s="193"/>
      <c r="K85" s="193"/>
      <c r="L85" s="193"/>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60" ht="15.75" thickBot="1" x14ac:dyDescent="0.3">
      <c r="A86" s="2"/>
      <c r="B86" s="193"/>
      <c r="C86" s="193"/>
      <c r="D86" s="193"/>
      <c r="E86" s="193"/>
      <c r="F86" s="193"/>
      <c r="G86" s="193"/>
      <c r="H86" s="193"/>
      <c r="I86" s="193"/>
      <c r="J86" s="193"/>
      <c r="K86" s="193"/>
      <c r="L86" s="193"/>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60" x14ac:dyDescent="0.25">
      <c r="B87" s="193"/>
      <c r="C87" s="193"/>
      <c r="D87" s="193"/>
      <c r="E87" s="193"/>
      <c r="F87" s="193"/>
      <c r="G87" s="193"/>
      <c r="H87" s="193"/>
      <c r="I87" s="193"/>
      <c r="J87" s="193"/>
      <c r="K87" s="193"/>
      <c r="L87" s="193"/>
      <c r="BS87" s="2"/>
      <c r="BT87" s="2"/>
      <c r="BU87" s="2"/>
      <c r="BV87" s="2"/>
      <c r="BW87" s="2"/>
      <c r="BX87" s="2"/>
      <c r="BY87" s="2"/>
      <c r="BZ87" s="2"/>
      <c r="CA87" s="2"/>
    </row>
    <row r="88" spans="1:160" x14ac:dyDescent="0.25">
      <c r="B88" s="193"/>
      <c r="C88" s="193"/>
      <c r="D88" s="193"/>
      <c r="E88" s="193"/>
      <c r="F88" s="193"/>
      <c r="G88" s="193"/>
      <c r="H88" s="193"/>
      <c r="I88" s="193"/>
      <c r="J88" s="193"/>
      <c r="K88" s="193"/>
      <c r="L88" s="193"/>
      <c r="N88" s="918"/>
      <c r="O88" s="919"/>
      <c r="P88" s="919"/>
      <c r="Q88" s="919"/>
      <c r="R88" s="919"/>
      <c r="S88" s="919"/>
      <c r="T88" s="919"/>
      <c r="U88" s="919"/>
      <c r="V88" s="919"/>
      <c r="W88" s="919"/>
      <c r="X88" s="919"/>
      <c r="Y88" s="919"/>
      <c r="Z88" s="919"/>
      <c r="AA88" s="919"/>
      <c r="AB88" s="919"/>
      <c r="AC88" s="919"/>
      <c r="AD88" s="919"/>
      <c r="AE88" s="919"/>
      <c r="AF88" s="919"/>
      <c r="AG88" s="919"/>
      <c r="AH88" s="919"/>
      <c r="AI88" s="919"/>
      <c r="AJ88" s="919"/>
      <c r="AK88" s="919"/>
      <c r="AL88" s="919"/>
      <c r="AM88" s="919"/>
      <c r="AN88" s="919"/>
      <c r="AO88" s="919"/>
      <c r="AP88" s="919"/>
      <c r="AQ88" s="919"/>
      <c r="AR88" s="919"/>
      <c r="AS88" s="919"/>
      <c r="AT88" s="919"/>
      <c r="AU88" s="919"/>
      <c r="AV88" s="919"/>
      <c r="AW88" s="919"/>
      <c r="AX88" s="919"/>
      <c r="AY88" s="919"/>
      <c r="AZ88" s="919"/>
      <c r="BA88" s="919"/>
      <c r="BB88" s="919"/>
      <c r="BC88" s="919"/>
      <c r="BD88" s="919"/>
      <c r="BE88" s="919"/>
      <c r="BF88" s="919"/>
      <c r="BG88" s="919"/>
      <c r="BH88" s="919"/>
      <c r="BI88" s="919"/>
      <c r="BJ88" s="919"/>
      <c r="BK88" s="919"/>
      <c r="BL88" s="919"/>
      <c r="BM88" s="919"/>
      <c r="BN88" s="919"/>
      <c r="BO88" s="919"/>
      <c r="BP88" s="919"/>
      <c r="BQ88" s="919"/>
      <c r="BR88" s="919"/>
      <c r="BS88" s="919"/>
      <c r="BT88" s="919"/>
      <c r="BU88" s="919"/>
      <c r="BV88" s="919"/>
      <c r="BW88" s="919"/>
      <c r="BX88" s="919"/>
      <c r="BY88" s="919"/>
      <c r="BZ88" s="919"/>
      <c r="CA88" s="919"/>
      <c r="CB88" s="919"/>
      <c r="CC88" s="919"/>
      <c r="CD88" s="919"/>
      <c r="CE88" s="919"/>
      <c r="CF88" s="919"/>
      <c r="CG88" s="919"/>
      <c r="CH88" s="919"/>
      <c r="CI88" s="919"/>
      <c r="CJ88" s="919"/>
      <c r="CK88" s="919"/>
      <c r="CL88" s="919"/>
      <c r="CM88" s="919"/>
      <c r="CN88" s="919"/>
      <c r="CO88" s="919"/>
      <c r="CP88" s="919"/>
      <c r="CQ88" s="919"/>
      <c r="CR88" s="919"/>
      <c r="CS88" s="919"/>
      <c r="CT88" s="919"/>
      <c r="CU88" s="919"/>
      <c r="CV88" s="919"/>
      <c r="CW88" s="919"/>
      <c r="CX88" s="919"/>
      <c r="CY88" s="919"/>
      <c r="CZ88" s="919"/>
      <c r="DA88" s="919"/>
      <c r="DB88" s="919"/>
      <c r="DC88" s="919"/>
      <c r="DD88" s="919"/>
      <c r="DE88" s="919"/>
      <c r="DF88" s="919"/>
      <c r="DG88" s="919"/>
      <c r="DH88" s="919"/>
      <c r="DI88" s="919"/>
      <c r="DJ88" s="919"/>
      <c r="DK88" s="919"/>
      <c r="DL88" s="919"/>
      <c r="DM88" s="919"/>
      <c r="DN88" s="919"/>
      <c r="DO88" s="919"/>
      <c r="DP88" s="919"/>
      <c r="DQ88" s="919"/>
      <c r="DR88" s="919"/>
      <c r="DS88" s="919"/>
      <c r="DT88" s="919"/>
      <c r="DU88" s="919"/>
      <c r="DV88" s="919"/>
      <c r="DW88" s="919"/>
      <c r="DX88" s="919"/>
      <c r="DY88" s="919"/>
      <c r="DZ88" s="919"/>
      <c r="EA88" s="919"/>
      <c r="EB88" s="919"/>
      <c r="EC88" s="919"/>
      <c r="ED88" s="919"/>
      <c r="EE88" s="919"/>
      <c r="EF88" s="919"/>
      <c r="EG88" s="919"/>
      <c r="EH88" s="919"/>
      <c r="EI88" s="919"/>
      <c r="EJ88" s="919"/>
      <c r="EK88" s="919"/>
      <c r="EL88" s="919"/>
      <c r="EM88" s="919"/>
      <c r="EN88" s="919"/>
      <c r="EO88" s="919"/>
      <c r="EP88" s="919"/>
      <c r="EQ88" s="919"/>
      <c r="ER88" s="919"/>
      <c r="ES88" s="919"/>
      <c r="ET88" s="919"/>
      <c r="EU88" s="919"/>
      <c r="EV88" s="919"/>
      <c r="EW88" s="919"/>
      <c r="EX88" s="919"/>
      <c r="EY88" s="919"/>
      <c r="EZ88" s="919"/>
      <c r="FA88" s="919"/>
      <c r="FB88" s="919"/>
      <c r="FC88" s="919"/>
      <c r="FD88" s="921"/>
    </row>
    <row r="89" spans="1:160" ht="15.75" thickBot="1" x14ac:dyDescent="0.3">
      <c r="B89" s="193"/>
      <c r="C89" s="193"/>
      <c r="D89" s="193"/>
      <c r="E89" s="193"/>
      <c r="F89" s="193"/>
      <c r="G89" s="193"/>
      <c r="H89" s="193"/>
      <c r="I89" s="193"/>
      <c r="J89" s="193"/>
      <c r="K89" s="193"/>
      <c r="L89" s="193"/>
      <c r="N89" s="922"/>
      <c r="O89" s="913" t="s">
        <v>412</v>
      </c>
      <c r="P89" s="913"/>
      <c r="Q89" s="924"/>
      <c r="R89" s="924"/>
      <c r="S89" s="924"/>
      <c r="T89" s="924"/>
      <c r="U89" s="924"/>
      <c r="V89" s="924"/>
      <c r="W89" s="924"/>
      <c r="X89" s="924"/>
      <c r="Y89" s="924"/>
      <c r="Z89" s="924"/>
      <c r="AA89" s="913"/>
      <c r="AB89" s="913"/>
      <c r="AC89" s="913"/>
      <c r="AD89" s="913"/>
      <c r="AE89" s="913"/>
      <c r="AF89" s="913"/>
      <c r="AG89" s="913"/>
      <c r="AH89" s="913"/>
      <c r="AI89" s="913"/>
      <c r="AJ89" s="913"/>
      <c r="AK89" s="913"/>
      <c r="AL89" s="913"/>
      <c r="AM89" s="913"/>
      <c r="AN89" s="913"/>
      <c r="AO89" s="913"/>
      <c r="AP89" s="913"/>
      <c r="AQ89" s="913"/>
      <c r="AR89" s="913"/>
      <c r="AS89" s="913"/>
      <c r="AT89" s="913"/>
      <c r="AU89" s="913"/>
      <c r="AV89" s="913"/>
      <c r="AW89" s="913"/>
      <c r="AX89" s="913"/>
      <c r="AY89" s="913"/>
      <c r="AZ89" s="913"/>
      <c r="BA89" s="913"/>
      <c r="BB89" s="913"/>
      <c r="BC89" s="913"/>
      <c r="BD89" s="913"/>
      <c r="BE89" s="913"/>
      <c r="BF89" s="913"/>
      <c r="BG89" s="913"/>
      <c r="BH89" s="913"/>
      <c r="BI89" s="913"/>
      <c r="BJ89" s="913"/>
      <c r="BK89" s="913"/>
      <c r="BL89" s="913"/>
      <c r="BM89" s="913"/>
      <c r="BN89" s="913"/>
      <c r="BO89" s="913"/>
      <c r="BP89" s="913"/>
      <c r="BQ89" s="913"/>
      <c r="BR89" s="913"/>
      <c r="BS89" s="913"/>
      <c r="BT89" s="913"/>
      <c r="BU89" s="913"/>
      <c r="BV89" s="913"/>
      <c r="BW89" s="913"/>
      <c r="BX89" s="913"/>
      <c r="BY89" s="913"/>
      <c r="BZ89" s="913"/>
      <c r="CA89" s="913"/>
      <c r="CB89" s="913"/>
      <c r="CC89" s="913"/>
      <c r="CD89" s="913"/>
      <c r="CE89" s="913"/>
      <c r="CF89" s="913"/>
      <c r="CG89" s="913"/>
      <c r="CH89" s="913"/>
      <c r="CI89" s="913"/>
      <c r="CJ89" s="913"/>
      <c r="CK89" s="913"/>
      <c r="CL89" s="913"/>
      <c r="CM89" s="913"/>
      <c r="CN89" s="913"/>
      <c r="CO89" s="913"/>
      <c r="CP89" s="913"/>
      <c r="CQ89" s="913"/>
      <c r="CR89" s="913"/>
      <c r="CS89" s="913"/>
      <c r="CT89" s="913"/>
      <c r="CU89" s="913"/>
      <c r="CV89" s="913"/>
      <c r="CW89" s="913"/>
      <c r="CX89" s="913"/>
      <c r="CY89" s="913"/>
      <c r="CZ89" s="913"/>
      <c r="DA89" s="913"/>
      <c r="DB89" s="913"/>
      <c r="DC89" s="913"/>
      <c r="DD89" s="913"/>
      <c r="DE89" s="913"/>
      <c r="DF89" s="913"/>
      <c r="DG89" s="913"/>
      <c r="DH89" s="913"/>
      <c r="DI89" s="913"/>
      <c r="DJ89" s="913"/>
      <c r="DK89" s="913"/>
      <c r="DL89" s="913"/>
      <c r="DM89" s="913"/>
      <c r="DN89" s="913"/>
      <c r="DO89" s="913"/>
      <c r="DP89" s="913"/>
      <c r="DQ89" s="913"/>
      <c r="DR89" s="913"/>
      <c r="DS89" s="913"/>
      <c r="DT89" s="913"/>
      <c r="DU89" s="913"/>
      <c r="DV89" s="913"/>
      <c r="DW89" s="913"/>
      <c r="DX89" s="913"/>
      <c r="DY89" s="913"/>
      <c r="DZ89" s="913"/>
      <c r="EA89" s="913"/>
      <c r="EB89" s="913"/>
      <c r="EC89" s="913"/>
      <c r="ED89" s="913"/>
      <c r="EE89" s="913"/>
      <c r="EF89" s="913"/>
      <c r="EG89" s="913"/>
      <c r="EH89" s="913"/>
      <c r="EI89" s="913"/>
      <c r="EJ89" s="913"/>
      <c r="EK89" s="913"/>
      <c r="EL89" s="913"/>
      <c r="EM89" s="913"/>
      <c r="EN89" s="913"/>
      <c r="EO89" s="913"/>
      <c r="EP89" s="913"/>
      <c r="EQ89" s="913"/>
      <c r="ER89" s="913"/>
      <c r="ES89" s="913"/>
      <c r="ET89" s="913"/>
      <c r="EU89" s="913"/>
      <c r="EV89" s="913"/>
      <c r="EW89" s="913"/>
      <c r="EX89" s="913"/>
      <c r="EY89" s="913"/>
      <c r="EZ89" s="913"/>
      <c r="FA89" s="913"/>
      <c r="FB89" s="913"/>
      <c r="FC89" s="913"/>
      <c r="FD89" s="923"/>
    </row>
    <row r="90" spans="1:160" ht="15.75" thickBot="1" x14ac:dyDescent="0.3">
      <c r="A90" s="2"/>
      <c r="B90" s="193"/>
      <c r="C90" s="193"/>
      <c r="D90" s="193"/>
      <c r="E90" s="193"/>
      <c r="F90" s="193"/>
      <c r="G90" s="193"/>
      <c r="H90" s="193"/>
      <c r="I90" s="193"/>
      <c r="J90" s="193"/>
      <c r="K90" s="193"/>
      <c r="L90" s="193"/>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13"/>
      <c r="EK90" s="913"/>
      <c r="EL90" s="913"/>
      <c r="EM90" s="913"/>
      <c r="EN90" s="913"/>
      <c r="EO90" s="913"/>
      <c r="EP90" s="913"/>
      <c r="EQ90" s="913"/>
      <c r="ER90" s="913"/>
      <c r="ES90" s="913"/>
      <c r="ET90" s="913"/>
      <c r="EU90" s="913"/>
      <c r="EV90" s="913"/>
      <c r="EW90" s="913"/>
      <c r="EX90" s="913"/>
      <c r="EY90" s="913"/>
      <c r="EZ90" s="913"/>
      <c r="FA90" s="913"/>
      <c r="FB90" s="913"/>
      <c r="FC90" s="913"/>
      <c r="FD90" s="923"/>
    </row>
    <row r="91" spans="1:160" ht="15.75" thickBot="1" x14ac:dyDescent="0.3">
      <c r="A91" s="2"/>
      <c r="B91" s="193"/>
      <c r="C91" s="193"/>
      <c r="D91" s="193"/>
      <c r="E91" s="193"/>
      <c r="F91" s="193"/>
      <c r="G91" s="193"/>
      <c r="H91" s="193"/>
      <c r="I91" s="193"/>
      <c r="J91" s="193"/>
      <c r="K91" s="193"/>
      <c r="L91" s="193"/>
      <c r="N91" s="922"/>
      <c r="O91" s="916">
        <f>O46</f>
        <v>13.06</v>
      </c>
      <c r="P91" s="913"/>
      <c r="Q91" s="924" t="s">
        <v>414</v>
      </c>
      <c r="R91" s="924" t="s">
        <v>414</v>
      </c>
      <c r="S91" s="925">
        <f t="shared" ref="S91:Z106" si="2">S46-R46</f>
        <v>1.7200000000000002</v>
      </c>
      <c r="T91" s="925">
        <f t="shared" si="2"/>
        <v>1.7299999999999995</v>
      </c>
      <c r="U91" s="925">
        <f t="shared" si="2"/>
        <v>1.7300000000000004</v>
      </c>
      <c r="V91" s="925">
        <f t="shared" si="2"/>
        <v>1.7300000000000004</v>
      </c>
      <c r="W91" s="925">
        <f t="shared" si="2"/>
        <v>1.7199999999999989</v>
      </c>
      <c r="X91" s="925">
        <f t="shared" si="2"/>
        <v>1.7300000000000004</v>
      </c>
      <c r="Y91" s="925">
        <f t="shared" si="2"/>
        <v>1.7300000000000004</v>
      </c>
      <c r="Z91" s="925">
        <f t="shared" si="2"/>
        <v>1.7299999999999986</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13"/>
      <c r="EK91" s="913"/>
      <c r="EL91" s="913"/>
      <c r="EM91" s="913"/>
      <c r="EN91" s="913"/>
      <c r="EO91" s="913"/>
      <c r="EP91" s="913"/>
      <c r="EQ91" s="913"/>
      <c r="ER91" s="913"/>
      <c r="ES91" s="913"/>
      <c r="ET91" s="913"/>
      <c r="EU91" s="913"/>
      <c r="EV91" s="913"/>
      <c r="EW91" s="913"/>
      <c r="EX91" s="913"/>
      <c r="EY91" s="913"/>
      <c r="EZ91" s="913"/>
      <c r="FA91" s="913"/>
      <c r="FB91" s="913"/>
      <c r="FC91" s="913"/>
      <c r="FD91" s="923"/>
    </row>
    <row r="92" spans="1:160" ht="15.75" thickBot="1" x14ac:dyDescent="0.3">
      <c r="A92" s="2"/>
      <c r="B92" s="193"/>
      <c r="C92" s="193"/>
      <c r="D92" s="193"/>
      <c r="E92" s="193"/>
      <c r="F92" s="193"/>
      <c r="G92" s="193"/>
      <c r="H92" s="193"/>
      <c r="I92" s="193"/>
      <c r="J92" s="193"/>
      <c r="K92" s="193"/>
      <c r="L92" s="193"/>
      <c r="N92" s="922"/>
      <c r="O92" s="916">
        <f t="shared" ref="O92:O106" si="3">O47</f>
        <v>17.059999999999999</v>
      </c>
      <c r="P92" s="913"/>
      <c r="Q92" s="925" t="s">
        <v>414</v>
      </c>
      <c r="R92" s="925" t="s">
        <v>414</v>
      </c>
      <c r="S92" s="925">
        <f t="shared" si="2"/>
        <v>2.08</v>
      </c>
      <c r="T92" s="925">
        <f t="shared" si="2"/>
        <v>2.08</v>
      </c>
      <c r="U92" s="925">
        <f t="shared" si="2"/>
        <v>2.08</v>
      </c>
      <c r="V92" s="925">
        <f t="shared" si="2"/>
        <v>2.08</v>
      </c>
      <c r="W92" s="925">
        <f t="shared" si="2"/>
        <v>2.08</v>
      </c>
      <c r="X92" s="925">
        <f t="shared" si="2"/>
        <v>2.08</v>
      </c>
      <c r="Y92" s="925">
        <f t="shared" si="2"/>
        <v>2.08</v>
      </c>
      <c r="Z92" s="925">
        <f t="shared" si="2"/>
        <v>2.0800000000000018</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13"/>
      <c r="EK92" s="913"/>
      <c r="EL92" s="913"/>
      <c r="EM92" s="913"/>
      <c r="EN92" s="913"/>
      <c r="EO92" s="913"/>
      <c r="EP92" s="913"/>
      <c r="EQ92" s="913"/>
      <c r="ER92" s="913"/>
      <c r="ES92" s="913"/>
      <c r="ET92" s="913"/>
      <c r="EU92" s="913"/>
      <c r="EV92" s="913"/>
      <c r="EW92" s="913"/>
      <c r="EX92" s="913"/>
      <c r="EY92" s="913"/>
      <c r="EZ92" s="913"/>
      <c r="FA92" s="913"/>
      <c r="FB92" s="913"/>
      <c r="FC92" s="913"/>
      <c r="FD92" s="923"/>
    </row>
    <row r="93" spans="1:160" ht="15.75" thickBot="1" x14ac:dyDescent="0.3">
      <c r="A93" s="2"/>
      <c r="B93" s="193"/>
      <c r="C93" s="193"/>
      <c r="D93" s="193"/>
      <c r="E93" s="193"/>
      <c r="F93" s="193"/>
      <c r="G93" s="193"/>
      <c r="H93" s="193"/>
      <c r="I93" s="193"/>
      <c r="J93" s="193"/>
      <c r="K93" s="193"/>
      <c r="L93" s="193"/>
      <c r="N93" s="922"/>
      <c r="O93" s="916">
        <f t="shared" si="3"/>
        <v>21.06</v>
      </c>
      <c r="P93" s="913"/>
      <c r="Q93" s="925" t="s">
        <v>414</v>
      </c>
      <c r="R93" s="925" t="s">
        <v>414</v>
      </c>
      <c r="S93" s="925">
        <f t="shared" si="2"/>
        <v>2.4299999999999997</v>
      </c>
      <c r="T93" s="925">
        <f t="shared" si="2"/>
        <v>2.4300000000000006</v>
      </c>
      <c r="U93" s="925">
        <f t="shared" si="2"/>
        <v>2.4299999999999997</v>
      </c>
      <c r="V93" s="925">
        <f t="shared" si="2"/>
        <v>2.4299999999999997</v>
      </c>
      <c r="W93" s="925">
        <f t="shared" si="2"/>
        <v>2.4299999999999997</v>
      </c>
      <c r="X93" s="925">
        <f t="shared" si="2"/>
        <v>2.4299999999999997</v>
      </c>
      <c r="Y93" s="925">
        <f t="shared" si="2"/>
        <v>2.4299999999999997</v>
      </c>
      <c r="Z93" s="925">
        <f t="shared" si="2"/>
        <v>2.4299999999999997</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13"/>
      <c r="EK93" s="913"/>
      <c r="EL93" s="913"/>
      <c r="EM93" s="913"/>
      <c r="EN93" s="913"/>
      <c r="EO93" s="913"/>
      <c r="EP93" s="913"/>
      <c r="EQ93" s="913"/>
      <c r="ER93" s="913"/>
      <c r="ES93" s="913"/>
      <c r="ET93" s="913"/>
      <c r="EU93" s="913"/>
      <c r="EV93" s="913"/>
      <c r="EW93" s="913"/>
      <c r="EX93" s="913"/>
      <c r="EY93" s="913"/>
      <c r="EZ93" s="913"/>
      <c r="FA93" s="913"/>
      <c r="FB93" s="913"/>
      <c r="FC93" s="913"/>
      <c r="FD93" s="923"/>
    </row>
    <row r="94" spans="1:160" ht="18.75" customHeight="1" thickBot="1" x14ac:dyDescent="0.3">
      <c r="A94" s="2"/>
      <c r="B94" s="193"/>
      <c r="C94" s="193"/>
      <c r="D94" s="193"/>
      <c r="E94" s="193"/>
      <c r="F94" s="193"/>
      <c r="G94" s="193"/>
      <c r="H94" s="193"/>
      <c r="I94" s="193"/>
      <c r="J94" s="193"/>
      <c r="K94" s="193"/>
      <c r="L94" s="193"/>
      <c r="N94" s="922"/>
      <c r="O94" s="916">
        <f t="shared" si="3"/>
        <v>25.06</v>
      </c>
      <c r="P94" s="913"/>
      <c r="Q94" s="925" t="s">
        <v>414</v>
      </c>
      <c r="R94" s="925" t="s">
        <v>414</v>
      </c>
      <c r="S94" s="925">
        <f t="shared" si="2"/>
        <v>2.7799999999999994</v>
      </c>
      <c r="T94" s="925">
        <f t="shared" si="2"/>
        <v>2.7800000000000011</v>
      </c>
      <c r="U94" s="925">
        <f t="shared" si="2"/>
        <v>2.7899999999999991</v>
      </c>
      <c r="V94" s="925">
        <f t="shared" si="2"/>
        <v>2.7799999999999994</v>
      </c>
      <c r="W94" s="925">
        <f t="shared" si="2"/>
        <v>2.7800000000000011</v>
      </c>
      <c r="X94" s="925">
        <f t="shared" si="2"/>
        <v>2.7800000000000011</v>
      </c>
      <c r="Y94" s="925">
        <f t="shared" si="2"/>
        <v>2.7799999999999976</v>
      </c>
      <c r="Z94" s="925">
        <f t="shared" si="2"/>
        <v>2.7800000000000011</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13"/>
      <c r="EK94" s="913"/>
      <c r="EL94" s="913"/>
      <c r="EM94" s="913"/>
      <c r="EN94" s="913"/>
      <c r="EO94" s="913"/>
      <c r="EP94" s="913"/>
      <c r="EQ94" s="913"/>
      <c r="ER94" s="913"/>
      <c r="ES94" s="913"/>
      <c r="ET94" s="913"/>
      <c r="EU94" s="913"/>
      <c r="EV94" s="913"/>
      <c r="EW94" s="913"/>
      <c r="EX94" s="913"/>
      <c r="EY94" s="913"/>
      <c r="EZ94" s="913"/>
      <c r="FA94" s="913"/>
      <c r="FB94" s="913"/>
      <c r="FC94" s="913"/>
      <c r="FD94" s="923"/>
    </row>
    <row r="95" spans="1:160" ht="18.75" customHeight="1" thickBot="1" x14ac:dyDescent="0.3">
      <c r="A95" s="2"/>
      <c r="N95" s="922"/>
      <c r="O95" s="916">
        <f t="shared" si="3"/>
        <v>29.06</v>
      </c>
      <c r="P95" s="913"/>
      <c r="Q95" s="925" t="s">
        <v>414</v>
      </c>
      <c r="R95" s="925" t="s">
        <v>414</v>
      </c>
      <c r="S95" s="925">
        <f t="shared" si="2"/>
        <v>3.1400000000000006</v>
      </c>
      <c r="T95" s="925">
        <f t="shared" si="2"/>
        <v>3.129999999999999</v>
      </c>
      <c r="U95" s="925">
        <f t="shared" si="2"/>
        <v>3.129999999999999</v>
      </c>
      <c r="V95" s="925">
        <f t="shared" si="2"/>
        <v>3.129999999999999</v>
      </c>
      <c r="W95" s="925">
        <f t="shared" si="2"/>
        <v>3.129999999999999</v>
      </c>
      <c r="X95" s="925">
        <f t="shared" si="2"/>
        <v>3.129999999999999</v>
      </c>
      <c r="Y95" s="925">
        <f t="shared" si="2"/>
        <v>3.129999999999999</v>
      </c>
      <c r="Z95" s="925">
        <f t="shared" si="2"/>
        <v>3.129999999999999</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13"/>
      <c r="EK95" s="913"/>
      <c r="EL95" s="913"/>
      <c r="EM95" s="913"/>
      <c r="EN95" s="913"/>
      <c r="EO95" s="913"/>
      <c r="EP95" s="913"/>
      <c r="EQ95" s="913"/>
      <c r="ER95" s="913"/>
      <c r="ES95" s="913"/>
      <c r="ET95" s="913"/>
      <c r="EU95" s="913"/>
      <c r="EV95" s="913"/>
      <c r="EW95" s="913"/>
      <c r="EX95" s="913"/>
      <c r="EY95" s="913"/>
      <c r="EZ95" s="913"/>
      <c r="FA95" s="913"/>
      <c r="FB95" s="913"/>
      <c r="FC95" s="913"/>
      <c r="FD95" s="923"/>
    </row>
    <row r="96" spans="1:160" ht="15.75" thickBot="1" x14ac:dyDescent="0.3">
      <c r="A96" s="2"/>
      <c r="G96" s="193"/>
      <c r="H96" s="193"/>
      <c r="I96" s="193"/>
      <c r="J96" s="193"/>
      <c r="K96" s="193"/>
      <c r="N96" s="922"/>
      <c r="O96" s="916">
        <f t="shared" si="3"/>
        <v>33.06</v>
      </c>
      <c r="P96" s="913"/>
      <c r="Q96" s="925" t="s">
        <v>414</v>
      </c>
      <c r="R96" s="925" t="s">
        <v>414</v>
      </c>
      <c r="S96" s="925">
        <f t="shared" si="2"/>
        <v>3.4800000000000004</v>
      </c>
      <c r="T96" s="925">
        <f t="shared" si="2"/>
        <v>3.4799999999999986</v>
      </c>
      <c r="U96" s="925">
        <f t="shared" si="2"/>
        <v>3.49</v>
      </c>
      <c r="V96" s="925">
        <f t="shared" si="2"/>
        <v>3.4800000000000004</v>
      </c>
      <c r="W96" s="925">
        <f t="shared" si="2"/>
        <v>3.4800000000000004</v>
      </c>
      <c r="X96" s="925">
        <f t="shared" si="2"/>
        <v>3.4800000000000004</v>
      </c>
      <c r="Y96" s="925">
        <f t="shared" si="2"/>
        <v>3.4899999999999984</v>
      </c>
      <c r="Z96" s="925">
        <f t="shared" si="2"/>
        <v>3.480000000000004</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13"/>
      <c r="EK96" s="913"/>
      <c r="EL96" s="913"/>
      <c r="EM96" s="913"/>
      <c r="EN96" s="913"/>
      <c r="EO96" s="913"/>
      <c r="EP96" s="913"/>
      <c r="EQ96" s="913"/>
      <c r="ER96" s="913"/>
      <c r="ES96" s="913"/>
      <c r="ET96" s="913"/>
      <c r="EU96" s="913"/>
      <c r="EV96" s="913"/>
      <c r="EW96" s="913"/>
      <c r="EX96" s="913"/>
      <c r="EY96" s="913"/>
      <c r="EZ96" s="913"/>
      <c r="FA96" s="913"/>
      <c r="FB96" s="913"/>
      <c r="FC96" s="913"/>
      <c r="FD96" s="923"/>
    </row>
    <row r="97" spans="1:160" ht="15.75" thickBot="1" x14ac:dyDescent="0.3">
      <c r="A97" s="2"/>
      <c r="G97" s="193"/>
      <c r="H97" s="193"/>
      <c r="I97" s="193"/>
      <c r="J97" s="193"/>
      <c r="K97" s="193"/>
      <c r="N97" s="922"/>
      <c r="O97" s="916">
        <f t="shared" si="3"/>
        <v>37.06</v>
      </c>
      <c r="P97" s="913"/>
      <c r="Q97" s="925" t="s">
        <v>414</v>
      </c>
      <c r="R97" s="925" t="s">
        <v>414</v>
      </c>
      <c r="S97" s="925">
        <f t="shared" si="2"/>
        <v>3.83</v>
      </c>
      <c r="T97" s="925">
        <f t="shared" si="2"/>
        <v>3.84</v>
      </c>
      <c r="U97" s="925">
        <f t="shared" si="2"/>
        <v>3.83</v>
      </c>
      <c r="V97" s="925">
        <f t="shared" si="2"/>
        <v>3.84</v>
      </c>
      <c r="W97" s="925">
        <f t="shared" si="2"/>
        <v>3.8300000000000018</v>
      </c>
      <c r="X97" s="925">
        <f t="shared" si="2"/>
        <v>3.8299999999999983</v>
      </c>
      <c r="Y97" s="925">
        <f t="shared" si="2"/>
        <v>3.8400000000000034</v>
      </c>
      <c r="Z97" s="925">
        <f t="shared" si="2"/>
        <v>3.8299999999999983</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13"/>
      <c r="EK97" s="913"/>
      <c r="EL97" s="913"/>
      <c r="EM97" s="913"/>
      <c r="EN97" s="913"/>
      <c r="EO97" s="913"/>
      <c r="EP97" s="913"/>
      <c r="EQ97" s="913"/>
      <c r="ER97" s="913"/>
      <c r="ES97" s="913"/>
      <c r="ET97" s="913"/>
      <c r="EU97" s="913"/>
      <c r="EV97" s="913"/>
      <c r="EW97" s="913"/>
      <c r="EX97" s="913"/>
      <c r="EY97" s="913"/>
      <c r="EZ97" s="913"/>
      <c r="FA97" s="913"/>
      <c r="FB97" s="913"/>
      <c r="FC97" s="913"/>
      <c r="FD97" s="923"/>
    </row>
    <row r="98" spans="1:160" ht="15.75" thickBot="1" x14ac:dyDescent="0.3">
      <c r="A98" s="2"/>
      <c r="G98" s="193"/>
      <c r="H98" s="193"/>
      <c r="I98" s="193"/>
      <c r="J98" s="193"/>
      <c r="K98" s="193"/>
      <c r="N98" s="922"/>
      <c r="O98" s="916">
        <f t="shared" si="3"/>
        <v>41.06</v>
      </c>
      <c r="P98" s="913"/>
      <c r="Q98" s="925" t="s">
        <v>414</v>
      </c>
      <c r="R98" s="925" t="s">
        <v>414</v>
      </c>
      <c r="S98" s="925">
        <f t="shared" si="2"/>
        <v>4.1900000000000004</v>
      </c>
      <c r="T98" s="925">
        <f t="shared" si="2"/>
        <v>4.18</v>
      </c>
      <c r="U98" s="925">
        <f t="shared" si="2"/>
        <v>4.1900000000000013</v>
      </c>
      <c r="V98" s="925">
        <f t="shared" si="2"/>
        <v>4.18</v>
      </c>
      <c r="W98" s="925">
        <f t="shared" si="2"/>
        <v>4.18</v>
      </c>
      <c r="X98" s="925">
        <f t="shared" si="2"/>
        <v>4.1800000000000033</v>
      </c>
      <c r="Y98" s="925">
        <f t="shared" si="2"/>
        <v>4.18</v>
      </c>
      <c r="Z98" s="925">
        <f t="shared" si="2"/>
        <v>4.18</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13"/>
      <c r="EK98" s="913"/>
      <c r="EL98" s="913"/>
      <c r="EM98" s="913"/>
      <c r="EN98" s="913"/>
      <c r="EO98" s="913"/>
      <c r="EP98" s="913"/>
      <c r="EQ98" s="913"/>
      <c r="ER98" s="913"/>
      <c r="ES98" s="913"/>
      <c r="ET98" s="913"/>
      <c r="EU98" s="913"/>
      <c r="EV98" s="913"/>
      <c r="EW98" s="913"/>
      <c r="EX98" s="913"/>
      <c r="EY98" s="913"/>
      <c r="EZ98" s="913"/>
      <c r="FA98" s="913"/>
      <c r="FB98" s="913"/>
      <c r="FC98" s="913"/>
      <c r="FD98" s="923"/>
    </row>
    <row r="99" spans="1:160" ht="15.75" thickBot="1" x14ac:dyDescent="0.3">
      <c r="A99" s="2"/>
      <c r="G99" s="193"/>
      <c r="H99" s="193"/>
      <c r="I99" s="193"/>
      <c r="J99" s="193"/>
      <c r="K99" s="193"/>
      <c r="N99" s="922"/>
      <c r="O99" s="916">
        <f t="shared" si="3"/>
        <v>45.06</v>
      </c>
      <c r="P99" s="913"/>
      <c r="Q99" s="925" t="s">
        <v>414</v>
      </c>
      <c r="R99" s="925" t="s">
        <v>414</v>
      </c>
      <c r="S99" s="925">
        <f t="shared" si="2"/>
        <v>4.5399999999999991</v>
      </c>
      <c r="T99" s="925">
        <f t="shared" si="2"/>
        <v>4.5400000000000009</v>
      </c>
      <c r="U99" s="925">
        <f t="shared" si="2"/>
        <v>4.5300000000000011</v>
      </c>
      <c r="V99" s="925">
        <f t="shared" si="2"/>
        <v>4.5399999999999991</v>
      </c>
      <c r="W99" s="925">
        <f t="shared" si="2"/>
        <v>4.5300000000000011</v>
      </c>
      <c r="X99" s="925">
        <f t="shared" si="2"/>
        <v>4.5399999999999956</v>
      </c>
      <c r="Y99" s="925">
        <f t="shared" si="2"/>
        <v>4.5400000000000063</v>
      </c>
      <c r="Z99" s="925">
        <f t="shared" si="2"/>
        <v>4.529999999999994</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13"/>
      <c r="EK99" s="913"/>
      <c r="EL99" s="913"/>
      <c r="EM99" s="913"/>
      <c r="EN99" s="913"/>
      <c r="EO99" s="913"/>
      <c r="EP99" s="913"/>
      <c r="EQ99" s="913"/>
      <c r="ER99" s="913"/>
      <c r="ES99" s="913"/>
      <c r="ET99" s="913"/>
      <c r="EU99" s="913"/>
      <c r="EV99" s="913"/>
      <c r="EW99" s="913"/>
      <c r="EX99" s="913"/>
      <c r="EY99" s="913"/>
      <c r="EZ99" s="913"/>
      <c r="FA99" s="913"/>
      <c r="FB99" s="913"/>
      <c r="FC99" s="913"/>
      <c r="FD99" s="923"/>
    </row>
    <row r="100" spans="1:160" ht="15.75" thickBot="1" x14ac:dyDescent="0.3">
      <c r="A100" s="2"/>
      <c r="G100" s="193"/>
      <c r="H100" s="193"/>
      <c r="I100" s="193"/>
      <c r="J100" s="193"/>
      <c r="K100" s="193"/>
      <c r="N100" s="922"/>
      <c r="O100" s="916">
        <f t="shared" si="3"/>
        <v>49.06</v>
      </c>
      <c r="P100" s="913"/>
      <c r="Q100" s="925" t="s">
        <v>414</v>
      </c>
      <c r="R100" s="925" t="s">
        <v>414</v>
      </c>
      <c r="S100" s="925">
        <f t="shared" si="2"/>
        <v>4.8800000000000008</v>
      </c>
      <c r="T100" s="925">
        <f t="shared" si="2"/>
        <v>4.8899999999999988</v>
      </c>
      <c r="U100" s="925">
        <f t="shared" si="2"/>
        <v>4.8900000000000006</v>
      </c>
      <c r="V100" s="925">
        <f t="shared" si="2"/>
        <v>4.879999999999999</v>
      </c>
      <c r="W100" s="925">
        <f t="shared" si="2"/>
        <v>4.8900000000000006</v>
      </c>
      <c r="X100" s="925">
        <f t="shared" si="2"/>
        <v>4.8900000000000006</v>
      </c>
      <c r="Y100" s="925">
        <f t="shared" si="2"/>
        <v>4.8900000000000006</v>
      </c>
      <c r="Z100" s="925">
        <f t="shared" si="2"/>
        <v>4.8800000000000026</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13"/>
      <c r="EK100" s="913"/>
      <c r="EL100" s="913"/>
      <c r="EM100" s="913"/>
      <c r="EN100" s="913"/>
      <c r="EO100" s="913"/>
      <c r="EP100" s="913"/>
      <c r="EQ100" s="913"/>
      <c r="ER100" s="913"/>
      <c r="ES100" s="913"/>
      <c r="ET100" s="913"/>
      <c r="EU100" s="913"/>
      <c r="EV100" s="913"/>
      <c r="EW100" s="913"/>
      <c r="EX100" s="913"/>
      <c r="EY100" s="913"/>
      <c r="EZ100" s="913"/>
      <c r="FA100" s="913"/>
      <c r="FB100" s="913"/>
      <c r="FC100" s="913"/>
      <c r="FD100" s="923"/>
    </row>
    <row r="101" spans="1:160" ht="15.75" thickBot="1" x14ac:dyDescent="0.3">
      <c r="A101" s="2"/>
      <c r="G101" s="436"/>
      <c r="H101" s="436"/>
      <c r="I101" s="436"/>
      <c r="J101" s="193"/>
      <c r="K101" s="193"/>
      <c r="N101" s="922"/>
      <c r="O101" s="916">
        <f t="shared" si="3"/>
        <v>53.06</v>
      </c>
      <c r="P101" s="913"/>
      <c r="Q101" s="925" t="s">
        <v>414</v>
      </c>
      <c r="R101" s="925" t="s">
        <v>414</v>
      </c>
      <c r="S101" s="925">
        <f t="shared" si="2"/>
        <v>5.24</v>
      </c>
      <c r="T101" s="925">
        <f t="shared" si="2"/>
        <v>5.23</v>
      </c>
      <c r="U101" s="925">
        <f t="shared" si="2"/>
        <v>5.240000000000002</v>
      </c>
      <c r="V101" s="925">
        <f t="shared" si="2"/>
        <v>5.240000000000002</v>
      </c>
      <c r="W101" s="925">
        <f t="shared" si="2"/>
        <v>5.240000000000002</v>
      </c>
      <c r="X101" s="925">
        <f t="shared" si="2"/>
        <v>5.240000000000002</v>
      </c>
      <c r="Y101" s="925">
        <f t="shared" si="2"/>
        <v>5.240000000000002</v>
      </c>
      <c r="Z101" s="925">
        <f t="shared" si="2"/>
        <v>5.240000000000002</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13"/>
      <c r="EK101" s="913"/>
      <c r="EL101" s="913"/>
      <c r="EM101" s="913"/>
      <c r="EN101" s="913"/>
      <c r="EO101" s="913"/>
      <c r="EP101" s="913"/>
      <c r="EQ101" s="913"/>
      <c r="ER101" s="913"/>
      <c r="ES101" s="913"/>
      <c r="ET101" s="913"/>
      <c r="EU101" s="913"/>
      <c r="EV101" s="913"/>
      <c r="EW101" s="913"/>
      <c r="EX101" s="913"/>
      <c r="EY101" s="913"/>
      <c r="EZ101" s="913"/>
      <c r="FA101" s="913"/>
      <c r="FB101" s="913"/>
      <c r="FC101" s="913"/>
      <c r="FD101" s="923"/>
    </row>
    <row r="102" spans="1:160" ht="15.75" thickBot="1" x14ac:dyDescent="0.3">
      <c r="A102" s="2"/>
      <c r="G102" s="436"/>
      <c r="H102" s="436"/>
      <c r="I102" s="436"/>
      <c r="J102" s="193"/>
      <c r="K102" s="193"/>
      <c r="N102" s="922"/>
      <c r="O102" s="916">
        <f t="shared" si="3"/>
        <v>57.06</v>
      </c>
      <c r="P102" s="913"/>
      <c r="Q102" s="925" t="s">
        <v>414</v>
      </c>
      <c r="R102" s="925" t="s">
        <v>414</v>
      </c>
      <c r="S102" s="925">
        <f t="shared" si="2"/>
        <v>5.5900000000000016</v>
      </c>
      <c r="T102" s="925">
        <f t="shared" si="2"/>
        <v>5.59</v>
      </c>
      <c r="U102" s="925">
        <f t="shared" si="2"/>
        <v>5.59</v>
      </c>
      <c r="V102" s="925">
        <f t="shared" si="2"/>
        <v>5.5899999999999963</v>
      </c>
      <c r="W102" s="925">
        <f t="shared" si="2"/>
        <v>5.5900000000000034</v>
      </c>
      <c r="X102" s="925">
        <f t="shared" si="2"/>
        <v>5.5899999999999963</v>
      </c>
      <c r="Y102" s="925">
        <f t="shared" si="2"/>
        <v>5.5900000000000034</v>
      </c>
      <c r="Z102" s="925">
        <f t="shared" si="2"/>
        <v>5.5799999999999983</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13"/>
      <c r="EK102" s="913"/>
      <c r="EL102" s="913"/>
      <c r="EM102" s="913"/>
      <c r="EN102" s="913"/>
      <c r="EO102" s="913"/>
      <c r="EP102" s="913"/>
      <c r="EQ102" s="913"/>
      <c r="ER102" s="913"/>
      <c r="ES102" s="913"/>
      <c r="ET102" s="913"/>
      <c r="EU102" s="913"/>
      <c r="EV102" s="913"/>
      <c r="EW102" s="913"/>
      <c r="EX102" s="913"/>
      <c r="EY102" s="913"/>
      <c r="EZ102" s="913"/>
      <c r="FA102" s="913"/>
      <c r="FB102" s="913"/>
      <c r="FC102" s="913"/>
      <c r="FD102" s="923"/>
    </row>
    <row r="103" spans="1:160" ht="15.75" thickBot="1" x14ac:dyDescent="0.3">
      <c r="A103" s="2"/>
      <c r="G103" s="436"/>
      <c r="H103" s="436"/>
      <c r="I103" s="436"/>
      <c r="J103" s="193"/>
      <c r="K103" s="193"/>
      <c r="N103" s="922"/>
      <c r="O103" s="916">
        <f t="shared" si="3"/>
        <v>61.06</v>
      </c>
      <c r="P103" s="913"/>
      <c r="Q103" s="925" t="s">
        <v>414</v>
      </c>
      <c r="R103" s="925" t="s">
        <v>414</v>
      </c>
      <c r="S103" s="925">
        <f t="shared" si="2"/>
        <v>5.9399999999999977</v>
      </c>
      <c r="T103" s="925">
        <f t="shared" si="2"/>
        <v>5.9400000000000013</v>
      </c>
      <c r="U103" s="925">
        <f t="shared" si="2"/>
        <v>5.9400000000000013</v>
      </c>
      <c r="V103" s="925">
        <f t="shared" si="2"/>
        <v>5.9399999999999977</v>
      </c>
      <c r="W103" s="925">
        <f t="shared" si="2"/>
        <v>5.9400000000000048</v>
      </c>
      <c r="X103" s="925">
        <f t="shared" si="2"/>
        <v>5.9399999999999977</v>
      </c>
      <c r="Y103" s="925">
        <f t="shared" si="2"/>
        <v>5.9499999999999957</v>
      </c>
      <c r="Z103" s="925">
        <f t="shared" si="2"/>
        <v>5.9400000000000048</v>
      </c>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13"/>
      <c r="EK103" s="913"/>
      <c r="EL103" s="913"/>
      <c r="EM103" s="913"/>
      <c r="EN103" s="913"/>
      <c r="EO103" s="913"/>
      <c r="EP103" s="913"/>
      <c r="EQ103" s="913"/>
      <c r="ER103" s="913"/>
      <c r="ES103" s="913"/>
      <c r="ET103" s="913"/>
      <c r="EU103" s="913"/>
      <c r="EV103" s="913"/>
      <c r="EW103" s="913"/>
      <c r="EX103" s="913"/>
      <c r="EY103" s="913"/>
      <c r="EZ103" s="913"/>
      <c r="FA103" s="913"/>
      <c r="FB103" s="913"/>
      <c r="FC103" s="913"/>
      <c r="FD103" s="923"/>
    </row>
    <row r="104" spans="1:160" ht="15.75" thickBot="1" x14ac:dyDescent="0.3">
      <c r="G104" s="436"/>
      <c r="H104" s="436"/>
      <c r="I104" s="436"/>
      <c r="J104" s="193"/>
      <c r="K104" s="193"/>
      <c r="N104" s="922"/>
      <c r="O104" s="916">
        <f t="shared" si="3"/>
        <v>65.06</v>
      </c>
      <c r="P104" s="913"/>
      <c r="Q104" s="925" t="s">
        <v>414</v>
      </c>
      <c r="R104" s="925" t="s">
        <v>414</v>
      </c>
      <c r="S104" s="925">
        <f t="shared" si="2"/>
        <v>6.3000000000000007</v>
      </c>
      <c r="T104" s="925">
        <f t="shared" si="2"/>
        <v>6.2899999999999991</v>
      </c>
      <c r="U104" s="925">
        <f t="shared" si="2"/>
        <v>6.2899999999999991</v>
      </c>
      <c r="V104" s="925">
        <f t="shared" si="2"/>
        <v>6.2899999999999991</v>
      </c>
      <c r="W104" s="925">
        <f t="shared" si="2"/>
        <v>6.2899999999999991</v>
      </c>
      <c r="X104" s="925">
        <f t="shared" si="2"/>
        <v>6.2899999999999991</v>
      </c>
      <c r="Y104" s="925">
        <f t="shared" si="2"/>
        <v>6.2899999999999991</v>
      </c>
      <c r="Z104" s="925">
        <f t="shared" si="2"/>
        <v>6.3000000000000043</v>
      </c>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13"/>
      <c r="EK104" s="913"/>
      <c r="EL104" s="913"/>
      <c r="EM104" s="913"/>
      <c r="EN104" s="913"/>
      <c r="EO104" s="913"/>
      <c r="EP104" s="913"/>
      <c r="EQ104" s="913"/>
      <c r="ER104" s="913"/>
      <c r="ES104" s="913"/>
      <c r="ET104" s="913"/>
      <c r="EU104" s="913"/>
      <c r="EV104" s="913"/>
      <c r="EW104" s="913"/>
      <c r="EX104" s="913"/>
      <c r="EY104" s="913"/>
      <c r="EZ104" s="913"/>
      <c r="FA104" s="913"/>
      <c r="FB104" s="913"/>
      <c r="FC104" s="913"/>
      <c r="FD104" s="923"/>
    </row>
    <row r="105" spans="1:160" ht="15.75" thickBot="1" x14ac:dyDescent="0.3">
      <c r="G105" s="436"/>
      <c r="H105" s="436"/>
      <c r="I105" s="436"/>
      <c r="J105" s="193"/>
      <c r="K105" s="193"/>
      <c r="N105" s="922"/>
      <c r="O105" s="916">
        <f t="shared" si="3"/>
        <v>69.06</v>
      </c>
      <c r="P105" s="913"/>
      <c r="Q105" s="925" t="s">
        <v>414</v>
      </c>
      <c r="R105" s="925" t="s">
        <v>414</v>
      </c>
      <c r="S105" s="925">
        <f t="shared" si="2"/>
        <v>6.6400000000000006</v>
      </c>
      <c r="T105" s="925">
        <f t="shared" si="2"/>
        <v>6.639999999999997</v>
      </c>
      <c r="U105" s="925">
        <f t="shared" si="2"/>
        <v>6.6400000000000006</v>
      </c>
      <c r="V105" s="925">
        <f t="shared" si="2"/>
        <v>6.6499999999999986</v>
      </c>
      <c r="W105" s="925">
        <f t="shared" si="2"/>
        <v>6.6400000000000006</v>
      </c>
      <c r="X105" s="925">
        <f t="shared" si="2"/>
        <v>6.6400000000000006</v>
      </c>
      <c r="Y105" s="925">
        <f t="shared" si="2"/>
        <v>6.6400000000000006</v>
      </c>
      <c r="Z105" s="925">
        <f t="shared" si="2"/>
        <v>6.6499999999999986</v>
      </c>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13"/>
      <c r="EK105" s="913"/>
      <c r="EL105" s="913"/>
      <c r="EM105" s="913"/>
      <c r="EN105" s="913"/>
      <c r="EO105" s="913"/>
      <c r="EP105" s="913"/>
      <c r="EQ105" s="913"/>
      <c r="ER105" s="913"/>
      <c r="ES105" s="913"/>
      <c r="ET105" s="913"/>
      <c r="EU105" s="913"/>
      <c r="EV105" s="913"/>
      <c r="EW105" s="913"/>
      <c r="EX105" s="913"/>
      <c r="EY105" s="913"/>
      <c r="EZ105" s="913"/>
      <c r="FA105" s="913"/>
      <c r="FB105" s="913"/>
      <c r="FC105" s="913"/>
      <c r="FD105" s="923"/>
    </row>
    <row r="106" spans="1:160" ht="15.75" thickBot="1" x14ac:dyDescent="0.3">
      <c r="G106" s="193"/>
      <c r="H106" s="193"/>
      <c r="I106" s="193"/>
      <c r="J106" s="193"/>
      <c r="K106" s="193"/>
      <c r="N106" s="922"/>
      <c r="O106" s="916">
        <f t="shared" si="3"/>
        <v>73.06</v>
      </c>
      <c r="P106" s="913"/>
      <c r="Q106" s="925" t="s">
        <v>414</v>
      </c>
      <c r="R106" s="925" t="s">
        <v>414</v>
      </c>
      <c r="S106" s="925">
        <f t="shared" si="2"/>
        <v>6.9899999999999984</v>
      </c>
      <c r="T106" s="925">
        <f t="shared" si="2"/>
        <v>7</v>
      </c>
      <c r="U106" s="925">
        <f t="shared" si="2"/>
        <v>6.9899999999999984</v>
      </c>
      <c r="V106" s="925">
        <f t="shared" si="2"/>
        <v>6.990000000000002</v>
      </c>
      <c r="W106" s="925">
        <f t="shared" si="2"/>
        <v>7</v>
      </c>
      <c r="X106" s="925">
        <f t="shared" si="2"/>
        <v>6.990000000000002</v>
      </c>
      <c r="Y106" s="925">
        <f t="shared" si="2"/>
        <v>6.990000000000002</v>
      </c>
      <c r="Z106" s="925">
        <f t="shared" si="2"/>
        <v>7</v>
      </c>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13"/>
      <c r="EK106" s="913"/>
      <c r="EL106" s="913"/>
      <c r="EM106" s="913"/>
      <c r="EN106" s="913"/>
      <c r="EO106" s="913"/>
      <c r="EP106" s="913"/>
      <c r="EQ106" s="913"/>
      <c r="ER106" s="913"/>
      <c r="ES106" s="913"/>
      <c r="ET106" s="913"/>
      <c r="EU106" s="913"/>
      <c r="EV106" s="913"/>
      <c r="EW106" s="913"/>
      <c r="EX106" s="913"/>
      <c r="EY106" s="913"/>
      <c r="EZ106" s="913"/>
      <c r="FA106" s="913"/>
      <c r="FB106" s="913"/>
      <c r="FC106" s="913"/>
      <c r="FD106" s="923"/>
    </row>
    <row r="107" spans="1:160" ht="18.75" x14ac:dyDescent="0.3">
      <c r="G107" s="193"/>
      <c r="H107" s="193"/>
      <c r="I107" s="658"/>
      <c r="J107" s="658"/>
      <c r="K107" s="658"/>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13"/>
      <c r="EK107" s="913"/>
      <c r="EL107" s="913"/>
      <c r="EM107" s="913"/>
      <c r="EN107" s="913"/>
      <c r="EO107" s="913"/>
      <c r="EP107" s="913"/>
      <c r="EQ107" s="913"/>
      <c r="ER107" s="913"/>
      <c r="ES107" s="913"/>
      <c r="ET107" s="913"/>
      <c r="EU107" s="913"/>
      <c r="EV107" s="913"/>
      <c r="EW107" s="913"/>
      <c r="EX107" s="913"/>
      <c r="EY107" s="913"/>
      <c r="EZ107" s="913"/>
      <c r="FA107" s="913"/>
      <c r="FB107" s="913"/>
      <c r="FC107" s="913"/>
      <c r="FD107" s="923"/>
    </row>
    <row r="108" spans="1:160" ht="19.5" thickBot="1" x14ac:dyDescent="0.35">
      <c r="G108" s="425"/>
      <c r="H108" s="193"/>
      <c r="I108" s="658"/>
      <c r="J108" s="658"/>
      <c r="K108" s="658"/>
      <c r="N108" s="922"/>
      <c r="O108" s="913" t="s">
        <v>416</v>
      </c>
      <c r="P108" s="913"/>
      <c r="Q108" s="924"/>
      <c r="R108" s="924"/>
      <c r="S108" s="924"/>
      <c r="T108" s="924"/>
      <c r="U108" s="924"/>
      <c r="V108" s="924"/>
      <c r="W108" s="924"/>
      <c r="X108" s="924"/>
      <c r="Y108" s="924"/>
      <c r="Z108" s="924"/>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13"/>
      <c r="EK108" s="913"/>
      <c r="EL108" s="913"/>
      <c r="EM108" s="913"/>
      <c r="EN108" s="913"/>
      <c r="EO108" s="913"/>
      <c r="EP108" s="913"/>
      <c r="EQ108" s="913"/>
      <c r="ER108" s="913"/>
      <c r="ES108" s="913"/>
      <c r="ET108" s="913"/>
      <c r="EU108" s="913"/>
      <c r="EV108" s="913"/>
      <c r="EW108" s="913"/>
      <c r="EX108" s="913"/>
      <c r="EY108" s="913"/>
      <c r="EZ108" s="913"/>
      <c r="FA108" s="913"/>
      <c r="FB108" s="913"/>
      <c r="FC108" s="913"/>
      <c r="FD108" s="923"/>
    </row>
    <row r="109" spans="1:160" ht="19.5" thickBot="1" x14ac:dyDescent="0.35">
      <c r="G109" s="193"/>
      <c r="H109" s="193"/>
      <c r="I109" s="193"/>
      <c r="J109" s="658"/>
      <c r="K109" s="658"/>
      <c r="N109" s="922"/>
      <c r="O109" s="913"/>
      <c r="P109" s="913"/>
      <c r="Q109" s="914">
        <v>9</v>
      </c>
      <c r="R109" s="915">
        <v>12</v>
      </c>
      <c r="S109" s="915">
        <f t="shared" ref="S109:Z109" si="4">R109+6</f>
        <v>18</v>
      </c>
      <c r="T109" s="915">
        <f t="shared" si="4"/>
        <v>24</v>
      </c>
      <c r="U109" s="915">
        <f t="shared" si="4"/>
        <v>30</v>
      </c>
      <c r="V109" s="915">
        <f t="shared" si="4"/>
        <v>36</v>
      </c>
      <c r="W109" s="915">
        <f t="shared" si="4"/>
        <v>42</v>
      </c>
      <c r="X109" s="915">
        <f t="shared" si="4"/>
        <v>48</v>
      </c>
      <c r="Y109" s="915">
        <f t="shared" si="4"/>
        <v>54</v>
      </c>
      <c r="Z109" s="915">
        <f t="shared" si="4"/>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13"/>
      <c r="EK109" s="913"/>
      <c r="EL109" s="913"/>
      <c r="EM109" s="913"/>
      <c r="EN109" s="913"/>
      <c r="EO109" s="913"/>
      <c r="EP109" s="913"/>
      <c r="EQ109" s="913"/>
      <c r="ER109" s="913"/>
      <c r="ES109" s="913"/>
      <c r="ET109" s="913"/>
      <c r="EU109" s="913"/>
      <c r="EV109" s="913"/>
      <c r="EW109" s="913"/>
      <c r="EX109" s="913"/>
      <c r="EY109" s="913"/>
      <c r="EZ109" s="913"/>
      <c r="FA109" s="913"/>
      <c r="FB109" s="913"/>
      <c r="FC109" s="913"/>
      <c r="FD109" s="923"/>
    </row>
    <row r="110" spans="1:160" ht="19.5" thickBot="1" x14ac:dyDescent="0.35">
      <c r="G110" s="193"/>
      <c r="H110" s="193"/>
      <c r="I110" s="193"/>
      <c r="J110" s="658"/>
      <c r="K110" s="658"/>
      <c r="N110" s="922"/>
      <c r="O110" s="916">
        <f>O46</f>
        <v>13.06</v>
      </c>
      <c r="P110" s="913"/>
      <c r="Q110" s="924" t="s">
        <v>414</v>
      </c>
      <c r="R110" s="924" t="s">
        <v>414</v>
      </c>
      <c r="S110" s="924" t="s">
        <v>414</v>
      </c>
      <c r="T110" s="924" t="s">
        <v>414</v>
      </c>
      <c r="U110" s="924" t="s">
        <v>414</v>
      </c>
      <c r="V110" s="924" t="s">
        <v>414</v>
      </c>
      <c r="W110" s="924" t="s">
        <v>414</v>
      </c>
      <c r="X110" s="924" t="s">
        <v>414</v>
      </c>
      <c r="Y110" s="924" t="s">
        <v>414</v>
      </c>
      <c r="Z110" s="924" t="s">
        <v>414</v>
      </c>
      <c r="AA110" s="913" t="s">
        <v>424</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13"/>
      <c r="EK110" s="913"/>
      <c r="EL110" s="913"/>
      <c r="EM110" s="913"/>
      <c r="EN110" s="913"/>
      <c r="EO110" s="913"/>
      <c r="EP110" s="913"/>
      <c r="EQ110" s="913"/>
      <c r="ER110" s="913"/>
      <c r="ES110" s="913"/>
      <c r="ET110" s="913"/>
      <c r="EU110" s="913"/>
      <c r="EV110" s="913"/>
      <c r="EW110" s="913"/>
      <c r="EX110" s="913"/>
      <c r="EY110" s="913"/>
      <c r="EZ110" s="913"/>
      <c r="FA110" s="913"/>
      <c r="FB110" s="913"/>
      <c r="FC110" s="913"/>
      <c r="FD110" s="923"/>
    </row>
    <row r="111" spans="1:160" ht="19.5" thickBot="1" x14ac:dyDescent="0.35">
      <c r="G111" s="193"/>
      <c r="H111" s="193"/>
      <c r="I111" s="193"/>
      <c r="J111" s="658"/>
      <c r="K111" s="658"/>
      <c r="N111" s="922"/>
      <c r="O111" s="916">
        <f t="shared" ref="O111:O125" si="5">O47</f>
        <v>17.059999999999999</v>
      </c>
      <c r="P111" s="913"/>
      <c r="Q111" s="925"/>
      <c r="R111" s="932">
        <f t="shared" ref="R111:Z125" si="6">R47-R46</f>
        <v>0.69999999999999973</v>
      </c>
      <c r="S111" s="932">
        <f t="shared" si="6"/>
        <v>1.0599999999999996</v>
      </c>
      <c r="T111" s="932">
        <f t="shared" si="6"/>
        <v>1.4100000000000001</v>
      </c>
      <c r="U111" s="932">
        <f t="shared" si="6"/>
        <v>1.7599999999999998</v>
      </c>
      <c r="V111" s="932">
        <f t="shared" si="6"/>
        <v>2.1099999999999994</v>
      </c>
      <c r="W111" s="932">
        <f t="shared" si="6"/>
        <v>2.4700000000000006</v>
      </c>
      <c r="X111" s="932">
        <f t="shared" si="6"/>
        <v>2.8200000000000003</v>
      </c>
      <c r="Y111" s="932">
        <f t="shared" si="6"/>
        <v>3.17</v>
      </c>
      <c r="Z111" s="932">
        <f t="shared" si="6"/>
        <v>3.5200000000000031</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13"/>
      <c r="EK111" s="913"/>
      <c r="EL111" s="913"/>
      <c r="EM111" s="913"/>
      <c r="EN111" s="913"/>
      <c r="EO111" s="913"/>
      <c r="EP111" s="913"/>
      <c r="EQ111" s="913"/>
      <c r="ER111" s="913"/>
      <c r="ES111" s="913"/>
      <c r="ET111" s="913"/>
      <c r="EU111" s="913"/>
      <c r="EV111" s="913"/>
      <c r="EW111" s="913"/>
      <c r="EX111" s="913"/>
      <c r="EY111" s="913"/>
      <c r="EZ111" s="913"/>
      <c r="FA111" s="913"/>
      <c r="FB111" s="913"/>
      <c r="FC111" s="913"/>
      <c r="FD111" s="923"/>
    </row>
    <row r="112" spans="1:160" ht="19.5" thickBot="1" x14ac:dyDescent="0.35">
      <c r="G112" s="193"/>
      <c r="H112" s="193"/>
      <c r="I112" s="193"/>
      <c r="J112" s="658"/>
      <c r="K112" s="658"/>
      <c r="N112" s="922"/>
      <c r="O112" s="916">
        <f t="shared" si="5"/>
        <v>21.06</v>
      </c>
      <c r="P112" s="913"/>
      <c r="Q112" s="925"/>
      <c r="R112" s="932">
        <f t="shared" si="6"/>
        <v>0.70000000000000018</v>
      </c>
      <c r="S112" s="932">
        <f t="shared" si="6"/>
        <v>1.0499999999999998</v>
      </c>
      <c r="T112" s="932">
        <f t="shared" si="6"/>
        <v>1.4000000000000004</v>
      </c>
      <c r="U112" s="932">
        <f t="shared" si="6"/>
        <v>1.75</v>
      </c>
      <c r="V112" s="932">
        <f t="shared" si="6"/>
        <v>2.0999999999999996</v>
      </c>
      <c r="W112" s="932">
        <f t="shared" si="6"/>
        <v>2.4499999999999993</v>
      </c>
      <c r="X112" s="932">
        <f t="shared" si="6"/>
        <v>2.7999999999999989</v>
      </c>
      <c r="Y112" s="932">
        <f t="shared" si="6"/>
        <v>3.1499999999999986</v>
      </c>
      <c r="Z112" s="932">
        <f t="shared" si="6"/>
        <v>3.4999999999999964</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13"/>
      <c r="EK112" s="913"/>
      <c r="EL112" s="913"/>
      <c r="EM112" s="913"/>
      <c r="EN112" s="913"/>
      <c r="EO112" s="913"/>
      <c r="EP112" s="913"/>
      <c r="EQ112" s="913"/>
      <c r="ER112" s="913"/>
      <c r="ES112" s="913"/>
      <c r="ET112" s="913"/>
      <c r="EU112" s="913"/>
      <c r="EV112" s="913"/>
      <c r="EW112" s="913"/>
      <c r="EX112" s="913"/>
      <c r="EY112" s="913"/>
      <c r="EZ112" s="913"/>
      <c r="FA112" s="913"/>
      <c r="FB112" s="913"/>
      <c r="FC112" s="913"/>
      <c r="FD112" s="923"/>
    </row>
    <row r="113" spans="2:160" ht="15.75" thickBot="1" x14ac:dyDescent="0.3">
      <c r="G113" s="436"/>
      <c r="H113" s="436"/>
      <c r="I113" s="436"/>
      <c r="J113" s="193"/>
      <c r="K113" s="193"/>
      <c r="N113" s="922"/>
      <c r="O113" s="916">
        <f t="shared" si="5"/>
        <v>25.06</v>
      </c>
      <c r="P113" s="913"/>
      <c r="Q113" s="925"/>
      <c r="R113" s="932">
        <f t="shared" si="6"/>
        <v>0.70000000000000018</v>
      </c>
      <c r="S113" s="932">
        <f t="shared" si="6"/>
        <v>1.0499999999999998</v>
      </c>
      <c r="T113" s="932">
        <f t="shared" si="6"/>
        <v>1.4000000000000004</v>
      </c>
      <c r="U113" s="932">
        <f t="shared" si="6"/>
        <v>1.7599999999999998</v>
      </c>
      <c r="V113" s="932">
        <f t="shared" si="6"/>
        <v>2.1099999999999994</v>
      </c>
      <c r="W113" s="932">
        <f t="shared" si="6"/>
        <v>2.4600000000000009</v>
      </c>
      <c r="X113" s="932">
        <f t="shared" si="6"/>
        <v>2.8100000000000023</v>
      </c>
      <c r="Y113" s="932">
        <f t="shared" si="6"/>
        <v>3.16</v>
      </c>
      <c r="Z113" s="932">
        <f t="shared" si="6"/>
        <v>3.5100000000000016</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13"/>
      <c r="EK113" s="913"/>
      <c r="EL113" s="913"/>
      <c r="EM113" s="913"/>
      <c r="EN113" s="913"/>
      <c r="EO113" s="913"/>
      <c r="EP113" s="913"/>
      <c r="EQ113" s="913"/>
      <c r="ER113" s="913"/>
      <c r="ES113" s="913"/>
      <c r="ET113" s="913"/>
      <c r="EU113" s="913"/>
      <c r="EV113" s="913"/>
      <c r="EW113" s="913"/>
      <c r="EX113" s="913"/>
      <c r="EY113" s="913"/>
      <c r="EZ113" s="913"/>
      <c r="FA113" s="913"/>
      <c r="FB113" s="913"/>
      <c r="FC113" s="913"/>
      <c r="FD113" s="923"/>
    </row>
    <row r="114" spans="2:160" ht="15.75" thickBot="1" x14ac:dyDescent="0.3">
      <c r="G114" s="436"/>
      <c r="H114" s="436"/>
      <c r="I114" s="436"/>
      <c r="J114" s="193"/>
      <c r="K114" s="193"/>
      <c r="N114" s="922"/>
      <c r="O114" s="916">
        <f t="shared" si="5"/>
        <v>29.06</v>
      </c>
      <c r="P114" s="913"/>
      <c r="Q114" s="925"/>
      <c r="R114" s="932">
        <f t="shared" si="6"/>
        <v>0.69999999999999929</v>
      </c>
      <c r="S114" s="932">
        <f t="shared" si="6"/>
        <v>1.0600000000000005</v>
      </c>
      <c r="T114" s="932">
        <f t="shared" si="6"/>
        <v>1.4099999999999984</v>
      </c>
      <c r="U114" s="932">
        <f t="shared" si="6"/>
        <v>1.7499999999999982</v>
      </c>
      <c r="V114" s="932">
        <f t="shared" si="6"/>
        <v>2.0999999999999979</v>
      </c>
      <c r="W114" s="932">
        <f t="shared" si="6"/>
        <v>2.4499999999999957</v>
      </c>
      <c r="X114" s="932">
        <f t="shared" si="6"/>
        <v>2.7999999999999936</v>
      </c>
      <c r="Y114" s="932">
        <f t="shared" si="6"/>
        <v>3.149999999999995</v>
      </c>
      <c r="Z114" s="932">
        <f t="shared" si="6"/>
        <v>3.4999999999999929</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13"/>
      <c r="EK114" s="913"/>
      <c r="EL114" s="913"/>
      <c r="EM114" s="913"/>
      <c r="EN114" s="913"/>
      <c r="EO114" s="913"/>
      <c r="EP114" s="913"/>
      <c r="EQ114" s="913"/>
      <c r="ER114" s="913"/>
      <c r="ES114" s="913"/>
      <c r="ET114" s="913"/>
      <c r="EU114" s="913"/>
      <c r="EV114" s="913"/>
      <c r="EW114" s="913"/>
      <c r="EX114" s="913"/>
      <c r="EY114" s="913"/>
      <c r="EZ114" s="913"/>
      <c r="FA114" s="913"/>
      <c r="FB114" s="913"/>
      <c r="FC114" s="913"/>
      <c r="FD114" s="923"/>
    </row>
    <row r="115" spans="2:160" ht="15.75" thickBot="1" x14ac:dyDescent="0.3">
      <c r="G115" s="436"/>
      <c r="H115" s="436"/>
      <c r="I115" s="436"/>
      <c r="J115" s="193"/>
      <c r="K115" s="193"/>
      <c r="N115" s="922"/>
      <c r="O115" s="916">
        <f t="shared" si="5"/>
        <v>33.06</v>
      </c>
      <c r="P115" s="913"/>
      <c r="Q115" s="925"/>
      <c r="R115" s="932">
        <f t="shared" si="6"/>
        <v>0.71000000000000085</v>
      </c>
      <c r="S115" s="932">
        <f t="shared" si="6"/>
        <v>1.0500000000000007</v>
      </c>
      <c r="T115" s="932">
        <f t="shared" si="6"/>
        <v>1.4000000000000004</v>
      </c>
      <c r="U115" s="932">
        <f t="shared" si="6"/>
        <v>1.7600000000000016</v>
      </c>
      <c r="V115" s="932">
        <f t="shared" si="6"/>
        <v>2.110000000000003</v>
      </c>
      <c r="W115" s="932">
        <f t="shared" si="6"/>
        <v>2.4600000000000044</v>
      </c>
      <c r="X115" s="932">
        <f t="shared" si="6"/>
        <v>2.8100000000000058</v>
      </c>
      <c r="Y115" s="932">
        <f t="shared" si="6"/>
        <v>3.1700000000000053</v>
      </c>
      <c r="Z115" s="932">
        <f t="shared" si="6"/>
        <v>3.5200000000000102</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13"/>
      <c r="EK115" s="913"/>
      <c r="EL115" s="913"/>
      <c r="EM115" s="913"/>
      <c r="EN115" s="913"/>
      <c r="EO115" s="913"/>
      <c r="EP115" s="913"/>
      <c r="EQ115" s="913"/>
      <c r="ER115" s="913"/>
      <c r="ES115" s="913"/>
      <c r="ET115" s="913"/>
      <c r="EU115" s="913"/>
      <c r="EV115" s="913"/>
      <c r="EW115" s="913"/>
      <c r="EX115" s="913"/>
      <c r="EY115" s="913"/>
      <c r="EZ115" s="913"/>
      <c r="FA115" s="913"/>
      <c r="FB115" s="913"/>
      <c r="FC115" s="913"/>
      <c r="FD115" s="923"/>
    </row>
    <row r="116" spans="2:160" ht="15.75" thickBot="1" x14ac:dyDescent="0.3">
      <c r="G116" s="436"/>
      <c r="H116" s="436"/>
      <c r="I116" s="436"/>
      <c r="J116" s="193"/>
      <c r="K116" s="193"/>
      <c r="N116" s="922"/>
      <c r="O116" s="916">
        <f t="shared" si="5"/>
        <v>37.06</v>
      </c>
      <c r="P116" s="913"/>
      <c r="Q116" s="925"/>
      <c r="R116" s="932">
        <f t="shared" si="6"/>
        <v>0.69999999999999929</v>
      </c>
      <c r="S116" s="932">
        <f t="shared" si="6"/>
        <v>1.0499999999999989</v>
      </c>
      <c r="T116" s="932">
        <f t="shared" si="6"/>
        <v>1.4100000000000001</v>
      </c>
      <c r="U116" s="932">
        <f t="shared" si="6"/>
        <v>1.75</v>
      </c>
      <c r="V116" s="932">
        <f t="shared" si="6"/>
        <v>2.1099999999999994</v>
      </c>
      <c r="W116" s="932">
        <f t="shared" si="6"/>
        <v>2.4600000000000009</v>
      </c>
      <c r="X116" s="932">
        <f t="shared" si="6"/>
        <v>2.8099999999999987</v>
      </c>
      <c r="Y116" s="932">
        <f t="shared" si="6"/>
        <v>3.1600000000000037</v>
      </c>
      <c r="Z116" s="932">
        <f t="shared" si="6"/>
        <v>3.509999999999998</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13"/>
      <c r="EK116" s="913"/>
      <c r="EL116" s="913"/>
      <c r="EM116" s="913"/>
      <c r="EN116" s="913"/>
      <c r="EO116" s="913"/>
      <c r="EP116" s="913"/>
      <c r="EQ116" s="913"/>
      <c r="ER116" s="913"/>
      <c r="ES116" s="913"/>
      <c r="ET116" s="913"/>
      <c r="EU116" s="913"/>
      <c r="EV116" s="913"/>
      <c r="EW116" s="913"/>
      <c r="EX116" s="913"/>
      <c r="EY116" s="913"/>
      <c r="EZ116" s="913"/>
      <c r="FA116" s="913"/>
      <c r="FB116" s="913"/>
      <c r="FC116" s="913"/>
      <c r="FD116" s="923"/>
    </row>
    <row r="117" spans="2:160" ht="15.75" thickBot="1" x14ac:dyDescent="0.3">
      <c r="G117" s="436"/>
      <c r="H117" s="436"/>
      <c r="I117" s="436"/>
      <c r="J117" s="193"/>
      <c r="K117" s="193"/>
      <c r="N117" s="922"/>
      <c r="O117" s="916">
        <f t="shared" si="5"/>
        <v>41.06</v>
      </c>
      <c r="P117" s="913"/>
      <c r="Q117" s="925"/>
      <c r="R117" s="932">
        <f t="shared" si="6"/>
        <v>0.70000000000000018</v>
      </c>
      <c r="S117" s="932">
        <f t="shared" si="6"/>
        <v>1.0600000000000005</v>
      </c>
      <c r="T117" s="932">
        <f t="shared" si="6"/>
        <v>1.4000000000000004</v>
      </c>
      <c r="U117" s="932">
        <f t="shared" si="6"/>
        <v>1.7600000000000016</v>
      </c>
      <c r="V117" s="932">
        <f t="shared" si="6"/>
        <v>2.1000000000000014</v>
      </c>
      <c r="W117" s="932">
        <f t="shared" si="6"/>
        <v>2.4499999999999993</v>
      </c>
      <c r="X117" s="932">
        <f t="shared" si="6"/>
        <v>2.8000000000000043</v>
      </c>
      <c r="Y117" s="932">
        <f t="shared" si="6"/>
        <v>3.1400000000000006</v>
      </c>
      <c r="Z117" s="932">
        <f t="shared" si="6"/>
        <v>3.490000000000002</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13"/>
      <c r="EK117" s="913"/>
      <c r="EL117" s="913"/>
      <c r="EM117" s="913"/>
      <c r="EN117" s="913"/>
      <c r="EO117" s="913"/>
      <c r="EP117" s="913"/>
      <c r="EQ117" s="913"/>
      <c r="ER117" s="913"/>
      <c r="ES117" s="913"/>
      <c r="ET117" s="913"/>
      <c r="EU117" s="913"/>
      <c r="EV117" s="913"/>
      <c r="EW117" s="913"/>
      <c r="EX117" s="913"/>
      <c r="EY117" s="913"/>
      <c r="EZ117" s="913"/>
      <c r="FA117" s="913"/>
      <c r="FB117" s="913"/>
      <c r="FC117" s="913"/>
      <c r="FD117" s="923"/>
    </row>
    <row r="118" spans="2:160" ht="15.75" thickBot="1" x14ac:dyDescent="0.3">
      <c r="G118" s="193"/>
      <c r="H118" s="193"/>
      <c r="I118" s="193"/>
      <c r="J118" s="193"/>
      <c r="K118" s="193"/>
      <c r="N118" s="922"/>
      <c r="O118" s="916">
        <f t="shared" si="5"/>
        <v>45.06</v>
      </c>
      <c r="P118" s="913"/>
      <c r="Q118" s="925"/>
      <c r="R118" s="932">
        <f t="shared" si="6"/>
        <v>0.70000000000000018</v>
      </c>
      <c r="S118" s="932">
        <f t="shared" si="6"/>
        <v>1.0499999999999989</v>
      </c>
      <c r="T118" s="932">
        <f t="shared" si="6"/>
        <v>1.4100000000000001</v>
      </c>
      <c r="U118" s="932">
        <f t="shared" si="6"/>
        <v>1.75</v>
      </c>
      <c r="V118" s="932">
        <f t="shared" si="6"/>
        <v>2.1099999999999994</v>
      </c>
      <c r="W118" s="932">
        <f t="shared" si="6"/>
        <v>2.4600000000000009</v>
      </c>
      <c r="X118" s="932">
        <f t="shared" si="6"/>
        <v>2.8199999999999932</v>
      </c>
      <c r="Y118" s="932">
        <f t="shared" si="6"/>
        <v>3.1799999999999997</v>
      </c>
      <c r="Z118" s="932">
        <f t="shared" si="6"/>
        <v>3.529999999999994</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13"/>
      <c r="EK118" s="913"/>
      <c r="EL118" s="913"/>
      <c r="EM118" s="913"/>
      <c r="EN118" s="913"/>
      <c r="EO118" s="913"/>
      <c r="EP118" s="913"/>
      <c r="EQ118" s="913"/>
      <c r="ER118" s="913"/>
      <c r="ES118" s="913"/>
      <c r="ET118" s="913"/>
      <c r="EU118" s="913"/>
      <c r="EV118" s="913"/>
      <c r="EW118" s="913"/>
      <c r="EX118" s="913"/>
      <c r="EY118" s="913"/>
      <c r="EZ118" s="913"/>
      <c r="FA118" s="913"/>
      <c r="FB118" s="913"/>
      <c r="FC118" s="913"/>
      <c r="FD118" s="923"/>
    </row>
    <row r="119" spans="2:160" ht="15.75" thickBot="1" x14ac:dyDescent="0.3">
      <c r="B119" s="193"/>
      <c r="C119" s="193"/>
      <c r="D119" s="193"/>
      <c r="E119" s="193"/>
      <c r="F119" s="193"/>
      <c r="G119" s="193"/>
      <c r="H119" s="193"/>
      <c r="I119" s="193"/>
      <c r="J119" s="193"/>
      <c r="K119" s="193"/>
      <c r="L119" s="71"/>
      <c r="N119" s="922"/>
      <c r="O119" s="916">
        <f t="shared" si="5"/>
        <v>49.06</v>
      </c>
      <c r="P119" s="913"/>
      <c r="Q119" s="925"/>
      <c r="R119" s="932">
        <f t="shared" si="6"/>
        <v>0.70999999999999908</v>
      </c>
      <c r="S119" s="932">
        <f t="shared" si="6"/>
        <v>1.0500000000000007</v>
      </c>
      <c r="T119" s="932">
        <f t="shared" si="6"/>
        <v>1.3999999999999986</v>
      </c>
      <c r="U119" s="932">
        <f t="shared" si="6"/>
        <v>1.759999999999998</v>
      </c>
      <c r="V119" s="932">
        <f t="shared" si="6"/>
        <v>2.0999999999999979</v>
      </c>
      <c r="W119" s="932">
        <f t="shared" si="6"/>
        <v>2.4599999999999973</v>
      </c>
      <c r="X119" s="932">
        <f t="shared" si="6"/>
        <v>2.8100000000000023</v>
      </c>
      <c r="Y119" s="932">
        <f t="shared" si="6"/>
        <v>3.1599999999999966</v>
      </c>
      <c r="Z119" s="932">
        <f t="shared" si="6"/>
        <v>3.5100000000000051</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13"/>
      <c r="EK119" s="913"/>
      <c r="EL119" s="913"/>
      <c r="EM119" s="913"/>
      <c r="EN119" s="913"/>
      <c r="EO119" s="913"/>
      <c r="EP119" s="913"/>
      <c r="EQ119" s="913"/>
      <c r="ER119" s="913"/>
      <c r="ES119" s="913"/>
      <c r="ET119" s="913"/>
      <c r="EU119" s="913"/>
      <c r="EV119" s="913"/>
      <c r="EW119" s="913"/>
      <c r="EX119" s="913"/>
      <c r="EY119" s="913"/>
      <c r="EZ119" s="913"/>
      <c r="FA119" s="913"/>
      <c r="FB119" s="913"/>
      <c r="FC119" s="913"/>
      <c r="FD119" s="923"/>
    </row>
    <row r="120" spans="2:160" ht="15.75" thickBot="1" x14ac:dyDescent="0.3">
      <c r="B120" s="193"/>
      <c r="C120" s="193"/>
      <c r="D120" s="193"/>
      <c r="E120" s="193"/>
      <c r="F120" s="193"/>
      <c r="G120" s="193"/>
      <c r="H120" s="193"/>
      <c r="I120" s="193"/>
      <c r="J120" s="193"/>
      <c r="K120" s="193"/>
      <c r="L120" s="71"/>
      <c r="N120" s="922"/>
      <c r="O120" s="916">
        <f t="shared" si="5"/>
        <v>53.06</v>
      </c>
      <c r="P120" s="913"/>
      <c r="Q120" s="925"/>
      <c r="R120" s="932">
        <f t="shared" si="6"/>
        <v>0.70000000000000107</v>
      </c>
      <c r="S120" s="932">
        <f t="shared" si="6"/>
        <v>1.0600000000000005</v>
      </c>
      <c r="T120" s="932">
        <f t="shared" si="6"/>
        <v>1.4000000000000021</v>
      </c>
      <c r="U120" s="932">
        <f t="shared" si="6"/>
        <v>1.7500000000000036</v>
      </c>
      <c r="V120" s="932">
        <f t="shared" si="6"/>
        <v>2.1100000000000065</v>
      </c>
      <c r="W120" s="932">
        <f t="shared" si="6"/>
        <v>2.460000000000008</v>
      </c>
      <c r="X120" s="932">
        <f t="shared" si="6"/>
        <v>2.8100000000000094</v>
      </c>
      <c r="Y120" s="932">
        <f t="shared" si="6"/>
        <v>3.1600000000000108</v>
      </c>
      <c r="Z120" s="932">
        <f t="shared" si="6"/>
        <v>3.5200000000000102</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13"/>
      <c r="EK120" s="913"/>
      <c r="EL120" s="913"/>
      <c r="EM120" s="913"/>
      <c r="EN120" s="913"/>
      <c r="EO120" s="913"/>
      <c r="EP120" s="913"/>
      <c r="EQ120" s="913"/>
      <c r="ER120" s="913"/>
      <c r="ES120" s="913"/>
      <c r="ET120" s="913"/>
      <c r="EU120" s="913"/>
      <c r="EV120" s="913"/>
      <c r="EW120" s="913"/>
      <c r="EX120" s="913"/>
      <c r="EY120" s="913"/>
      <c r="EZ120" s="913"/>
      <c r="FA120" s="913"/>
      <c r="FB120" s="913"/>
      <c r="FC120" s="913"/>
      <c r="FD120" s="923"/>
    </row>
    <row r="121" spans="2:160" ht="15.75" thickBot="1" x14ac:dyDescent="0.3">
      <c r="B121" s="193"/>
      <c r="C121" s="193"/>
      <c r="D121" s="193"/>
      <c r="E121" s="193"/>
      <c r="F121" s="193"/>
      <c r="G121" s="193"/>
      <c r="H121" s="193"/>
      <c r="I121" s="193"/>
      <c r="J121" s="193"/>
      <c r="K121" s="193"/>
      <c r="L121" s="71"/>
      <c r="N121" s="922"/>
      <c r="O121" s="916">
        <f t="shared" si="5"/>
        <v>57.06</v>
      </c>
      <c r="P121" s="913"/>
      <c r="Q121" s="925"/>
      <c r="R121" s="932">
        <f t="shared" si="6"/>
        <v>0.69999999999999929</v>
      </c>
      <c r="S121" s="932">
        <f t="shared" si="6"/>
        <v>1.0500000000000007</v>
      </c>
      <c r="T121" s="932">
        <f t="shared" si="6"/>
        <v>1.4100000000000001</v>
      </c>
      <c r="U121" s="932">
        <f t="shared" si="6"/>
        <v>1.759999999999998</v>
      </c>
      <c r="V121" s="932">
        <f t="shared" si="6"/>
        <v>2.1099999999999923</v>
      </c>
      <c r="W121" s="932">
        <f t="shared" si="6"/>
        <v>2.4599999999999937</v>
      </c>
      <c r="X121" s="932">
        <f t="shared" si="6"/>
        <v>2.8099999999999881</v>
      </c>
      <c r="Y121" s="932">
        <f t="shared" si="6"/>
        <v>3.1599999999999895</v>
      </c>
      <c r="Z121" s="932">
        <f t="shared" si="6"/>
        <v>3.4999999999999858</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13"/>
      <c r="EK121" s="913"/>
      <c r="EL121" s="913"/>
      <c r="EM121" s="913"/>
      <c r="EN121" s="913"/>
      <c r="EO121" s="913"/>
      <c r="EP121" s="913"/>
      <c r="EQ121" s="913"/>
      <c r="ER121" s="913"/>
      <c r="ES121" s="913"/>
      <c r="ET121" s="913"/>
      <c r="EU121" s="913"/>
      <c r="EV121" s="913"/>
      <c r="EW121" s="913"/>
      <c r="EX121" s="913"/>
      <c r="EY121" s="913"/>
      <c r="EZ121" s="913"/>
      <c r="FA121" s="913"/>
      <c r="FB121" s="913"/>
      <c r="FC121" s="913"/>
      <c r="FD121" s="923"/>
    </row>
    <row r="122" spans="2:160" ht="15.75" thickBot="1" x14ac:dyDescent="0.3">
      <c r="B122" s="193"/>
      <c r="C122" s="193"/>
      <c r="D122" s="193"/>
      <c r="E122" s="193"/>
      <c r="F122" s="193"/>
      <c r="G122" s="193"/>
      <c r="H122" s="193"/>
      <c r="I122" s="193"/>
      <c r="J122" s="193"/>
      <c r="K122" s="193"/>
      <c r="L122" s="71"/>
      <c r="N122" s="922"/>
      <c r="O122" s="916">
        <f t="shared" si="5"/>
        <v>61.06</v>
      </c>
      <c r="P122" s="913"/>
      <c r="Q122" s="913"/>
      <c r="R122" s="932">
        <f t="shared" si="6"/>
        <v>0.70000000000000107</v>
      </c>
      <c r="S122" s="932">
        <f t="shared" si="6"/>
        <v>1.0499999999999972</v>
      </c>
      <c r="T122" s="932">
        <f t="shared" si="6"/>
        <v>1.3999999999999986</v>
      </c>
      <c r="U122" s="932">
        <f t="shared" si="6"/>
        <v>1.75</v>
      </c>
      <c r="V122" s="932">
        <f t="shared" si="6"/>
        <v>2.1000000000000014</v>
      </c>
      <c r="W122" s="932">
        <f t="shared" si="6"/>
        <v>2.4500000000000028</v>
      </c>
      <c r="X122" s="932">
        <f t="shared" si="6"/>
        <v>2.8000000000000043</v>
      </c>
      <c r="Y122" s="932">
        <f t="shared" si="6"/>
        <v>3.1599999999999966</v>
      </c>
      <c r="Z122" s="932">
        <f t="shared" si="6"/>
        <v>3.5200000000000031</v>
      </c>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13"/>
      <c r="EK122" s="913"/>
      <c r="EL122" s="913"/>
      <c r="EM122" s="913"/>
      <c r="EN122" s="913"/>
      <c r="EO122" s="913"/>
      <c r="EP122" s="913"/>
      <c r="EQ122" s="913"/>
      <c r="ER122" s="913"/>
      <c r="ES122" s="913"/>
      <c r="ET122" s="913"/>
      <c r="EU122" s="913"/>
      <c r="EV122" s="913"/>
      <c r="EW122" s="913"/>
      <c r="EX122" s="913"/>
      <c r="EY122" s="913"/>
      <c r="EZ122" s="913"/>
      <c r="FA122" s="913"/>
      <c r="FB122" s="913"/>
      <c r="FC122" s="913"/>
      <c r="FD122" s="923"/>
    </row>
    <row r="123" spans="2:160" ht="15.75" thickBot="1" x14ac:dyDescent="0.3">
      <c r="B123" s="193"/>
      <c r="C123" s="193"/>
      <c r="D123" s="193"/>
      <c r="E123" s="193"/>
      <c r="F123" s="193"/>
      <c r="G123" s="193"/>
      <c r="H123" s="193"/>
      <c r="I123" s="193"/>
      <c r="J123" s="193"/>
      <c r="K123" s="193"/>
      <c r="L123" s="71"/>
      <c r="N123" s="922"/>
      <c r="O123" s="916">
        <f t="shared" si="5"/>
        <v>65.06</v>
      </c>
      <c r="P123" s="913"/>
      <c r="Q123" s="913"/>
      <c r="R123" s="932">
        <f t="shared" si="6"/>
        <v>0.69999999999999929</v>
      </c>
      <c r="S123" s="932">
        <f t="shared" si="6"/>
        <v>1.0600000000000023</v>
      </c>
      <c r="T123" s="932">
        <f t="shared" si="6"/>
        <v>1.4100000000000001</v>
      </c>
      <c r="U123" s="932">
        <f t="shared" si="6"/>
        <v>1.759999999999998</v>
      </c>
      <c r="V123" s="932">
        <f t="shared" si="6"/>
        <v>2.1099999999999994</v>
      </c>
      <c r="W123" s="932">
        <f t="shared" si="6"/>
        <v>2.4599999999999937</v>
      </c>
      <c r="X123" s="932">
        <f t="shared" si="6"/>
        <v>2.8099999999999952</v>
      </c>
      <c r="Y123" s="932">
        <f t="shared" si="6"/>
        <v>3.1499999999999986</v>
      </c>
      <c r="Z123" s="932">
        <f t="shared" si="6"/>
        <v>3.509999999999998</v>
      </c>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13"/>
      <c r="EK123" s="913"/>
      <c r="EL123" s="913"/>
      <c r="EM123" s="913"/>
      <c r="EN123" s="913"/>
      <c r="EO123" s="913"/>
      <c r="EP123" s="913"/>
      <c r="EQ123" s="913"/>
      <c r="ER123" s="913"/>
      <c r="ES123" s="913"/>
      <c r="ET123" s="913"/>
      <c r="EU123" s="913"/>
      <c r="EV123" s="913"/>
      <c r="EW123" s="913"/>
      <c r="EX123" s="913"/>
      <c r="EY123" s="913"/>
      <c r="EZ123" s="913"/>
      <c r="FA123" s="913"/>
      <c r="FB123" s="913"/>
      <c r="FC123" s="913"/>
      <c r="FD123" s="923"/>
    </row>
    <row r="124" spans="2:160" ht="15.75" thickBot="1" x14ac:dyDescent="0.3">
      <c r="B124" s="193"/>
      <c r="C124" s="193"/>
      <c r="D124" s="193"/>
      <c r="E124" s="193"/>
      <c r="F124" s="193"/>
      <c r="G124" s="193"/>
      <c r="H124" s="193"/>
      <c r="I124" s="193"/>
      <c r="J124" s="193"/>
      <c r="K124" s="193"/>
      <c r="L124" s="71"/>
      <c r="N124" s="922"/>
      <c r="O124" s="916">
        <f t="shared" si="5"/>
        <v>69.06</v>
      </c>
      <c r="P124" s="913"/>
      <c r="Q124" s="913"/>
      <c r="R124" s="932">
        <f t="shared" si="6"/>
        <v>0.71000000000000085</v>
      </c>
      <c r="S124" s="932">
        <f t="shared" si="6"/>
        <v>1.0500000000000007</v>
      </c>
      <c r="T124" s="932">
        <f t="shared" si="6"/>
        <v>1.3999999999999986</v>
      </c>
      <c r="U124" s="932">
        <f t="shared" si="6"/>
        <v>1.75</v>
      </c>
      <c r="V124" s="932">
        <f t="shared" si="6"/>
        <v>2.1099999999999994</v>
      </c>
      <c r="W124" s="932">
        <f t="shared" si="6"/>
        <v>2.4600000000000009</v>
      </c>
      <c r="X124" s="932">
        <f t="shared" si="6"/>
        <v>2.8100000000000023</v>
      </c>
      <c r="Y124" s="932">
        <f t="shared" si="6"/>
        <v>3.1600000000000037</v>
      </c>
      <c r="Z124" s="932">
        <f t="shared" si="6"/>
        <v>3.509999999999998</v>
      </c>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13"/>
      <c r="EK124" s="913"/>
      <c r="EL124" s="913"/>
      <c r="EM124" s="913"/>
      <c r="EN124" s="913"/>
      <c r="EO124" s="913"/>
      <c r="EP124" s="913"/>
      <c r="EQ124" s="913"/>
      <c r="ER124" s="913"/>
      <c r="ES124" s="913"/>
      <c r="ET124" s="913"/>
      <c r="EU124" s="913"/>
      <c r="EV124" s="913"/>
      <c r="EW124" s="913"/>
      <c r="EX124" s="913"/>
      <c r="EY124" s="913"/>
      <c r="EZ124" s="913"/>
      <c r="FA124" s="913"/>
      <c r="FB124" s="913"/>
      <c r="FC124" s="913"/>
      <c r="FD124" s="923"/>
    </row>
    <row r="125" spans="2:160" ht="15.75" thickBot="1" x14ac:dyDescent="0.3">
      <c r="B125" s="193"/>
      <c r="C125" s="193"/>
      <c r="D125" s="193"/>
      <c r="E125" s="193"/>
      <c r="F125" s="193"/>
      <c r="G125" s="193"/>
      <c r="H125" s="193"/>
      <c r="I125" s="193"/>
      <c r="J125" s="193"/>
      <c r="K125" s="193"/>
      <c r="L125" s="71"/>
      <c r="N125" s="922"/>
      <c r="O125" s="916">
        <f t="shared" si="5"/>
        <v>73.06</v>
      </c>
      <c r="P125" s="913"/>
      <c r="Q125" s="913"/>
      <c r="R125" s="932">
        <f t="shared" si="6"/>
        <v>0.69999999999999929</v>
      </c>
      <c r="S125" s="932">
        <f t="shared" si="6"/>
        <v>1.0499999999999972</v>
      </c>
      <c r="T125" s="932">
        <f t="shared" si="6"/>
        <v>1.4100000000000001</v>
      </c>
      <c r="U125" s="932">
        <f t="shared" si="6"/>
        <v>1.759999999999998</v>
      </c>
      <c r="V125" s="932">
        <f t="shared" si="6"/>
        <v>2.1000000000000014</v>
      </c>
      <c r="W125" s="932">
        <f t="shared" si="6"/>
        <v>2.4600000000000009</v>
      </c>
      <c r="X125" s="932">
        <f t="shared" si="6"/>
        <v>2.8100000000000023</v>
      </c>
      <c r="Y125" s="932">
        <f t="shared" si="6"/>
        <v>3.1600000000000037</v>
      </c>
      <c r="Z125" s="932">
        <f t="shared" si="6"/>
        <v>3.5100000000000051</v>
      </c>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13"/>
      <c r="EK125" s="913"/>
      <c r="EL125" s="913"/>
      <c r="EM125" s="913"/>
      <c r="EN125" s="913"/>
      <c r="EO125" s="913"/>
      <c r="EP125" s="913"/>
      <c r="EQ125" s="913"/>
      <c r="ER125" s="913"/>
      <c r="ES125" s="913"/>
      <c r="ET125" s="913"/>
      <c r="EU125" s="913"/>
      <c r="EV125" s="913"/>
      <c r="EW125" s="913"/>
      <c r="EX125" s="913"/>
      <c r="EY125" s="913"/>
      <c r="EZ125" s="913"/>
      <c r="FA125" s="913"/>
      <c r="FB125" s="913"/>
      <c r="FC125" s="913"/>
      <c r="FD125" s="923"/>
    </row>
    <row r="126" spans="2:160" ht="21" x14ac:dyDescent="0.35">
      <c r="B126" s="655"/>
      <c r="C126" s="193"/>
      <c r="D126" s="193"/>
      <c r="E126" s="193"/>
      <c r="F126" s="193"/>
      <c r="G126" s="193"/>
      <c r="H126" s="193"/>
      <c r="I126" s="193"/>
      <c r="J126" s="193"/>
      <c r="K126" s="193"/>
      <c r="L126" s="71"/>
      <c r="N126" s="922" t="s">
        <v>425</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13"/>
      <c r="EK126" s="913"/>
      <c r="EL126" s="913"/>
      <c r="EM126" s="913"/>
      <c r="EN126" s="913"/>
      <c r="EO126" s="913"/>
      <c r="EP126" s="913"/>
      <c r="EQ126" s="913"/>
      <c r="ER126" s="913"/>
      <c r="ES126" s="913"/>
      <c r="ET126" s="913"/>
      <c r="EU126" s="913"/>
      <c r="EV126" s="913"/>
      <c r="EW126" s="913"/>
      <c r="EX126" s="913"/>
      <c r="EY126" s="913"/>
      <c r="EZ126" s="913"/>
      <c r="FA126" s="913"/>
      <c r="FB126" s="913"/>
      <c r="FC126" s="913"/>
      <c r="FD126" s="923"/>
    </row>
    <row r="127" spans="2:160" ht="15.75" x14ac:dyDescent="0.25">
      <c r="B127" s="193"/>
      <c r="C127" s="193"/>
      <c r="D127" s="425"/>
      <c r="E127" s="425"/>
      <c r="F127" s="426"/>
      <c r="G127" s="425"/>
      <c r="H127" s="193"/>
      <c r="I127" s="193"/>
      <c r="J127" s="193"/>
      <c r="K127" s="193"/>
      <c r="L127" s="71"/>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13"/>
      <c r="EK127" s="913"/>
      <c r="EL127" s="913"/>
      <c r="EM127" s="913"/>
      <c r="EN127" s="913"/>
      <c r="EO127" s="913"/>
      <c r="EP127" s="913"/>
      <c r="EQ127" s="913"/>
      <c r="ER127" s="913"/>
      <c r="ES127" s="913"/>
      <c r="ET127" s="913"/>
      <c r="EU127" s="913"/>
      <c r="EV127" s="913"/>
      <c r="EW127" s="913"/>
      <c r="EX127" s="913"/>
      <c r="EY127" s="913"/>
      <c r="EZ127" s="913"/>
      <c r="FA127" s="913"/>
      <c r="FB127" s="913"/>
      <c r="FC127" s="913"/>
      <c r="FD127" s="923"/>
    </row>
    <row r="128" spans="2:160" ht="15.75" x14ac:dyDescent="0.25">
      <c r="B128" s="193"/>
      <c r="C128" s="193"/>
      <c r="D128" s="425"/>
      <c r="E128" s="656"/>
      <c r="F128" s="656"/>
      <c r="G128" s="656"/>
      <c r="H128" s="193"/>
      <c r="I128" s="193"/>
      <c r="J128" s="193"/>
      <c r="K128" s="193"/>
      <c r="L128" s="71"/>
      <c r="N128" s="922" t="s">
        <v>419</v>
      </c>
      <c r="O128" s="913">
        <v>16</v>
      </c>
      <c r="P128" s="913">
        <v>24</v>
      </c>
      <c r="Q128" s="913">
        <v>36</v>
      </c>
      <c r="R128" s="913">
        <v>48</v>
      </c>
      <c r="S128" s="913">
        <v>60</v>
      </c>
      <c r="T128" s="913">
        <v>72</v>
      </c>
      <c r="U128" s="913">
        <v>84</v>
      </c>
      <c r="V128" s="913">
        <v>96</v>
      </c>
      <c r="W128" s="913">
        <v>108</v>
      </c>
      <c r="X128" s="913"/>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13"/>
      <c r="EK128" s="913"/>
      <c r="EL128" s="913"/>
      <c r="EM128" s="913"/>
      <c r="EN128" s="913"/>
      <c r="EO128" s="913"/>
      <c r="EP128" s="913"/>
      <c r="EQ128" s="913"/>
      <c r="ER128" s="913"/>
      <c r="ES128" s="913"/>
      <c r="ET128" s="913"/>
      <c r="EU128" s="913"/>
      <c r="EV128" s="913"/>
      <c r="EW128" s="913"/>
      <c r="EX128" s="913"/>
      <c r="EY128" s="913"/>
      <c r="EZ128" s="913"/>
      <c r="FA128" s="913"/>
      <c r="FB128" s="913"/>
      <c r="FC128" s="913"/>
      <c r="FD128" s="923"/>
    </row>
    <row r="129" spans="2:160" ht="18.75" x14ac:dyDescent="0.3">
      <c r="B129" s="193"/>
      <c r="C129" s="193"/>
      <c r="D129" s="425"/>
      <c r="E129" s="656"/>
      <c r="F129" s="657"/>
      <c r="G129" s="656"/>
      <c r="H129" s="193"/>
      <c r="I129" s="658"/>
      <c r="J129" s="658"/>
      <c r="K129" s="658"/>
      <c r="L129" s="71"/>
      <c r="N129" s="933" t="s">
        <v>149</v>
      </c>
      <c r="O129" s="913">
        <v>323.82599999999991</v>
      </c>
      <c r="P129" s="913">
        <v>342.46599999999989</v>
      </c>
      <c r="Q129" s="913">
        <v>370.44599999999991</v>
      </c>
      <c r="R129" s="913">
        <v>398.4129999999999</v>
      </c>
      <c r="S129" s="913">
        <v>426.38599999999985</v>
      </c>
      <c r="T129" s="913">
        <v>454.34599999999983</v>
      </c>
      <c r="U129" s="913">
        <v>482.30599999999981</v>
      </c>
      <c r="V129" s="913">
        <v>510.26599999999979</v>
      </c>
      <c r="W129" s="913">
        <v>538.22599999999977</v>
      </c>
      <c r="X129" s="913"/>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13"/>
      <c r="EK129" s="913"/>
      <c r="EL129" s="913"/>
      <c r="EM129" s="913"/>
      <c r="EN129" s="913"/>
      <c r="EO129" s="913"/>
      <c r="EP129" s="913"/>
      <c r="EQ129" s="913"/>
      <c r="ER129" s="913"/>
      <c r="ES129" s="913"/>
      <c r="ET129" s="913"/>
      <c r="EU129" s="913"/>
      <c r="EV129" s="913"/>
      <c r="EW129" s="913"/>
      <c r="EX129" s="913"/>
      <c r="EY129" s="913"/>
      <c r="EZ129" s="913"/>
      <c r="FA129" s="913"/>
      <c r="FB129" s="913"/>
      <c r="FC129" s="913"/>
      <c r="FD129" s="923"/>
    </row>
    <row r="130" spans="2:160" ht="18.75" x14ac:dyDescent="0.3">
      <c r="B130" s="193"/>
      <c r="C130" s="193"/>
      <c r="D130" s="425"/>
      <c r="E130" s="656"/>
      <c r="F130" s="656"/>
      <c r="G130" s="656"/>
      <c r="H130" s="193"/>
      <c r="I130" s="658"/>
      <c r="J130" s="658"/>
      <c r="K130" s="658"/>
      <c r="L130" s="71"/>
      <c r="N130" s="933" t="s">
        <v>341</v>
      </c>
      <c r="O130" s="913">
        <v>130.30981600000001</v>
      </c>
      <c r="P130" s="913">
        <v>130.30981600000001</v>
      </c>
      <c r="Q130" s="913">
        <v>130.30981600000001</v>
      </c>
      <c r="R130" s="913">
        <v>223.38825600000001</v>
      </c>
      <c r="S130" s="913">
        <v>223.38825600000001</v>
      </c>
      <c r="T130" s="913">
        <v>223.38825600000001</v>
      </c>
      <c r="U130" s="913">
        <v>223.38825600000001</v>
      </c>
      <c r="V130" s="913">
        <v>223.38825600000001</v>
      </c>
      <c r="W130" s="913">
        <v>223.38825600000001</v>
      </c>
      <c r="X130" s="913"/>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13"/>
      <c r="EK130" s="913"/>
      <c r="EL130" s="913"/>
      <c r="EM130" s="913"/>
      <c r="EN130" s="913"/>
      <c r="EO130" s="913"/>
      <c r="EP130" s="913"/>
      <c r="EQ130" s="913"/>
      <c r="ER130" s="913"/>
      <c r="ES130" s="913"/>
      <c r="ET130" s="913"/>
      <c r="EU130" s="913"/>
      <c r="EV130" s="913"/>
      <c r="EW130" s="913"/>
      <c r="EX130" s="913"/>
      <c r="EY130" s="913"/>
      <c r="EZ130" s="913"/>
      <c r="FA130" s="913"/>
      <c r="FB130" s="913"/>
      <c r="FC130" s="913"/>
      <c r="FD130" s="923"/>
    </row>
    <row r="131" spans="2:160" x14ac:dyDescent="0.25">
      <c r="B131" s="193"/>
      <c r="C131" s="193"/>
      <c r="D131" s="193"/>
      <c r="E131" s="193"/>
      <c r="F131" s="193"/>
      <c r="G131" s="193"/>
      <c r="H131" s="193"/>
      <c r="I131" s="193"/>
      <c r="J131" s="193"/>
      <c r="K131" s="193"/>
      <c r="L131" s="71"/>
      <c r="N131" s="933" t="s">
        <v>148</v>
      </c>
      <c r="O131" s="927">
        <v>16.306992000000001</v>
      </c>
      <c r="P131" s="913">
        <v>17.359055999999999</v>
      </c>
      <c r="Q131" s="927">
        <v>18.937151999999998</v>
      </c>
      <c r="R131" s="927">
        <v>20.515248</v>
      </c>
      <c r="S131" s="927">
        <v>22.093344000000002</v>
      </c>
      <c r="T131" s="927">
        <v>23.671439999999997</v>
      </c>
      <c r="U131" s="927">
        <v>25.249535999999999</v>
      </c>
      <c r="V131" s="927">
        <v>26.827632000000001</v>
      </c>
      <c r="W131" s="927">
        <v>28.405728</v>
      </c>
      <c r="X131" s="927"/>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13"/>
      <c r="EK131" s="913"/>
      <c r="EL131" s="913"/>
      <c r="EM131" s="913"/>
      <c r="EN131" s="913"/>
      <c r="EO131" s="913"/>
      <c r="EP131" s="913"/>
      <c r="EQ131" s="913"/>
      <c r="ER131" s="913"/>
      <c r="ES131" s="913"/>
      <c r="ET131" s="913"/>
      <c r="EU131" s="913"/>
      <c r="EV131" s="913"/>
      <c r="EW131" s="913"/>
      <c r="EX131" s="913"/>
      <c r="EY131" s="913"/>
      <c r="EZ131" s="913"/>
      <c r="FA131" s="913"/>
      <c r="FB131" s="913"/>
      <c r="FC131" s="913"/>
      <c r="FD131" s="923"/>
    </row>
    <row r="132" spans="2:160" x14ac:dyDescent="0.25">
      <c r="B132" s="193"/>
      <c r="C132" s="193"/>
      <c r="D132" s="193"/>
      <c r="E132" s="193"/>
      <c r="F132" s="193"/>
      <c r="G132" s="193"/>
      <c r="H132" s="193"/>
      <c r="I132" s="193"/>
      <c r="J132" s="193"/>
      <c r="K132" s="193"/>
      <c r="L132" s="71"/>
      <c r="N132" s="933" t="s">
        <v>342</v>
      </c>
      <c r="O132" s="913">
        <v>3.9200000000000004</v>
      </c>
      <c r="P132" s="913">
        <v>3.9200000000000004</v>
      </c>
      <c r="Q132" s="913">
        <v>3.9200000000000004</v>
      </c>
      <c r="R132" s="913">
        <v>6.7200000000000006</v>
      </c>
      <c r="S132" s="913">
        <v>6.7200000000000006</v>
      </c>
      <c r="T132" s="913">
        <v>6.7200000000000006</v>
      </c>
      <c r="U132" s="913">
        <v>6.7200000000000006</v>
      </c>
      <c r="V132" s="913">
        <v>6.7200000000000006</v>
      </c>
      <c r="W132" s="913">
        <v>6.7200000000000006</v>
      </c>
      <c r="X132" s="913"/>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13"/>
      <c r="EK132" s="913"/>
      <c r="EL132" s="913"/>
      <c r="EM132" s="913"/>
      <c r="EN132" s="913"/>
      <c r="EO132" s="913"/>
      <c r="EP132" s="913"/>
      <c r="EQ132" s="913"/>
      <c r="ER132" s="913"/>
      <c r="ES132" s="913"/>
      <c r="ET132" s="913"/>
      <c r="EU132" s="913"/>
      <c r="EV132" s="913"/>
      <c r="EW132" s="913"/>
      <c r="EX132" s="913"/>
      <c r="EY132" s="913"/>
      <c r="EZ132" s="913"/>
      <c r="FA132" s="913"/>
      <c r="FB132" s="913"/>
      <c r="FC132" s="913"/>
      <c r="FD132" s="923"/>
    </row>
    <row r="133" spans="2:160" x14ac:dyDescent="0.25">
      <c r="B133" s="71"/>
      <c r="C133" s="71"/>
      <c r="D133" s="71"/>
      <c r="E133" s="71"/>
      <c r="F133" s="71"/>
      <c r="G133" s="71"/>
      <c r="H133" s="71"/>
      <c r="I133" s="71"/>
      <c r="J133" s="71"/>
      <c r="K133" s="71"/>
      <c r="L133" s="71"/>
      <c r="N133" s="933" t="s">
        <v>254</v>
      </c>
      <c r="O133" s="913">
        <v>6.6053181162545318</v>
      </c>
      <c r="P133" s="913">
        <v>6.6053181162545318</v>
      </c>
      <c r="Q133" s="913">
        <v>6.6053181162545318</v>
      </c>
      <c r="R133" s="913">
        <v>13.210636232509064</v>
      </c>
      <c r="S133" s="913">
        <v>13.210636232509064</v>
      </c>
      <c r="T133" s="913">
        <v>13.210636232509064</v>
      </c>
      <c r="U133" s="913">
        <v>13.210636232509064</v>
      </c>
      <c r="V133" s="913">
        <v>13.210636232509064</v>
      </c>
      <c r="W133" s="913">
        <v>13.210636232509064</v>
      </c>
      <c r="X133" s="913"/>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13"/>
      <c r="EK133" s="913"/>
      <c r="EL133" s="913"/>
      <c r="EM133" s="913"/>
      <c r="EN133" s="913"/>
      <c r="EO133" s="913"/>
      <c r="EP133" s="913"/>
      <c r="EQ133" s="913"/>
      <c r="ER133" s="913"/>
      <c r="ES133" s="913"/>
      <c r="ET133" s="913"/>
      <c r="EU133" s="913"/>
      <c r="EV133" s="913"/>
      <c r="EW133" s="913"/>
      <c r="EX133" s="913"/>
      <c r="EY133" s="913"/>
      <c r="EZ133" s="913"/>
      <c r="FA133" s="913"/>
      <c r="FB133" s="913"/>
      <c r="FC133" s="913"/>
      <c r="FD133" s="923"/>
    </row>
    <row r="134" spans="2:160" x14ac:dyDescent="0.25">
      <c r="B134" s="71"/>
      <c r="C134" s="71"/>
      <c r="D134" s="71"/>
      <c r="E134" s="71"/>
      <c r="F134" s="71"/>
      <c r="G134" s="71"/>
      <c r="H134" s="71"/>
      <c r="I134" s="71"/>
      <c r="J134" s="71"/>
      <c r="K134" s="71"/>
      <c r="L134" s="71"/>
      <c r="N134" s="933" t="s">
        <v>249</v>
      </c>
      <c r="O134" s="913">
        <v>21.117699999999999</v>
      </c>
      <c r="P134" s="913">
        <v>30.103299999999997</v>
      </c>
      <c r="Q134" s="913">
        <v>43.581699999999998</v>
      </c>
      <c r="R134" s="913">
        <v>74.784900000000007</v>
      </c>
      <c r="S134" s="913">
        <v>91.762500000000003</v>
      </c>
      <c r="T134" s="913">
        <v>108.7401</v>
      </c>
      <c r="U134" s="913">
        <v>125.71770000000001</v>
      </c>
      <c r="V134" s="913">
        <v>142.69530000000003</v>
      </c>
      <c r="W134" s="913">
        <v>159.67290000000003</v>
      </c>
      <c r="X134" s="913"/>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13"/>
      <c r="EK134" s="913"/>
      <c r="EL134" s="913"/>
      <c r="EM134" s="913"/>
      <c r="EN134" s="913"/>
      <c r="EO134" s="913"/>
      <c r="EP134" s="913"/>
      <c r="EQ134" s="913"/>
      <c r="ER134" s="913"/>
      <c r="ES134" s="913"/>
      <c r="ET134" s="913"/>
      <c r="EU134" s="913"/>
      <c r="EV134" s="913"/>
      <c r="EW134" s="913"/>
      <c r="EX134" s="913"/>
      <c r="EY134" s="913"/>
      <c r="EZ134" s="913"/>
      <c r="FA134" s="913"/>
      <c r="FB134" s="913"/>
      <c r="FC134" s="913"/>
      <c r="FD134" s="923"/>
    </row>
    <row r="135" spans="2:160" x14ac:dyDescent="0.25">
      <c r="B135" s="71"/>
      <c r="C135" s="71"/>
      <c r="D135" s="71"/>
      <c r="E135" s="71"/>
      <c r="F135" s="71"/>
      <c r="G135" s="71"/>
      <c r="H135" s="71"/>
      <c r="I135" s="71"/>
      <c r="J135" s="71"/>
      <c r="K135" s="71"/>
      <c r="L135" s="71"/>
      <c r="N135" s="933"/>
      <c r="O135" s="913"/>
      <c r="P135" s="913"/>
      <c r="Q135" s="913"/>
      <c r="R135" s="913"/>
      <c r="S135" s="913"/>
      <c r="T135" s="913"/>
      <c r="U135" s="913"/>
      <c r="V135" s="913"/>
      <c r="W135" s="913"/>
      <c r="X135" s="913"/>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13"/>
      <c r="EK135" s="913"/>
      <c r="EL135" s="913"/>
      <c r="EM135" s="913"/>
      <c r="EN135" s="913"/>
      <c r="EO135" s="913"/>
      <c r="EP135" s="913"/>
      <c r="EQ135" s="913"/>
      <c r="ER135" s="913"/>
      <c r="ES135" s="913"/>
      <c r="ET135" s="913"/>
      <c r="EU135" s="913"/>
      <c r="EV135" s="913"/>
      <c r="EW135" s="913"/>
      <c r="EX135" s="913"/>
      <c r="EY135" s="913"/>
      <c r="EZ135" s="913"/>
      <c r="FA135" s="913"/>
      <c r="FB135" s="913"/>
      <c r="FC135" s="913"/>
      <c r="FD135" s="923"/>
    </row>
    <row r="136" spans="2:160"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13"/>
      <c r="EK136" s="913"/>
      <c r="EL136" s="913"/>
      <c r="EM136" s="913"/>
      <c r="EN136" s="913"/>
      <c r="EO136" s="913"/>
      <c r="EP136" s="913"/>
      <c r="EQ136" s="913"/>
      <c r="ER136" s="913"/>
      <c r="ES136" s="913"/>
      <c r="ET136" s="913"/>
      <c r="EU136" s="913"/>
      <c r="EV136" s="913"/>
      <c r="EW136" s="913"/>
      <c r="EX136" s="913"/>
      <c r="EY136" s="913"/>
      <c r="EZ136" s="913"/>
      <c r="FA136" s="913"/>
      <c r="FB136" s="913"/>
      <c r="FC136" s="913"/>
      <c r="FD136" s="923"/>
    </row>
    <row r="137" spans="2:160" x14ac:dyDescent="0.25">
      <c r="N137" s="922" t="s">
        <v>77</v>
      </c>
      <c r="O137" s="913">
        <v>502.08582611625445</v>
      </c>
      <c r="P137" s="913">
        <v>530.7634901162545</v>
      </c>
      <c r="Q137" s="913">
        <v>573.79998611625444</v>
      </c>
      <c r="R137" s="913">
        <v>737.03204023250908</v>
      </c>
      <c r="S137" s="913">
        <v>783.56073623250904</v>
      </c>
      <c r="T137" s="913">
        <v>830.07643223250886</v>
      </c>
      <c r="U137" s="913">
        <v>876.59212823250891</v>
      </c>
      <c r="V137" s="913">
        <v>923.10782423250885</v>
      </c>
      <c r="W137" s="913">
        <v>969.62352023250889</v>
      </c>
      <c r="X137" s="913"/>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13"/>
      <c r="EK137" s="913"/>
      <c r="EL137" s="913"/>
      <c r="EM137" s="913"/>
      <c r="EN137" s="913"/>
      <c r="EO137" s="913"/>
      <c r="EP137" s="913"/>
      <c r="EQ137" s="913"/>
      <c r="ER137" s="913"/>
      <c r="ES137" s="913"/>
      <c r="ET137" s="913"/>
      <c r="EU137" s="913"/>
      <c r="EV137" s="913"/>
      <c r="EW137" s="913"/>
      <c r="EX137" s="913"/>
      <c r="EY137" s="913"/>
      <c r="EZ137" s="913"/>
      <c r="FA137" s="913"/>
      <c r="FB137" s="913"/>
      <c r="FC137" s="913"/>
      <c r="FD137" s="923"/>
    </row>
    <row r="138" spans="2:160" x14ac:dyDescent="0.25">
      <c r="N138" s="922" t="s">
        <v>76</v>
      </c>
      <c r="O138" s="913">
        <v>83.680971019375747</v>
      </c>
      <c r="P138" s="913">
        <v>88.460581686042417</v>
      </c>
      <c r="Q138" s="913">
        <v>95.633331019375746</v>
      </c>
      <c r="R138" s="913">
        <v>122.83867337208484</v>
      </c>
      <c r="S138" s="913">
        <v>130.5934560387515</v>
      </c>
      <c r="T138" s="913">
        <v>103.75955402906361</v>
      </c>
      <c r="U138" s="913">
        <v>109.57401602906361</v>
      </c>
      <c r="V138" s="913">
        <v>115.38847802906361</v>
      </c>
      <c r="W138" s="913">
        <v>121.20294002906361</v>
      </c>
      <c r="X138" s="913"/>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13"/>
      <c r="EK138" s="913"/>
      <c r="EL138" s="913"/>
      <c r="EM138" s="913"/>
      <c r="EN138" s="913"/>
      <c r="EO138" s="913"/>
      <c r="EP138" s="913"/>
      <c r="EQ138" s="913"/>
      <c r="ER138" s="913"/>
      <c r="ES138" s="913"/>
      <c r="ET138" s="913"/>
      <c r="EU138" s="913"/>
      <c r="EV138" s="913"/>
      <c r="EW138" s="913"/>
      <c r="EX138" s="913"/>
      <c r="EY138" s="913"/>
      <c r="EZ138" s="913"/>
      <c r="FA138" s="913"/>
      <c r="FB138" s="913"/>
      <c r="FC138" s="913"/>
      <c r="FD138" s="923"/>
    </row>
    <row r="139" spans="2:160"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13"/>
      <c r="EK139" s="913"/>
      <c r="EL139" s="913"/>
      <c r="EM139" s="913"/>
      <c r="EN139" s="913"/>
      <c r="EO139" s="913"/>
      <c r="EP139" s="913"/>
      <c r="EQ139" s="913"/>
      <c r="ER139" s="913"/>
      <c r="ES139" s="913"/>
      <c r="ET139" s="913"/>
      <c r="EU139" s="913"/>
      <c r="EV139" s="913"/>
      <c r="EW139" s="913"/>
      <c r="EX139" s="913"/>
      <c r="EY139" s="913"/>
      <c r="EZ139" s="913"/>
      <c r="FA139" s="913"/>
      <c r="FB139" s="913"/>
      <c r="FC139" s="913"/>
      <c r="FD139" s="923"/>
    </row>
    <row r="140" spans="2:160"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13"/>
      <c r="EK140" s="913"/>
      <c r="EL140" s="913"/>
      <c r="EM140" s="913"/>
      <c r="EN140" s="913"/>
      <c r="EO140" s="913"/>
      <c r="EP140" s="913"/>
      <c r="EQ140" s="913"/>
      <c r="ER140" s="913"/>
      <c r="ES140" s="913"/>
      <c r="ET140" s="913"/>
      <c r="EU140" s="913"/>
      <c r="EV140" s="913"/>
      <c r="EW140" s="913"/>
      <c r="EX140" s="913"/>
      <c r="EY140" s="913"/>
      <c r="EZ140" s="913"/>
      <c r="FA140" s="913"/>
      <c r="FB140" s="913"/>
      <c r="FC140" s="913"/>
      <c r="FD140" s="923"/>
    </row>
    <row r="141" spans="2:160" ht="150.75" customHeight="1" x14ac:dyDescent="0.25">
      <c r="N141" s="922" t="s">
        <v>426</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13"/>
      <c r="EK141" s="913"/>
      <c r="EL141" s="913"/>
      <c r="EM141" s="913"/>
      <c r="EN141" s="913"/>
      <c r="EO141" s="913"/>
      <c r="EP141" s="913"/>
      <c r="EQ141" s="913"/>
      <c r="ER141" s="913"/>
      <c r="ES141" s="913"/>
      <c r="ET141" s="913"/>
      <c r="EU141" s="913"/>
      <c r="EV141" s="913"/>
      <c r="EW141" s="913"/>
      <c r="EX141" s="913"/>
      <c r="EY141" s="913"/>
      <c r="EZ141" s="913"/>
      <c r="FA141" s="913"/>
      <c r="FB141" s="913"/>
      <c r="FC141" s="913"/>
      <c r="FD141" s="923"/>
    </row>
    <row r="142" spans="2:160"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13"/>
      <c r="EK142" s="913"/>
      <c r="EL142" s="913"/>
      <c r="EM142" s="913"/>
      <c r="EN142" s="913"/>
      <c r="EO142" s="913"/>
      <c r="EP142" s="913"/>
      <c r="EQ142" s="913"/>
      <c r="ER142" s="913"/>
      <c r="ES142" s="913"/>
      <c r="ET142" s="913"/>
      <c r="EU142" s="913"/>
      <c r="EV142" s="913"/>
      <c r="EW142" s="913"/>
      <c r="EX142" s="913"/>
      <c r="EY142" s="913"/>
      <c r="EZ142" s="913"/>
      <c r="FA142" s="913"/>
      <c r="FB142" s="913"/>
      <c r="FC142" s="913"/>
      <c r="FD142" s="923"/>
    </row>
    <row r="143" spans="2:160" x14ac:dyDescent="0.25">
      <c r="N143" s="922" t="s">
        <v>215</v>
      </c>
      <c r="O143" s="913">
        <v>16</v>
      </c>
      <c r="P143" s="913">
        <v>24</v>
      </c>
      <c r="Q143" s="913">
        <v>36</v>
      </c>
      <c r="R143" s="913">
        <v>48</v>
      </c>
      <c r="S143" s="913">
        <v>60</v>
      </c>
      <c r="T143" s="913">
        <v>72</v>
      </c>
      <c r="U143" s="913">
        <v>84</v>
      </c>
      <c r="V143" s="913">
        <v>96</v>
      </c>
      <c r="W143" s="913">
        <v>108</v>
      </c>
      <c r="X143" s="913"/>
      <c r="Y143" s="913"/>
      <c r="Z143" s="913"/>
      <c r="AA143" s="913"/>
      <c r="AB143" s="913"/>
      <c r="AC143" s="913"/>
      <c r="AD143" s="913"/>
      <c r="AE143" s="913"/>
      <c r="AF143" s="913"/>
      <c r="AG143" s="913"/>
      <c r="AH143" s="913"/>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13"/>
      <c r="EK143" s="913"/>
      <c r="EL143" s="913"/>
      <c r="EM143" s="913"/>
      <c r="EN143" s="913"/>
      <c r="EO143" s="913"/>
      <c r="EP143" s="913"/>
      <c r="EQ143" s="913"/>
      <c r="ER143" s="913"/>
      <c r="ES143" s="913"/>
      <c r="ET143" s="913"/>
      <c r="EU143" s="913"/>
      <c r="EV143" s="913"/>
      <c r="EW143" s="913"/>
      <c r="EX143" s="913"/>
      <c r="EY143" s="913"/>
      <c r="EZ143" s="913"/>
      <c r="FA143" s="913"/>
      <c r="FB143" s="913"/>
      <c r="FC143" s="913"/>
      <c r="FD143" s="923"/>
    </row>
    <row r="144" spans="2:160" x14ac:dyDescent="0.25">
      <c r="N144" s="933" t="s">
        <v>149</v>
      </c>
      <c r="O144" s="913">
        <v>110.0318</v>
      </c>
      <c r="P144" s="913">
        <v>128.67179999999999</v>
      </c>
      <c r="Q144" s="913">
        <v>156.65180000000001</v>
      </c>
      <c r="R144" s="913">
        <v>184.61880000000002</v>
      </c>
      <c r="S144" s="913">
        <v>212.59179999999998</v>
      </c>
      <c r="T144" s="913">
        <v>240.55179999999996</v>
      </c>
      <c r="U144" s="913">
        <v>268.51179999999994</v>
      </c>
      <c r="V144" s="913">
        <v>296.47179999999992</v>
      </c>
      <c r="W144" s="913">
        <v>324.4317999999999</v>
      </c>
      <c r="X144" s="913"/>
      <c r="Y144" s="913"/>
      <c r="Z144" s="913"/>
      <c r="AA144" s="913"/>
      <c r="AB144" s="913"/>
      <c r="AC144" s="913"/>
      <c r="AD144" s="913"/>
      <c r="AE144" s="913"/>
      <c r="AF144" s="913"/>
      <c r="AG144" s="913"/>
      <c r="AH144" s="913"/>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13"/>
      <c r="EK144" s="913"/>
      <c r="EL144" s="913"/>
      <c r="EM144" s="913"/>
      <c r="EN144" s="913"/>
      <c r="EO144" s="913"/>
      <c r="EP144" s="913"/>
      <c r="EQ144" s="913"/>
      <c r="ER144" s="913"/>
      <c r="ES144" s="913"/>
      <c r="ET144" s="913"/>
      <c r="EU144" s="913"/>
      <c r="EV144" s="913"/>
      <c r="EW144" s="913"/>
      <c r="EX144" s="913"/>
      <c r="EY144" s="913"/>
      <c r="EZ144" s="913"/>
      <c r="FA144" s="913"/>
      <c r="FB144" s="913"/>
      <c r="FC144" s="913"/>
      <c r="FD144" s="923"/>
    </row>
    <row r="145" spans="3:160" x14ac:dyDescent="0.25">
      <c r="N145" s="933" t="s">
        <v>341</v>
      </c>
      <c r="O145" s="913">
        <v>74.462752000000009</v>
      </c>
      <c r="P145" s="913">
        <v>111.69412800000001</v>
      </c>
      <c r="Q145" s="913">
        <v>111.69412800000001</v>
      </c>
      <c r="R145" s="913">
        <v>130.30981600000001</v>
      </c>
      <c r="S145" s="913">
        <v>130.30981600000001</v>
      </c>
      <c r="T145" s="913">
        <v>130.30981600000001</v>
      </c>
      <c r="U145" s="913">
        <v>130.30981600000001</v>
      </c>
      <c r="V145" s="913">
        <v>130.30981600000001</v>
      </c>
      <c r="W145" s="913">
        <v>130.30981600000001</v>
      </c>
      <c r="X145" s="913"/>
      <c r="Y145" s="913"/>
      <c r="Z145" s="913"/>
      <c r="AA145" s="913"/>
      <c r="AB145" s="913"/>
      <c r="AC145" s="913"/>
      <c r="AD145" s="913"/>
      <c r="AE145" s="913"/>
      <c r="AF145" s="913"/>
      <c r="AG145" s="913"/>
      <c r="AH145" s="913"/>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13"/>
      <c r="EK145" s="913"/>
      <c r="EL145" s="913"/>
      <c r="EM145" s="913"/>
      <c r="EN145" s="913"/>
      <c r="EO145" s="913"/>
      <c r="EP145" s="913"/>
      <c r="EQ145" s="913"/>
      <c r="ER145" s="913"/>
      <c r="ES145" s="913"/>
      <c r="ET145" s="913"/>
      <c r="EU145" s="913"/>
      <c r="EV145" s="913"/>
      <c r="EW145" s="913"/>
      <c r="EX145" s="913"/>
      <c r="EY145" s="913"/>
      <c r="EZ145" s="913"/>
      <c r="FA145" s="913"/>
      <c r="FB145" s="913"/>
      <c r="FC145" s="913"/>
      <c r="FD145" s="923"/>
    </row>
    <row r="146" spans="3:160" x14ac:dyDescent="0.25">
      <c r="N146" s="933" t="s">
        <v>148</v>
      </c>
      <c r="O146" s="927">
        <v>4.24244808</v>
      </c>
      <c r="P146" s="913">
        <v>5.2945120800000005</v>
      </c>
      <c r="Q146" s="927">
        <v>6.87260808</v>
      </c>
      <c r="R146" s="927">
        <v>8.4507040799999995</v>
      </c>
      <c r="S146" s="927">
        <v>10.028800080000002</v>
      </c>
      <c r="T146" s="927">
        <v>11.60689608</v>
      </c>
      <c r="U146" s="927">
        <v>13.184992080000001</v>
      </c>
      <c r="V146" s="927">
        <v>14.763088079999999</v>
      </c>
      <c r="W146" s="927">
        <v>16.341184080000001</v>
      </c>
      <c r="X146" s="927"/>
      <c r="Y146" s="913"/>
      <c r="Z146" s="913"/>
      <c r="AA146" s="913"/>
      <c r="AB146" s="913"/>
      <c r="AC146" s="913"/>
      <c r="AD146" s="913"/>
      <c r="AE146" s="913"/>
      <c r="AF146" s="913"/>
      <c r="AG146" s="913"/>
      <c r="AH146" s="913"/>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13"/>
      <c r="EK146" s="913"/>
      <c r="EL146" s="913"/>
      <c r="EM146" s="913"/>
      <c r="EN146" s="913"/>
      <c r="EO146" s="913"/>
      <c r="EP146" s="913"/>
      <c r="EQ146" s="913"/>
      <c r="ER146" s="913"/>
      <c r="ES146" s="913"/>
      <c r="ET146" s="913"/>
      <c r="EU146" s="913"/>
      <c r="EV146" s="913"/>
      <c r="EW146" s="913"/>
      <c r="EX146" s="913"/>
      <c r="EY146" s="913"/>
      <c r="EZ146" s="913"/>
      <c r="FA146" s="913"/>
      <c r="FB146" s="913"/>
      <c r="FC146" s="913"/>
      <c r="FD146" s="923"/>
    </row>
    <row r="147" spans="3:160" x14ac:dyDescent="0.25">
      <c r="N147" s="933" t="s">
        <v>342</v>
      </c>
      <c r="O147" s="913">
        <v>2.2400000000000002</v>
      </c>
      <c r="P147" s="913">
        <v>3.3600000000000003</v>
      </c>
      <c r="Q147" s="913">
        <v>3.3600000000000003</v>
      </c>
      <c r="R147" s="913">
        <v>3.9200000000000004</v>
      </c>
      <c r="S147" s="913">
        <v>3.9200000000000004</v>
      </c>
      <c r="T147" s="913">
        <v>3.9200000000000004</v>
      </c>
      <c r="U147" s="913">
        <v>3.9200000000000004</v>
      </c>
      <c r="V147" s="913">
        <v>3.9200000000000004</v>
      </c>
      <c r="W147" s="913">
        <v>3.9200000000000004</v>
      </c>
      <c r="X147" s="913"/>
      <c r="Y147" s="913"/>
      <c r="Z147" s="913"/>
      <c r="AA147" s="913"/>
      <c r="AB147" s="913"/>
      <c r="AC147" s="913"/>
      <c r="AD147" s="913"/>
      <c r="AE147" s="913"/>
      <c r="AF147" s="913"/>
      <c r="AG147" s="913"/>
      <c r="AH147" s="913"/>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13"/>
      <c r="EK147" s="913"/>
      <c r="EL147" s="913"/>
      <c r="EM147" s="913"/>
      <c r="EN147" s="913"/>
      <c r="EO147" s="913"/>
      <c r="EP147" s="913"/>
      <c r="EQ147" s="913"/>
      <c r="ER147" s="913"/>
      <c r="ES147" s="913"/>
      <c r="ET147" s="913"/>
      <c r="EU147" s="913"/>
      <c r="EV147" s="913"/>
      <c r="EW147" s="913"/>
      <c r="EX147" s="913"/>
      <c r="EY147" s="913"/>
      <c r="EZ147" s="913"/>
      <c r="FA147" s="913"/>
      <c r="FB147" s="913"/>
      <c r="FC147" s="913"/>
      <c r="FD147" s="923"/>
    </row>
    <row r="148" spans="3:160" x14ac:dyDescent="0.25">
      <c r="N148" s="933" t="s">
        <v>254</v>
      </c>
      <c r="O148" s="913">
        <v>3.3026590581272659</v>
      </c>
      <c r="P148" s="913">
        <v>6.6053181162545318</v>
      </c>
      <c r="Q148" s="913">
        <v>6.6053181162545318</v>
      </c>
      <c r="R148" s="913">
        <v>6.6053181162545318</v>
      </c>
      <c r="S148" s="913">
        <v>6.6053181162545318</v>
      </c>
      <c r="T148" s="913">
        <v>6.6053181162545318</v>
      </c>
      <c r="U148" s="913">
        <v>6.6053181162545318</v>
      </c>
      <c r="V148" s="913">
        <v>6.6053181162545318</v>
      </c>
      <c r="W148" s="913">
        <v>6.6053181162545318</v>
      </c>
      <c r="X148" s="913"/>
      <c r="Y148" s="913"/>
      <c r="Z148" s="913"/>
      <c r="AA148" s="913"/>
      <c r="AB148" s="913"/>
      <c r="AC148" s="913"/>
      <c r="AD148" s="913"/>
      <c r="AE148" s="913"/>
      <c r="AF148" s="913"/>
      <c r="AG148" s="913"/>
      <c r="AH148" s="913"/>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13"/>
      <c r="EK148" s="913"/>
      <c r="EL148" s="913"/>
      <c r="EM148" s="913"/>
      <c r="EN148" s="913"/>
      <c r="EO148" s="913"/>
      <c r="EP148" s="913"/>
      <c r="EQ148" s="913"/>
      <c r="ER148" s="913"/>
      <c r="ES148" s="913"/>
      <c r="ET148" s="913"/>
      <c r="EU148" s="913"/>
      <c r="EV148" s="913"/>
      <c r="EW148" s="913"/>
      <c r="EX148" s="913"/>
      <c r="EY148" s="913"/>
      <c r="EZ148" s="913"/>
      <c r="FA148" s="913"/>
      <c r="FB148" s="913"/>
      <c r="FC148" s="913"/>
      <c r="FD148" s="923"/>
    </row>
    <row r="149" spans="3:160" x14ac:dyDescent="0.25">
      <c r="N149" s="933" t="s">
        <v>249</v>
      </c>
      <c r="O149" s="913">
        <v>5.8521640000000001</v>
      </c>
      <c r="P149" s="913">
        <v>7.2049959999999995</v>
      </c>
      <c r="Q149" s="913">
        <v>9.2342440000000003</v>
      </c>
      <c r="R149" s="913">
        <v>11.263491999999999</v>
      </c>
      <c r="S149" s="913">
        <v>13.29274</v>
      </c>
      <c r="T149" s="913">
        <v>15.321987999999999</v>
      </c>
      <c r="U149" s="913">
        <v>17.351236</v>
      </c>
      <c r="V149" s="913">
        <v>19.380483999999999</v>
      </c>
      <c r="W149" s="913">
        <v>21.409732000000002</v>
      </c>
      <c r="X149" s="913"/>
      <c r="Y149" s="913"/>
      <c r="Z149" s="913"/>
      <c r="AA149" s="913"/>
      <c r="AB149" s="913"/>
      <c r="AC149" s="913"/>
      <c r="AD149" s="913"/>
      <c r="AE149" s="913"/>
      <c r="AF149" s="913"/>
      <c r="AG149" s="913"/>
      <c r="AH149" s="913"/>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13"/>
      <c r="EK149" s="913"/>
      <c r="EL149" s="913"/>
      <c r="EM149" s="913"/>
      <c r="EN149" s="913"/>
      <c r="EO149" s="913"/>
      <c r="EP149" s="913"/>
      <c r="EQ149" s="913"/>
      <c r="ER149" s="913"/>
      <c r="ES149" s="913"/>
      <c r="ET149" s="913"/>
      <c r="EU149" s="913"/>
      <c r="EV149" s="913"/>
      <c r="EW149" s="913"/>
      <c r="EX149" s="913"/>
      <c r="EY149" s="913"/>
      <c r="EZ149" s="913"/>
      <c r="FA149" s="913"/>
      <c r="FB149" s="913"/>
      <c r="FC149" s="913"/>
      <c r="FD149" s="923"/>
    </row>
    <row r="150" spans="3:160" x14ac:dyDescent="0.25">
      <c r="C150" s="138"/>
      <c r="N150" s="933"/>
      <c r="O150" s="913"/>
      <c r="P150" s="913"/>
      <c r="Q150" s="913"/>
      <c r="R150" s="913"/>
      <c r="S150" s="913"/>
      <c r="T150" s="913"/>
      <c r="U150" s="913"/>
      <c r="V150" s="913"/>
      <c r="W150" s="913"/>
      <c r="X150" s="913"/>
      <c r="Y150" s="913"/>
      <c r="Z150" s="913"/>
      <c r="AA150" s="913"/>
      <c r="AB150" s="913"/>
      <c r="AC150" s="913"/>
      <c r="AD150" s="913"/>
      <c r="AE150" s="913"/>
      <c r="AF150" s="913"/>
      <c r="AG150" s="913"/>
      <c r="AH150" s="913"/>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13"/>
      <c r="EK150" s="913"/>
      <c r="EL150" s="913"/>
      <c r="EM150" s="913"/>
      <c r="EN150" s="913"/>
      <c r="EO150" s="913"/>
      <c r="EP150" s="913"/>
      <c r="EQ150" s="913"/>
      <c r="ER150" s="913"/>
      <c r="ES150" s="913"/>
      <c r="ET150" s="913"/>
      <c r="EU150" s="913"/>
      <c r="EV150" s="913"/>
      <c r="EW150" s="913"/>
      <c r="EX150" s="913"/>
      <c r="EY150" s="913"/>
      <c r="EZ150" s="913"/>
      <c r="FA150" s="913"/>
      <c r="FB150" s="913"/>
      <c r="FC150" s="913"/>
      <c r="FD150" s="923"/>
    </row>
    <row r="151" spans="3:160"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13"/>
      <c r="EK151" s="913"/>
      <c r="EL151" s="913"/>
      <c r="EM151" s="913"/>
      <c r="EN151" s="913"/>
      <c r="EO151" s="913"/>
      <c r="EP151" s="913"/>
      <c r="EQ151" s="913"/>
      <c r="ER151" s="913"/>
      <c r="ES151" s="913"/>
      <c r="ET151" s="913"/>
      <c r="EU151" s="913"/>
      <c r="EV151" s="913"/>
      <c r="EW151" s="913"/>
      <c r="EX151" s="913"/>
      <c r="EY151" s="913"/>
      <c r="EZ151" s="913"/>
      <c r="FA151" s="913"/>
      <c r="FB151" s="913"/>
      <c r="FC151" s="913"/>
      <c r="FD151" s="923"/>
    </row>
    <row r="152" spans="3:160" x14ac:dyDescent="0.25">
      <c r="N152" s="922" t="s">
        <v>77</v>
      </c>
      <c r="O152" s="913">
        <v>200.13182313812726</v>
      </c>
      <c r="P152" s="913">
        <v>262.83075419625453</v>
      </c>
      <c r="Q152" s="913">
        <v>294.41809819625456</v>
      </c>
      <c r="R152" s="913">
        <v>345.16813019625454</v>
      </c>
      <c r="S152" s="913">
        <v>376.74847419625451</v>
      </c>
      <c r="T152" s="913">
        <v>408.3158181962545</v>
      </c>
      <c r="U152" s="913">
        <v>439.88316219625449</v>
      </c>
      <c r="V152" s="913">
        <v>471.45050619625448</v>
      </c>
      <c r="W152" s="913">
        <v>503.01785019625447</v>
      </c>
      <c r="X152" s="913"/>
      <c r="Y152" s="913"/>
      <c r="Z152" s="913"/>
      <c r="AA152" s="913"/>
      <c r="AB152" s="913"/>
      <c r="AC152" s="913"/>
      <c r="AD152" s="913"/>
      <c r="AE152" s="913"/>
      <c r="AF152" s="913"/>
      <c r="AG152" s="913"/>
      <c r="AH152" s="913"/>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13"/>
      <c r="EK152" s="913"/>
      <c r="EL152" s="913"/>
      <c r="EM152" s="913"/>
      <c r="EN152" s="913"/>
      <c r="EO152" s="913"/>
      <c r="EP152" s="913"/>
      <c r="EQ152" s="913"/>
      <c r="ER152" s="913"/>
      <c r="ES152" s="913"/>
      <c r="ET152" s="913"/>
      <c r="EU152" s="913"/>
      <c r="EV152" s="913"/>
      <c r="EW152" s="913"/>
      <c r="EX152" s="913"/>
      <c r="EY152" s="913"/>
      <c r="EZ152" s="913"/>
      <c r="FA152" s="913"/>
      <c r="FB152" s="913"/>
      <c r="FC152" s="913"/>
      <c r="FD152" s="923"/>
    </row>
    <row r="153" spans="3:160" x14ac:dyDescent="0.25">
      <c r="N153" s="922" t="s">
        <v>76</v>
      </c>
      <c r="O153" s="913">
        <v>50.032955784531815</v>
      </c>
      <c r="P153" s="913">
        <v>65.707688549063633</v>
      </c>
      <c r="Q153" s="913">
        <v>73.60452454906364</v>
      </c>
      <c r="R153" s="913">
        <v>86.292032549063634</v>
      </c>
      <c r="S153" s="913">
        <v>94.187118549063626</v>
      </c>
      <c r="T153" s="913">
        <v>68.052636366042421</v>
      </c>
      <c r="U153" s="913">
        <v>73.31386036604242</v>
      </c>
      <c r="V153" s="913">
        <v>78.575084366042418</v>
      </c>
      <c r="W153" s="913">
        <v>83.836308366042417</v>
      </c>
      <c r="X153" s="913"/>
      <c r="Y153" s="913"/>
      <c r="Z153" s="913"/>
      <c r="AA153" s="913"/>
      <c r="AB153" s="913"/>
      <c r="AC153" s="913"/>
      <c r="AD153" s="913"/>
      <c r="AE153" s="913"/>
      <c r="AF153" s="913"/>
      <c r="AG153" s="913"/>
      <c r="AH153" s="913"/>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13"/>
      <c r="EK153" s="913"/>
      <c r="EL153" s="913"/>
      <c r="EM153" s="913"/>
      <c r="EN153" s="913"/>
      <c r="EO153" s="913"/>
      <c r="EP153" s="913"/>
      <c r="EQ153" s="913"/>
      <c r="ER153" s="913"/>
      <c r="ES153" s="913"/>
      <c r="ET153" s="913"/>
      <c r="EU153" s="913"/>
      <c r="EV153" s="913"/>
      <c r="EW153" s="913"/>
      <c r="EX153" s="913"/>
      <c r="EY153" s="913"/>
      <c r="EZ153" s="913"/>
      <c r="FA153" s="913"/>
      <c r="FB153" s="913"/>
      <c r="FC153" s="913"/>
      <c r="FD153" s="923"/>
    </row>
    <row r="154" spans="3:160"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13"/>
      <c r="EK154" s="913"/>
      <c r="EL154" s="913"/>
      <c r="EM154" s="913"/>
      <c r="EN154" s="913"/>
      <c r="EO154" s="913"/>
      <c r="EP154" s="913"/>
      <c r="EQ154" s="913"/>
      <c r="ER154" s="913"/>
      <c r="ES154" s="913"/>
      <c r="ET154" s="913"/>
      <c r="EU154" s="913"/>
      <c r="EV154" s="913"/>
      <c r="EW154" s="913"/>
      <c r="EX154" s="913"/>
      <c r="EY154" s="913"/>
      <c r="EZ154" s="913"/>
      <c r="FA154" s="913"/>
      <c r="FB154" s="913"/>
      <c r="FC154" s="913"/>
      <c r="FD154" s="923"/>
    </row>
    <row r="155" spans="3:160"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13"/>
      <c r="EK155" s="913"/>
      <c r="EL155" s="913"/>
      <c r="EM155" s="913"/>
      <c r="EN155" s="913"/>
      <c r="EO155" s="913"/>
      <c r="EP155" s="913"/>
      <c r="EQ155" s="913"/>
      <c r="ER155" s="913"/>
      <c r="ES155" s="913"/>
      <c r="ET155" s="913"/>
      <c r="EU155" s="913"/>
      <c r="EV155" s="913"/>
      <c r="EW155" s="913"/>
      <c r="EX155" s="913"/>
      <c r="EY155" s="913"/>
      <c r="EZ155" s="913"/>
      <c r="FA155" s="913"/>
      <c r="FB155" s="913"/>
      <c r="FC155" s="913"/>
      <c r="FD155" s="923"/>
    </row>
    <row r="156" spans="3:160" x14ac:dyDescent="0.25">
      <c r="N156" s="922" t="s">
        <v>427</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13"/>
      <c r="EK156" s="913"/>
      <c r="EL156" s="913"/>
      <c r="EM156" s="913"/>
      <c r="EN156" s="913"/>
      <c r="EO156" s="913"/>
      <c r="EP156" s="913"/>
      <c r="EQ156" s="913"/>
      <c r="ER156" s="913"/>
      <c r="ES156" s="913"/>
      <c r="ET156" s="913"/>
      <c r="EU156" s="913"/>
      <c r="EV156" s="913"/>
      <c r="EW156" s="913"/>
      <c r="EX156" s="913"/>
      <c r="EY156" s="913"/>
      <c r="EZ156" s="913"/>
      <c r="FA156" s="913"/>
      <c r="FB156" s="913"/>
      <c r="FC156" s="913"/>
      <c r="FD156" s="923"/>
    </row>
    <row r="157" spans="3:160"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13"/>
      <c r="EK157" s="913"/>
      <c r="EL157" s="913"/>
      <c r="EM157" s="913"/>
      <c r="EN157" s="913"/>
      <c r="EO157" s="913"/>
      <c r="EP157" s="913"/>
      <c r="EQ157" s="913"/>
      <c r="ER157" s="913"/>
      <c r="ES157" s="913"/>
      <c r="ET157" s="913"/>
      <c r="EU157" s="913"/>
      <c r="EV157" s="913"/>
      <c r="EW157" s="913"/>
      <c r="EX157" s="913"/>
      <c r="EY157" s="913"/>
      <c r="EZ157" s="913"/>
      <c r="FA157" s="913"/>
      <c r="FB157" s="913"/>
      <c r="FC157" s="913"/>
      <c r="FD157" s="923"/>
    </row>
    <row r="158" spans="3:160" x14ac:dyDescent="0.25">
      <c r="N158" s="922" t="s">
        <v>33</v>
      </c>
      <c r="O158" s="913">
        <v>13.06</v>
      </c>
      <c r="P158" s="913">
        <f>O158+4</f>
        <v>17.060000000000002</v>
      </c>
      <c r="Q158" s="913">
        <f t="shared" ref="Q158:AC158" si="7">P158+4</f>
        <v>21.060000000000002</v>
      </c>
      <c r="R158" s="913">
        <f t="shared" si="7"/>
        <v>25.060000000000002</v>
      </c>
      <c r="S158" s="913">
        <f t="shared" si="7"/>
        <v>29.060000000000002</v>
      </c>
      <c r="T158" s="913">
        <f t="shared" si="7"/>
        <v>33.06</v>
      </c>
      <c r="U158" s="913">
        <f>T158+4</f>
        <v>37.06</v>
      </c>
      <c r="V158" s="913">
        <f t="shared" si="7"/>
        <v>41.06</v>
      </c>
      <c r="W158" s="913">
        <f t="shared" si="7"/>
        <v>45.06</v>
      </c>
      <c r="X158" s="913">
        <f t="shared" si="7"/>
        <v>49.06</v>
      </c>
      <c r="Y158" s="913">
        <f>X158+4</f>
        <v>53.06</v>
      </c>
      <c r="Z158" s="913">
        <f t="shared" si="7"/>
        <v>57.06</v>
      </c>
      <c r="AA158" s="913">
        <f t="shared" si="7"/>
        <v>61.06</v>
      </c>
      <c r="AB158" s="913">
        <f t="shared" si="7"/>
        <v>65.06</v>
      </c>
      <c r="AC158" s="913">
        <f t="shared" si="7"/>
        <v>69.06</v>
      </c>
      <c r="AD158" s="913">
        <f>AC158+4</f>
        <v>73.06</v>
      </c>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13"/>
      <c r="EK158" s="913"/>
      <c r="EL158" s="913"/>
      <c r="EM158" s="913"/>
      <c r="EN158" s="913"/>
      <c r="EO158" s="913"/>
      <c r="EP158" s="913"/>
      <c r="EQ158" s="913"/>
      <c r="ER158" s="913"/>
      <c r="ES158" s="913"/>
      <c r="ET158" s="913"/>
      <c r="EU158" s="913"/>
      <c r="EV158" s="913"/>
      <c r="EW158" s="913"/>
      <c r="EX158" s="913"/>
      <c r="EY158" s="913"/>
      <c r="EZ158" s="913"/>
      <c r="FA158" s="913"/>
      <c r="FB158" s="913"/>
      <c r="FC158" s="913"/>
      <c r="FD158" s="923"/>
    </row>
    <row r="159" spans="3:160" x14ac:dyDescent="0.25">
      <c r="N159" s="933" t="s">
        <v>149</v>
      </c>
      <c r="O159" s="913">
        <v>130.822</v>
      </c>
      <c r="P159" s="913">
        <v>157.99199999999993</v>
      </c>
      <c r="Q159" s="913">
        <v>185.12199999999999</v>
      </c>
      <c r="R159" s="913">
        <v>212.25200000000004</v>
      </c>
      <c r="S159" s="913">
        <v>239.38200000000009</v>
      </c>
      <c r="T159" s="913">
        <v>266.51199999999994</v>
      </c>
      <c r="U159" s="913">
        <v>293.6819999999999</v>
      </c>
      <c r="V159" s="913">
        <v>320.81200000000001</v>
      </c>
      <c r="W159" s="913">
        <v>348.27600000000007</v>
      </c>
      <c r="X159" s="913">
        <v>375.40600000000001</v>
      </c>
      <c r="Y159" s="913">
        <v>402.57599999999985</v>
      </c>
      <c r="Z159" s="913">
        <v>429.66600000000005</v>
      </c>
      <c r="AA159" s="913">
        <v>456.8359999999999</v>
      </c>
      <c r="AB159" s="913">
        <v>483.96600000000018</v>
      </c>
      <c r="AC159" s="913">
        <v>511.096</v>
      </c>
      <c r="AD159" s="913">
        <v>538.22599999999977</v>
      </c>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13"/>
      <c r="EK159" s="913"/>
      <c r="EL159" s="913"/>
      <c r="EM159" s="913"/>
      <c r="EN159" s="913"/>
      <c r="EO159" s="913"/>
      <c r="EP159" s="913"/>
      <c r="EQ159" s="913"/>
      <c r="ER159" s="913"/>
      <c r="ES159" s="913"/>
      <c r="ET159" s="913"/>
      <c r="EU159" s="913"/>
      <c r="EV159" s="913"/>
      <c r="EW159" s="913"/>
      <c r="EX159" s="913"/>
      <c r="EY159" s="913"/>
      <c r="EZ159" s="913"/>
      <c r="FA159" s="913"/>
      <c r="FB159" s="913"/>
      <c r="FC159" s="913"/>
      <c r="FD159" s="923"/>
    </row>
    <row r="160" spans="3:160" x14ac:dyDescent="0.25">
      <c r="N160" s="933" t="s">
        <v>341</v>
      </c>
      <c r="O160" s="913">
        <v>39.93225600000001</v>
      </c>
      <c r="P160" s="913">
        <v>52.162656000000013</v>
      </c>
      <c r="Q160" s="913">
        <v>64.393056000000016</v>
      </c>
      <c r="R160" s="913">
        <v>76.623456000000004</v>
      </c>
      <c r="S160" s="913">
        <v>88.853856000000022</v>
      </c>
      <c r="T160" s="913">
        <v>101.08425600000002</v>
      </c>
      <c r="U160" s="913">
        <v>113.31465600000001</v>
      </c>
      <c r="V160" s="913">
        <v>125.54505600000002</v>
      </c>
      <c r="W160" s="913">
        <v>137.77545600000002</v>
      </c>
      <c r="X160" s="913">
        <v>150.00585600000002</v>
      </c>
      <c r="Y160" s="913">
        <v>162.23625600000003</v>
      </c>
      <c r="Z160" s="913">
        <v>174.46665600000003</v>
      </c>
      <c r="AA160" s="913">
        <v>186.69705600000003</v>
      </c>
      <c r="AB160" s="913">
        <v>198.92745600000003</v>
      </c>
      <c r="AC160" s="913">
        <v>211.15785600000001</v>
      </c>
      <c r="AD160" s="913">
        <v>223.38825600000001</v>
      </c>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13"/>
      <c r="EK160" s="913"/>
      <c r="EL160" s="913"/>
      <c r="EM160" s="913"/>
      <c r="EN160" s="913"/>
      <c r="EO160" s="913"/>
      <c r="EP160" s="913"/>
      <c r="EQ160" s="913"/>
      <c r="ER160" s="913"/>
      <c r="ES160" s="913"/>
      <c r="ET160" s="913"/>
      <c r="EU160" s="913"/>
      <c r="EV160" s="913"/>
      <c r="EW160" s="913"/>
      <c r="EX160" s="913"/>
      <c r="EY160" s="913"/>
      <c r="EZ160" s="913"/>
      <c r="FA160" s="913"/>
      <c r="FB160" s="913"/>
      <c r="FC160" s="913"/>
      <c r="FD160" s="923"/>
    </row>
    <row r="161" spans="14:160" x14ac:dyDescent="0.25">
      <c r="N161" s="933" t="s">
        <v>148</v>
      </c>
      <c r="O161" s="913">
        <v>5.0777279999999996</v>
      </c>
      <c r="P161" s="913">
        <v>6.6329280000000006</v>
      </c>
      <c r="Q161" s="913">
        <v>8.1881280000000007</v>
      </c>
      <c r="R161" s="913">
        <v>9.7433280000000018</v>
      </c>
      <c r="S161" s="913">
        <v>11.298528000000001</v>
      </c>
      <c r="T161" s="913">
        <v>12.853728000000002</v>
      </c>
      <c r="U161" s="913">
        <v>14.408928000000001</v>
      </c>
      <c r="V161" s="913">
        <v>15.964128000000001</v>
      </c>
      <c r="W161" s="913">
        <v>17.519328000000002</v>
      </c>
      <c r="X161" s="913">
        <v>19.074528000000001</v>
      </c>
      <c r="Y161" s="913">
        <v>20.629728</v>
      </c>
      <c r="Z161" s="913">
        <v>22.184928000000003</v>
      </c>
      <c r="AA161" s="913">
        <v>23.740128000000002</v>
      </c>
      <c r="AB161" s="913">
        <v>25.295328000000001</v>
      </c>
      <c r="AC161" s="913">
        <v>26.850528000000001</v>
      </c>
      <c r="AD161" s="913">
        <v>28.405728</v>
      </c>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13"/>
      <c r="EK161" s="913"/>
      <c r="EL161" s="913"/>
      <c r="EM161" s="913"/>
      <c r="EN161" s="913"/>
      <c r="EO161" s="913"/>
      <c r="EP161" s="913"/>
      <c r="EQ161" s="913"/>
      <c r="ER161" s="913"/>
      <c r="ES161" s="913"/>
      <c r="ET161" s="913"/>
      <c r="EU161" s="913"/>
      <c r="EV161" s="913"/>
      <c r="EW161" s="913"/>
      <c r="EX161" s="913"/>
      <c r="EY161" s="913"/>
      <c r="EZ161" s="913"/>
      <c r="FA161" s="913"/>
      <c r="FB161" s="913"/>
      <c r="FC161" s="913"/>
      <c r="FD161" s="923"/>
    </row>
    <row r="162" spans="14:160" x14ac:dyDescent="0.25">
      <c r="N162" s="933" t="s">
        <v>342</v>
      </c>
      <c r="O162" s="913">
        <v>6.7200000000000006</v>
      </c>
      <c r="P162" s="913">
        <v>6.7200000000000006</v>
      </c>
      <c r="Q162" s="913">
        <v>6.7200000000000006</v>
      </c>
      <c r="R162" s="913">
        <v>6.7200000000000006</v>
      </c>
      <c r="S162" s="913">
        <v>6.7200000000000006</v>
      </c>
      <c r="T162" s="913">
        <v>6.7200000000000006</v>
      </c>
      <c r="U162" s="913">
        <v>6.7200000000000006</v>
      </c>
      <c r="V162" s="913">
        <v>6.7200000000000006</v>
      </c>
      <c r="W162" s="913">
        <v>6.7200000000000006</v>
      </c>
      <c r="X162" s="913">
        <v>6.7200000000000006</v>
      </c>
      <c r="Y162" s="913">
        <v>6.7200000000000006</v>
      </c>
      <c r="Z162" s="913">
        <v>6.7200000000000006</v>
      </c>
      <c r="AA162" s="913">
        <v>6.7200000000000006</v>
      </c>
      <c r="AB162" s="913">
        <v>6.7200000000000006</v>
      </c>
      <c r="AC162" s="913">
        <v>6.7200000000000006</v>
      </c>
      <c r="AD162" s="913">
        <v>6.7200000000000006</v>
      </c>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13"/>
      <c r="EK162" s="913"/>
      <c r="EL162" s="913"/>
      <c r="EM162" s="913"/>
      <c r="EN162" s="913"/>
      <c r="EO162" s="913"/>
      <c r="EP162" s="913"/>
      <c r="EQ162" s="913"/>
      <c r="ER162" s="913"/>
      <c r="ES162" s="913"/>
      <c r="ET162" s="913"/>
      <c r="EU162" s="913"/>
      <c r="EV162" s="913"/>
      <c r="EW162" s="913"/>
      <c r="EX162" s="913"/>
      <c r="EY162" s="913"/>
      <c r="EZ162" s="913"/>
      <c r="FA162" s="913"/>
      <c r="FB162" s="913"/>
      <c r="FC162" s="913"/>
      <c r="FD162" s="923"/>
    </row>
    <row r="163" spans="14:160" x14ac:dyDescent="0.25">
      <c r="N163" s="933" t="s">
        <v>254</v>
      </c>
      <c r="O163" s="913">
        <v>2.3614961565366599</v>
      </c>
      <c r="P163" s="913">
        <v>3.0847721616014874</v>
      </c>
      <c r="Q163" s="913">
        <v>3.808048166666314</v>
      </c>
      <c r="R163" s="913">
        <v>4.531324171731141</v>
      </c>
      <c r="S163" s="913">
        <v>5.254600176795968</v>
      </c>
      <c r="T163" s="913">
        <v>5.9778761818607951</v>
      </c>
      <c r="U163" s="913">
        <v>6.7011521869256221</v>
      </c>
      <c r="V163" s="913">
        <v>7.4244281919904491</v>
      </c>
      <c r="W163" s="913">
        <v>8.1477041970552762</v>
      </c>
      <c r="X163" s="913">
        <v>8.8709802021201032</v>
      </c>
      <c r="Y163" s="913">
        <v>9.5942562071849302</v>
      </c>
      <c r="Z163" s="913">
        <v>10.317532212249757</v>
      </c>
      <c r="AA163" s="913">
        <v>11.040808217314583</v>
      </c>
      <c r="AB163" s="913">
        <v>11.76408422237941</v>
      </c>
      <c r="AC163" s="913">
        <v>12.487360227444237</v>
      </c>
      <c r="AD163" s="913">
        <v>13.210636232509064</v>
      </c>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13"/>
      <c r="EK163" s="913"/>
      <c r="EL163" s="913"/>
      <c r="EM163" s="913"/>
      <c r="EN163" s="913"/>
      <c r="EO163" s="913"/>
      <c r="EP163" s="913"/>
      <c r="EQ163" s="913"/>
      <c r="ER163" s="913"/>
      <c r="ES163" s="913"/>
      <c r="ET163" s="913"/>
      <c r="EU163" s="913"/>
      <c r="EV163" s="913"/>
      <c r="EW163" s="913"/>
      <c r="EX163" s="913"/>
      <c r="EY163" s="913"/>
      <c r="EZ163" s="913"/>
      <c r="FA163" s="913"/>
      <c r="FB163" s="913"/>
      <c r="FC163" s="913"/>
      <c r="FD163" s="923"/>
    </row>
    <row r="164" spans="14:160" x14ac:dyDescent="0.25">
      <c r="N164" s="933" t="s">
        <v>249</v>
      </c>
      <c r="O164" s="913">
        <v>159.67290000000003</v>
      </c>
      <c r="P164" s="913">
        <v>159.67290000000003</v>
      </c>
      <c r="Q164" s="913">
        <v>159.67290000000003</v>
      </c>
      <c r="R164" s="913">
        <v>159.67290000000003</v>
      </c>
      <c r="S164" s="913">
        <v>159.67290000000003</v>
      </c>
      <c r="T164" s="913">
        <v>159.67290000000003</v>
      </c>
      <c r="U164" s="913">
        <v>159.67290000000003</v>
      </c>
      <c r="V164" s="913">
        <v>159.67290000000003</v>
      </c>
      <c r="W164" s="913">
        <v>159.67290000000003</v>
      </c>
      <c r="X164" s="913">
        <v>159.67290000000003</v>
      </c>
      <c r="Y164" s="913">
        <v>159.67290000000003</v>
      </c>
      <c r="Z164" s="913">
        <v>159.67290000000003</v>
      </c>
      <c r="AA164" s="913">
        <v>159.67290000000003</v>
      </c>
      <c r="AB164" s="913">
        <v>159.67290000000003</v>
      </c>
      <c r="AC164" s="913">
        <v>159.67290000000003</v>
      </c>
      <c r="AD164" s="913">
        <v>159.67290000000003</v>
      </c>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13"/>
      <c r="EK164" s="913"/>
      <c r="EL164" s="913"/>
      <c r="EM164" s="913"/>
      <c r="EN164" s="913"/>
      <c r="EO164" s="913"/>
      <c r="EP164" s="913"/>
      <c r="EQ164" s="913"/>
      <c r="ER164" s="913"/>
      <c r="ES164" s="913"/>
      <c r="ET164" s="913"/>
      <c r="EU164" s="913"/>
      <c r="EV164" s="913"/>
      <c r="EW164" s="913"/>
      <c r="EX164" s="913"/>
      <c r="EY164" s="913"/>
      <c r="EZ164" s="913"/>
      <c r="FA164" s="913"/>
      <c r="FB164" s="913"/>
      <c r="FC164" s="913"/>
      <c r="FD164" s="923"/>
    </row>
    <row r="165" spans="14:160" x14ac:dyDescent="0.25">
      <c r="N165" s="933"/>
      <c r="O165" s="913"/>
      <c r="P165" s="913"/>
      <c r="Q165" s="913"/>
      <c r="R165" s="913"/>
      <c r="S165" s="913"/>
      <c r="T165" s="913"/>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13"/>
      <c r="EK165" s="913"/>
      <c r="EL165" s="913"/>
      <c r="EM165" s="913"/>
      <c r="EN165" s="913"/>
      <c r="EO165" s="913"/>
      <c r="EP165" s="913"/>
      <c r="EQ165" s="913"/>
      <c r="ER165" s="913"/>
      <c r="ES165" s="913"/>
      <c r="ET165" s="913"/>
      <c r="EU165" s="913"/>
      <c r="EV165" s="913"/>
      <c r="EW165" s="913"/>
      <c r="EX165" s="913"/>
      <c r="EY165" s="913"/>
      <c r="EZ165" s="913"/>
      <c r="FA165" s="913"/>
      <c r="FB165" s="913"/>
      <c r="FC165" s="913"/>
      <c r="FD165" s="923"/>
    </row>
    <row r="166" spans="14:160"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13"/>
      <c r="EK166" s="913"/>
      <c r="EL166" s="913"/>
      <c r="EM166" s="913"/>
      <c r="EN166" s="913"/>
      <c r="EO166" s="913"/>
      <c r="EP166" s="913"/>
      <c r="EQ166" s="913"/>
      <c r="ER166" s="913"/>
      <c r="ES166" s="913"/>
      <c r="ET166" s="913"/>
      <c r="EU166" s="913"/>
      <c r="EV166" s="913"/>
      <c r="EW166" s="913"/>
      <c r="EX166" s="913"/>
      <c r="EY166" s="913"/>
      <c r="EZ166" s="913"/>
      <c r="FA166" s="913"/>
      <c r="FB166" s="913"/>
      <c r="FC166" s="913"/>
      <c r="FD166" s="923"/>
    </row>
    <row r="167" spans="14:160" x14ac:dyDescent="0.25">
      <c r="N167" s="922" t="s">
        <v>77</v>
      </c>
      <c r="O167" s="913">
        <v>344.58638015653668</v>
      </c>
      <c r="P167" s="913">
        <v>386.26525616160143</v>
      </c>
      <c r="Q167" s="913">
        <v>427.90413216666639</v>
      </c>
      <c r="R167" s="913">
        <v>469.54300817173123</v>
      </c>
      <c r="S167" s="913">
        <v>511.18188417679613</v>
      </c>
      <c r="T167" s="913">
        <v>552.82076018186081</v>
      </c>
      <c r="U167" s="913">
        <v>594.49963618692561</v>
      </c>
      <c r="V167" s="913">
        <v>636.13851219199057</v>
      </c>
      <c r="W167" s="913">
        <v>678.11138819705548</v>
      </c>
      <c r="X167" s="913">
        <v>719.75026420212021</v>
      </c>
      <c r="Y167" s="913">
        <v>761.4291402071849</v>
      </c>
      <c r="Z167" s="913">
        <v>803.0280162122499</v>
      </c>
      <c r="AA167" s="913">
        <v>844.7068922173147</v>
      </c>
      <c r="AB167" s="913">
        <v>886.34576822237977</v>
      </c>
      <c r="AC167" s="913">
        <v>927.98464422744439</v>
      </c>
      <c r="AD167" s="913">
        <v>969.62352023250889</v>
      </c>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13"/>
      <c r="EK167" s="913"/>
      <c r="EL167" s="913"/>
      <c r="EM167" s="913"/>
      <c r="EN167" s="913"/>
      <c r="EO167" s="913"/>
      <c r="EP167" s="913"/>
      <c r="EQ167" s="913"/>
      <c r="ER167" s="913"/>
      <c r="ES167" s="913"/>
      <c r="ET167" s="913"/>
      <c r="EU167" s="913"/>
      <c r="EV167" s="913"/>
      <c r="EW167" s="913"/>
      <c r="EX167" s="913"/>
      <c r="EY167" s="913"/>
      <c r="EZ167" s="913"/>
      <c r="FA167" s="913"/>
      <c r="FB167" s="913"/>
      <c r="FC167" s="913"/>
      <c r="FD167" s="923"/>
    </row>
    <row r="168" spans="14:160" x14ac:dyDescent="0.25">
      <c r="N168" s="922" t="s">
        <v>76</v>
      </c>
      <c r="O168" s="913">
        <v>43.073297519567085</v>
      </c>
      <c r="P168" s="913">
        <v>48.283157020200179</v>
      </c>
      <c r="Q168" s="913">
        <v>53.488016520833298</v>
      </c>
      <c r="R168" s="913">
        <v>58.692876021466404</v>
      </c>
      <c r="S168" s="913">
        <v>63.897735522099516</v>
      </c>
      <c r="T168" s="913">
        <v>69.102595022732601</v>
      </c>
      <c r="U168" s="913">
        <v>74.312454523365702</v>
      </c>
      <c r="V168" s="913">
        <v>79.517314023998821</v>
      </c>
      <c r="W168" s="913">
        <v>84.763923524631934</v>
      </c>
      <c r="X168" s="913">
        <v>89.968783025265026</v>
      </c>
      <c r="Y168" s="913">
        <v>95.178642525898113</v>
      </c>
      <c r="Z168" s="913">
        <v>100.37850202653124</v>
      </c>
      <c r="AA168" s="913">
        <v>105.58836152716434</v>
      </c>
      <c r="AB168" s="913">
        <v>110.79322102779747</v>
      </c>
      <c r="AC168" s="913">
        <v>115.99808052843055</v>
      </c>
      <c r="AD168" s="913">
        <v>121.20294002906361</v>
      </c>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13"/>
      <c r="EK168" s="913"/>
      <c r="EL168" s="913"/>
      <c r="EM168" s="913"/>
      <c r="EN168" s="913"/>
      <c r="EO168" s="913"/>
      <c r="EP168" s="913"/>
      <c r="EQ168" s="913"/>
      <c r="ER168" s="913"/>
      <c r="ES168" s="913"/>
      <c r="ET168" s="913"/>
      <c r="EU168" s="913"/>
      <c r="EV168" s="913"/>
      <c r="EW168" s="913"/>
      <c r="EX168" s="913"/>
      <c r="EY168" s="913"/>
      <c r="EZ168" s="913"/>
      <c r="FA168" s="913"/>
      <c r="FB168" s="913"/>
      <c r="FC168" s="913"/>
      <c r="FD168" s="923"/>
    </row>
    <row r="169" spans="14:160"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13"/>
      <c r="EK169" s="913"/>
      <c r="EL169" s="913"/>
      <c r="EM169" s="913"/>
      <c r="EN169" s="913"/>
      <c r="EO169" s="913"/>
      <c r="EP169" s="913"/>
      <c r="EQ169" s="913"/>
      <c r="ER169" s="913"/>
      <c r="ES169" s="913"/>
      <c r="ET169" s="913"/>
      <c r="EU169" s="913"/>
      <c r="EV169" s="913"/>
      <c r="EW169" s="913"/>
      <c r="EX169" s="913"/>
      <c r="EY169" s="913"/>
      <c r="EZ169" s="913"/>
      <c r="FA169" s="913"/>
      <c r="FB169" s="913"/>
      <c r="FC169" s="913"/>
      <c r="FD169" s="923"/>
    </row>
    <row r="170" spans="14:160"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13"/>
      <c r="EK170" s="913"/>
      <c r="EL170" s="913"/>
      <c r="EM170" s="913"/>
      <c r="EN170" s="913"/>
      <c r="EO170" s="913"/>
      <c r="EP170" s="913"/>
      <c r="EQ170" s="913"/>
      <c r="ER170" s="913"/>
      <c r="ES170" s="913"/>
      <c r="ET170" s="913"/>
      <c r="EU170" s="913"/>
      <c r="EV170" s="913"/>
      <c r="EW170" s="913"/>
      <c r="EX170" s="913"/>
      <c r="EY170" s="913"/>
      <c r="EZ170" s="913"/>
      <c r="FA170" s="913"/>
      <c r="FB170" s="913"/>
      <c r="FC170" s="913"/>
      <c r="FD170" s="923"/>
    </row>
    <row r="171" spans="14:160"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13"/>
      <c r="EK171" s="913"/>
      <c r="EL171" s="913"/>
      <c r="EM171" s="913"/>
      <c r="EN171" s="913"/>
      <c r="EO171" s="913"/>
      <c r="EP171" s="913"/>
      <c r="EQ171" s="913"/>
      <c r="ER171" s="913"/>
      <c r="ES171" s="913"/>
      <c r="ET171" s="913"/>
      <c r="EU171" s="913"/>
      <c r="EV171" s="913"/>
      <c r="EW171" s="913"/>
      <c r="EX171" s="913"/>
      <c r="EY171" s="913"/>
      <c r="EZ171" s="913"/>
      <c r="FA171" s="913"/>
      <c r="FB171" s="913"/>
      <c r="FC171" s="913"/>
      <c r="FD171" s="923"/>
    </row>
    <row r="172" spans="14:160"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13"/>
      <c r="EK172" s="913"/>
      <c r="EL172" s="913"/>
      <c r="EM172" s="913"/>
      <c r="EN172" s="913"/>
      <c r="EO172" s="913"/>
      <c r="EP172" s="913"/>
      <c r="EQ172" s="913"/>
      <c r="ER172" s="913"/>
      <c r="ES172" s="913"/>
      <c r="ET172" s="913"/>
      <c r="EU172" s="913"/>
      <c r="EV172" s="913"/>
      <c r="EW172" s="913"/>
      <c r="EX172" s="913"/>
      <c r="EY172" s="913"/>
      <c r="EZ172" s="913"/>
      <c r="FA172" s="913"/>
      <c r="FB172" s="913"/>
      <c r="FC172" s="913"/>
      <c r="FD172" s="923"/>
    </row>
    <row r="173" spans="14:160"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13"/>
      <c r="EK173" s="913"/>
      <c r="EL173" s="913"/>
      <c r="EM173" s="913"/>
      <c r="EN173" s="913"/>
      <c r="EO173" s="913"/>
      <c r="EP173" s="913"/>
      <c r="EQ173" s="913"/>
      <c r="ER173" s="913"/>
      <c r="ES173" s="913"/>
      <c r="ET173" s="913"/>
      <c r="EU173" s="913"/>
      <c r="EV173" s="913"/>
      <c r="EW173" s="913"/>
      <c r="EX173" s="913"/>
      <c r="EY173" s="913"/>
      <c r="EZ173" s="913"/>
      <c r="FA173" s="913"/>
      <c r="FB173" s="913"/>
      <c r="FC173" s="913"/>
      <c r="FD173" s="923"/>
    </row>
    <row r="174" spans="14:160"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13"/>
      <c r="EK174" s="913"/>
      <c r="EL174" s="913"/>
      <c r="EM174" s="913"/>
      <c r="EN174" s="913"/>
      <c r="EO174" s="913"/>
      <c r="EP174" s="913"/>
      <c r="EQ174" s="913"/>
      <c r="ER174" s="913"/>
      <c r="ES174" s="913"/>
      <c r="ET174" s="913"/>
      <c r="EU174" s="913"/>
      <c r="EV174" s="913"/>
      <c r="EW174" s="913"/>
      <c r="EX174" s="913"/>
      <c r="EY174" s="913"/>
      <c r="EZ174" s="913"/>
      <c r="FA174" s="913"/>
      <c r="FB174" s="913"/>
      <c r="FC174" s="913"/>
      <c r="FD174" s="923"/>
    </row>
    <row r="175" spans="14:160"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13"/>
      <c r="EK175" s="913"/>
      <c r="EL175" s="913"/>
      <c r="EM175" s="913"/>
      <c r="EN175" s="913"/>
      <c r="EO175" s="913"/>
      <c r="EP175" s="913"/>
      <c r="EQ175" s="913"/>
      <c r="ER175" s="913"/>
      <c r="ES175" s="913"/>
      <c r="ET175" s="913"/>
      <c r="EU175" s="913"/>
      <c r="EV175" s="913"/>
      <c r="EW175" s="913"/>
      <c r="EX175" s="913"/>
      <c r="EY175" s="913"/>
      <c r="EZ175" s="913"/>
      <c r="FA175" s="913"/>
      <c r="FB175" s="913"/>
      <c r="FC175" s="913"/>
      <c r="FD175" s="923"/>
    </row>
    <row r="176" spans="14:160"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13"/>
      <c r="EK176" s="913"/>
      <c r="EL176" s="913"/>
      <c r="EM176" s="913"/>
      <c r="EN176" s="913"/>
      <c r="EO176" s="913"/>
      <c r="EP176" s="913"/>
      <c r="EQ176" s="913"/>
      <c r="ER176" s="913"/>
      <c r="ES176" s="913"/>
      <c r="ET176" s="913"/>
      <c r="EU176" s="913"/>
      <c r="EV176" s="913"/>
      <c r="EW176" s="913"/>
      <c r="EX176" s="913"/>
      <c r="EY176" s="913"/>
      <c r="EZ176" s="913"/>
      <c r="FA176" s="913"/>
      <c r="FB176" s="913"/>
      <c r="FC176" s="913"/>
      <c r="FD176" s="923"/>
    </row>
    <row r="177" spans="14:160"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13"/>
      <c r="EK177" s="913"/>
      <c r="EL177" s="913"/>
      <c r="EM177" s="913"/>
      <c r="EN177" s="913"/>
      <c r="EO177" s="913"/>
      <c r="EP177" s="913"/>
      <c r="EQ177" s="913"/>
      <c r="ER177" s="913"/>
      <c r="ES177" s="913"/>
      <c r="ET177" s="913"/>
      <c r="EU177" s="913"/>
      <c r="EV177" s="913"/>
      <c r="EW177" s="913"/>
      <c r="EX177" s="913"/>
      <c r="EY177" s="913"/>
      <c r="EZ177" s="913"/>
      <c r="FA177" s="913"/>
      <c r="FB177" s="913"/>
      <c r="FC177" s="913"/>
      <c r="FD177" s="923"/>
    </row>
    <row r="178" spans="14:160"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13"/>
      <c r="AX178" s="913"/>
      <c r="AY178" s="913"/>
      <c r="AZ178" s="913"/>
      <c r="BA178" s="913"/>
      <c r="BB178" s="913"/>
      <c r="BC178" s="913"/>
      <c r="BD178" s="913"/>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c r="BY178" s="913"/>
      <c r="BZ178" s="913"/>
      <c r="CA178" s="913"/>
      <c r="CB178" s="913"/>
      <c r="CC178" s="913"/>
      <c r="CD178" s="913"/>
      <c r="CE178" s="913"/>
      <c r="CF178" s="913"/>
      <c r="CG178" s="913"/>
      <c r="CH178" s="913"/>
      <c r="CI178" s="913"/>
      <c r="CJ178" s="913"/>
      <c r="CK178" s="913"/>
      <c r="CL178" s="913"/>
      <c r="CM178" s="913"/>
      <c r="CN178" s="913"/>
      <c r="CO178" s="913"/>
      <c r="CP178" s="913"/>
      <c r="CQ178" s="913"/>
      <c r="CR178" s="913"/>
      <c r="CS178" s="913"/>
      <c r="CT178" s="913"/>
      <c r="CU178" s="913"/>
      <c r="CV178" s="913"/>
      <c r="CW178" s="913"/>
      <c r="CX178" s="913"/>
      <c r="CY178" s="913"/>
      <c r="CZ178" s="913"/>
      <c r="DA178" s="913"/>
      <c r="DB178" s="913"/>
      <c r="DC178" s="913"/>
      <c r="DD178" s="913"/>
      <c r="DE178" s="913"/>
      <c r="DF178" s="913"/>
      <c r="DG178" s="913"/>
      <c r="DH178" s="913"/>
      <c r="DI178" s="913"/>
      <c r="DJ178" s="913"/>
      <c r="DK178" s="913"/>
      <c r="DL178" s="913"/>
      <c r="DM178" s="913"/>
      <c r="DN178" s="913"/>
      <c r="DO178" s="913"/>
      <c r="DP178" s="913"/>
      <c r="DQ178" s="913"/>
      <c r="DR178" s="913"/>
      <c r="DS178" s="913"/>
      <c r="DT178" s="913"/>
      <c r="DU178" s="913"/>
      <c r="DV178" s="913"/>
      <c r="DW178" s="913"/>
      <c r="DX178" s="913"/>
      <c r="DY178" s="913"/>
      <c r="DZ178" s="913"/>
      <c r="EA178" s="913"/>
      <c r="EB178" s="913"/>
      <c r="EC178" s="913"/>
      <c r="ED178" s="913"/>
      <c r="EE178" s="913"/>
      <c r="EF178" s="913"/>
      <c r="EG178" s="913"/>
      <c r="EH178" s="913"/>
      <c r="EI178" s="913"/>
      <c r="EJ178" s="913"/>
      <c r="EK178" s="913"/>
      <c r="EL178" s="913"/>
      <c r="EM178" s="913"/>
      <c r="EN178" s="913"/>
      <c r="EO178" s="913"/>
      <c r="EP178" s="913"/>
      <c r="EQ178" s="913"/>
      <c r="ER178" s="913"/>
      <c r="ES178" s="913"/>
      <c r="ET178" s="913"/>
      <c r="EU178" s="913"/>
      <c r="EV178" s="913"/>
      <c r="EW178" s="913"/>
      <c r="EX178" s="913"/>
      <c r="EY178" s="913"/>
      <c r="EZ178" s="913"/>
      <c r="FA178" s="913"/>
      <c r="FB178" s="913"/>
      <c r="FC178" s="913"/>
      <c r="FD178" s="923"/>
    </row>
    <row r="179" spans="14:160" x14ac:dyDescent="0.25">
      <c r="N179" s="928"/>
      <c r="O179" s="929"/>
      <c r="P179" s="929"/>
      <c r="Q179" s="929"/>
      <c r="R179" s="929"/>
      <c r="S179" s="929"/>
      <c r="T179" s="929"/>
      <c r="U179" s="929"/>
      <c r="V179" s="929"/>
      <c r="W179" s="929"/>
      <c r="X179" s="929"/>
      <c r="Y179" s="929"/>
      <c r="Z179" s="929"/>
      <c r="AA179" s="929"/>
      <c r="AB179" s="929"/>
      <c r="AC179" s="929"/>
      <c r="AD179" s="929"/>
      <c r="AE179" s="929"/>
      <c r="AF179" s="929"/>
      <c r="AG179" s="929"/>
      <c r="AH179" s="929"/>
      <c r="AI179" s="929"/>
      <c r="AJ179" s="929"/>
      <c r="AK179" s="929"/>
      <c r="AL179" s="929"/>
      <c r="AM179" s="929"/>
      <c r="AN179" s="929"/>
      <c r="AO179" s="929"/>
      <c r="AP179" s="929"/>
      <c r="AQ179" s="929"/>
      <c r="AR179" s="929"/>
      <c r="AS179" s="929"/>
      <c r="AT179" s="929"/>
      <c r="AU179" s="929"/>
      <c r="AV179" s="929"/>
      <c r="AW179" s="929"/>
      <c r="AX179" s="929"/>
      <c r="AY179" s="929"/>
      <c r="AZ179" s="929"/>
      <c r="BA179" s="929"/>
      <c r="BB179" s="929"/>
      <c r="BC179" s="929"/>
      <c r="BD179" s="929"/>
      <c r="BE179" s="929"/>
      <c r="BF179" s="929"/>
      <c r="BG179" s="929"/>
      <c r="BH179" s="929"/>
      <c r="BI179" s="929"/>
      <c r="BJ179" s="929"/>
      <c r="BK179" s="929"/>
      <c r="BL179" s="929"/>
      <c r="BM179" s="929"/>
      <c r="BN179" s="929"/>
      <c r="BO179" s="929"/>
      <c r="BP179" s="929"/>
      <c r="BQ179" s="929"/>
      <c r="BR179" s="929"/>
      <c r="BS179" s="929"/>
      <c r="BT179" s="929"/>
      <c r="BU179" s="929"/>
      <c r="BV179" s="929"/>
      <c r="BW179" s="929"/>
      <c r="BX179" s="929"/>
      <c r="BY179" s="929"/>
      <c r="BZ179" s="929"/>
      <c r="CA179" s="929"/>
      <c r="CB179" s="929"/>
      <c r="CC179" s="929"/>
      <c r="CD179" s="929"/>
      <c r="CE179" s="929"/>
      <c r="CF179" s="929"/>
      <c r="CG179" s="929"/>
      <c r="CH179" s="929"/>
      <c r="CI179" s="929"/>
      <c r="CJ179" s="929"/>
      <c r="CK179" s="929"/>
      <c r="CL179" s="929"/>
      <c r="CM179" s="929"/>
      <c r="CN179" s="929"/>
      <c r="CO179" s="929"/>
      <c r="CP179" s="929"/>
      <c r="CQ179" s="929"/>
      <c r="CR179" s="929"/>
      <c r="CS179" s="929"/>
      <c r="CT179" s="929"/>
      <c r="CU179" s="929"/>
      <c r="CV179" s="929"/>
      <c r="CW179" s="929"/>
      <c r="CX179" s="929"/>
      <c r="CY179" s="929"/>
      <c r="CZ179" s="929"/>
      <c r="DA179" s="929"/>
      <c r="DB179" s="929"/>
      <c r="DC179" s="929"/>
      <c r="DD179" s="929"/>
      <c r="DE179" s="929"/>
      <c r="DF179" s="929"/>
      <c r="DG179" s="929"/>
      <c r="DH179" s="929"/>
      <c r="DI179" s="929"/>
      <c r="DJ179" s="929"/>
      <c r="DK179" s="929"/>
      <c r="DL179" s="929"/>
      <c r="DM179" s="929"/>
      <c r="DN179" s="929"/>
      <c r="DO179" s="929"/>
      <c r="DP179" s="929"/>
      <c r="DQ179" s="929"/>
      <c r="DR179" s="929"/>
      <c r="DS179" s="929"/>
      <c r="DT179" s="929"/>
      <c r="DU179" s="929"/>
      <c r="DV179" s="929"/>
      <c r="DW179" s="929"/>
      <c r="DX179" s="929"/>
      <c r="DY179" s="929"/>
      <c r="DZ179" s="929"/>
      <c r="EA179" s="929"/>
      <c r="EB179" s="929"/>
      <c r="EC179" s="929"/>
      <c r="ED179" s="929"/>
      <c r="EE179" s="929"/>
      <c r="EF179" s="929"/>
      <c r="EG179" s="929"/>
      <c r="EH179" s="929"/>
      <c r="EI179" s="929"/>
      <c r="EJ179" s="929"/>
      <c r="EK179" s="929"/>
      <c r="EL179" s="929"/>
      <c r="EM179" s="929"/>
      <c r="EN179" s="929"/>
      <c r="EO179" s="929"/>
      <c r="EP179" s="929"/>
      <c r="EQ179" s="929"/>
      <c r="ER179" s="929"/>
      <c r="ES179" s="929"/>
      <c r="ET179" s="929"/>
      <c r="EU179" s="929"/>
      <c r="EV179" s="929"/>
      <c r="EW179" s="929"/>
      <c r="EX179" s="929"/>
      <c r="EY179" s="929"/>
      <c r="EZ179" s="929"/>
      <c r="FA179" s="929"/>
      <c r="FB179" s="929"/>
      <c r="FC179" s="929"/>
      <c r="FD179" s="930"/>
    </row>
    <row r="282" spans="24:25" x14ac:dyDescent="0.25">
      <c r="X282" s="110"/>
      <c r="Y282" s="109"/>
    </row>
  </sheetData>
  <mergeCells count="6">
    <mergeCell ref="N71:N72"/>
    <mergeCell ref="N44:N45"/>
    <mergeCell ref="D17:D18"/>
    <mergeCell ref="E17:E18"/>
    <mergeCell ref="F17:F18"/>
    <mergeCell ref="G17:G18"/>
  </mergeCells>
  <conditionalFormatting sqref="R47:AA47 R50:AA50 R53:AA53 R56:AA56">
    <cfRule type="colorScale" priority="49">
      <colorScale>
        <cfvo type="min"/>
        <cfvo type="percentile" val="50"/>
        <cfvo type="max"/>
        <color rgb="FF63BE7B"/>
        <color rgb="FFFFEB84"/>
        <color rgb="FFF8696B"/>
      </colorScale>
    </cfRule>
  </conditionalFormatting>
  <conditionalFormatting sqref="AA47 AA50 AA53 AA56 AA59">
    <cfRule type="colorScale" priority="47">
      <colorScale>
        <cfvo type="min"/>
        <cfvo type="percentile" val="50"/>
        <cfvo type="max"/>
        <color rgb="FF63BE7B"/>
        <color rgb="FFFFEB84"/>
        <color rgb="FFF8696B"/>
      </colorScale>
    </cfRule>
  </conditionalFormatting>
  <conditionalFormatting sqref="R47:AA47 R50:AA50 R53:AA53 R56:AA56 AA59">
    <cfRule type="colorScale" priority="45">
      <colorScale>
        <cfvo type="min"/>
        <cfvo type="percentile" val="50"/>
        <cfvo type="max"/>
        <color rgb="FF63BE7B"/>
        <color rgb="FFFFEB84"/>
        <color rgb="FFF8696B"/>
      </colorScale>
    </cfRule>
  </conditionalFormatting>
  <conditionalFormatting sqref="R47:AA47 R50:AA50 R53:AA53 R56:AA56 AA59">
    <cfRule type="colorScale" priority="41">
      <colorScale>
        <cfvo type="min"/>
        <cfvo type="percentile" val="50"/>
        <cfvo type="max"/>
        <color rgb="FF63BE7B"/>
        <color rgb="FFFFEB84"/>
        <color rgb="FFF8696B"/>
      </colorScale>
    </cfRule>
  </conditionalFormatting>
  <conditionalFormatting sqref="R47:AA47 R50:AA50 R53:AA53 R56:AA56 R59:AA59">
    <cfRule type="colorScale" priority="40">
      <colorScale>
        <cfvo type="min"/>
        <cfvo type="percentile" val="50"/>
        <cfvo type="max"/>
        <color rgb="FF63BE7B"/>
        <color rgb="FFFFEB84"/>
        <color rgb="FFF8696B"/>
      </colorScale>
    </cfRule>
  </conditionalFormatting>
  <conditionalFormatting sqref="R47:AA47 R50:AA50 R53:AA53 R56:AA56 R59:AA59">
    <cfRule type="colorScale" priority="39">
      <colorScale>
        <cfvo type="min"/>
        <cfvo type="percentile" val="50"/>
        <cfvo type="max"/>
        <color rgb="FF63BE7B"/>
        <color rgb="FFFFEB84"/>
        <color rgb="FFF8696B"/>
      </colorScale>
    </cfRule>
  </conditionalFormatting>
  <conditionalFormatting sqref="R46:Z46">
    <cfRule type="colorScale" priority="38">
      <colorScale>
        <cfvo type="min"/>
        <cfvo type="percentile" val="50"/>
        <cfvo type="max"/>
        <color rgb="FF63BE7B"/>
        <color rgb="FFFFEB84"/>
        <color rgb="FFF8696B"/>
      </colorScale>
    </cfRule>
  </conditionalFormatting>
  <conditionalFormatting sqref="AA46">
    <cfRule type="colorScale" priority="37">
      <colorScale>
        <cfvo type="min"/>
        <cfvo type="percentile" val="50"/>
        <cfvo type="max"/>
        <color rgb="FF63BE7B"/>
        <color rgb="FFFFEB84"/>
        <color rgb="FFF8696B"/>
      </colorScale>
    </cfRule>
  </conditionalFormatting>
  <conditionalFormatting sqref="R46:AA46">
    <cfRule type="colorScale" priority="36">
      <colorScale>
        <cfvo type="min"/>
        <cfvo type="percentile" val="50"/>
        <cfvo type="max"/>
        <color rgb="FF63BE7B"/>
        <color rgb="FFFFEB84"/>
        <color rgb="FFF8696B"/>
      </colorScale>
    </cfRule>
  </conditionalFormatting>
  <conditionalFormatting sqref="R48:Z48">
    <cfRule type="colorScale" priority="35">
      <colorScale>
        <cfvo type="min"/>
        <cfvo type="percentile" val="50"/>
        <cfvo type="max"/>
        <color rgb="FF63BE7B"/>
        <color rgb="FFFFEB84"/>
        <color rgb="FFF8696B"/>
      </colorScale>
    </cfRule>
  </conditionalFormatting>
  <conditionalFormatting sqref="AA48">
    <cfRule type="colorScale" priority="34">
      <colorScale>
        <cfvo type="min"/>
        <cfvo type="percentile" val="50"/>
        <cfvo type="max"/>
        <color rgb="FF63BE7B"/>
        <color rgb="FFFFEB84"/>
        <color rgb="FFF8696B"/>
      </colorScale>
    </cfRule>
  </conditionalFormatting>
  <conditionalFormatting sqref="R48:AA48">
    <cfRule type="colorScale" priority="33">
      <colorScale>
        <cfvo type="min"/>
        <cfvo type="percentile" val="50"/>
        <cfvo type="max"/>
        <color rgb="FF63BE7B"/>
        <color rgb="FFFFEB84"/>
        <color rgb="FFF8696B"/>
      </colorScale>
    </cfRule>
  </conditionalFormatting>
  <conditionalFormatting sqref="R49:Z49">
    <cfRule type="colorScale" priority="32">
      <colorScale>
        <cfvo type="min"/>
        <cfvo type="percentile" val="50"/>
        <cfvo type="max"/>
        <color rgb="FF63BE7B"/>
        <color rgb="FFFFEB84"/>
        <color rgb="FFF8696B"/>
      </colorScale>
    </cfRule>
  </conditionalFormatting>
  <conditionalFormatting sqref="AA49">
    <cfRule type="colorScale" priority="31">
      <colorScale>
        <cfvo type="min"/>
        <cfvo type="percentile" val="50"/>
        <cfvo type="max"/>
        <color rgb="FF63BE7B"/>
        <color rgb="FFFFEB84"/>
        <color rgb="FFF8696B"/>
      </colorScale>
    </cfRule>
  </conditionalFormatting>
  <conditionalFormatting sqref="R49:AA49">
    <cfRule type="colorScale" priority="30">
      <colorScale>
        <cfvo type="min"/>
        <cfvo type="percentile" val="50"/>
        <cfvo type="max"/>
        <color rgb="FF63BE7B"/>
        <color rgb="FFFFEB84"/>
        <color rgb="FFF8696B"/>
      </colorScale>
    </cfRule>
  </conditionalFormatting>
  <conditionalFormatting sqref="R51:Z51">
    <cfRule type="colorScale" priority="29">
      <colorScale>
        <cfvo type="min"/>
        <cfvo type="percentile" val="50"/>
        <cfvo type="max"/>
        <color rgb="FF63BE7B"/>
        <color rgb="FFFFEB84"/>
        <color rgb="FFF8696B"/>
      </colorScale>
    </cfRule>
  </conditionalFormatting>
  <conditionalFormatting sqref="AA51">
    <cfRule type="colorScale" priority="28">
      <colorScale>
        <cfvo type="min"/>
        <cfvo type="percentile" val="50"/>
        <cfvo type="max"/>
        <color rgb="FF63BE7B"/>
        <color rgb="FFFFEB84"/>
        <color rgb="FFF8696B"/>
      </colorScale>
    </cfRule>
  </conditionalFormatting>
  <conditionalFormatting sqref="R51:AA51">
    <cfRule type="colorScale" priority="27">
      <colorScale>
        <cfvo type="min"/>
        <cfvo type="percentile" val="50"/>
        <cfvo type="max"/>
        <color rgb="FF63BE7B"/>
        <color rgb="FFFFEB84"/>
        <color rgb="FFF8696B"/>
      </colorScale>
    </cfRule>
  </conditionalFormatting>
  <conditionalFormatting sqref="R52:Z52">
    <cfRule type="colorScale" priority="23">
      <colorScale>
        <cfvo type="min"/>
        <cfvo type="percentile" val="50"/>
        <cfvo type="max"/>
        <color rgb="FF63BE7B"/>
        <color rgb="FFFFEB84"/>
        <color rgb="FFF8696B"/>
      </colorScale>
    </cfRule>
  </conditionalFormatting>
  <conditionalFormatting sqref="AA52">
    <cfRule type="colorScale" priority="22">
      <colorScale>
        <cfvo type="min"/>
        <cfvo type="percentile" val="50"/>
        <cfvo type="max"/>
        <color rgb="FF63BE7B"/>
        <color rgb="FFFFEB84"/>
        <color rgb="FFF8696B"/>
      </colorScale>
    </cfRule>
  </conditionalFormatting>
  <conditionalFormatting sqref="R52:AA52">
    <cfRule type="colorScale" priority="21">
      <colorScale>
        <cfvo type="min"/>
        <cfvo type="percentile" val="50"/>
        <cfvo type="max"/>
        <color rgb="FF63BE7B"/>
        <color rgb="FFFFEB84"/>
        <color rgb="FFF8696B"/>
      </colorScale>
    </cfRule>
  </conditionalFormatting>
  <conditionalFormatting sqref="R54:Z54">
    <cfRule type="colorScale" priority="20">
      <colorScale>
        <cfvo type="min"/>
        <cfvo type="percentile" val="50"/>
        <cfvo type="max"/>
        <color rgb="FF63BE7B"/>
        <color rgb="FFFFEB84"/>
        <color rgb="FFF8696B"/>
      </colorScale>
    </cfRule>
  </conditionalFormatting>
  <conditionalFormatting sqref="AA54">
    <cfRule type="colorScale" priority="19">
      <colorScale>
        <cfvo type="min"/>
        <cfvo type="percentile" val="50"/>
        <cfvo type="max"/>
        <color rgb="FF63BE7B"/>
        <color rgb="FFFFEB84"/>
        <color rgb="FFF8696B"/>
      </colorScale>
    </cfRule>
  </conditionalFormatting>
  <conditionalFormatting sqref="R54:AA54">
    <cfRule type="colorScale" priority="18">
      <colorScale>
        <cfvo type="min"/>
        <cfvo type="percentile" val="50"/>
        <cfvo type="max"/>
        <color rgb="FF63BE7B"/>
        <color rgb="FFFFEB84"/>
        <color rgb="FFF8696B"/>
      </colorScale>
    </cfRule>
  </conditionalFormatting>
  <conditionalFormatting sqref="R55:Z55">
    <cfRule type="colorScale" priority="17">
      <colorScale>
        <cfvo type="min"/>
        <cfvo type="percentile" val="50"/>
        <cfvo type="max"/>
        <color rgb="FF63BE7B"/>
        <color rgb="FFFFEB84"/>
        <color rgb="FFF8696B"/>
      </colorScale>
    </cfRule>
  </conditionalFormatting>
  <conditionalFormatting sqref="AA55">
    <cfRule type="colorScale" priority="16">
      <colorScale>
        <cfvo type="min"/>
        <cfvo type="percentile" val="50"/>
        <cfvo type="max"/>
        <color rgb="FF63BE7B"/>
        <color rgb="FFFFEB84"/>
        <color rgb="FFF8696B"/>
      </colorScale>
    </cfRule>
  </conditionalFormatting>
  <conditionalFormatting sqref="R55:AA55">
    <cfRule type="colorScale" priority="15">
      <colorScale>
        <cfvo type="min"/>
        <cfvo type="percentile" val="50"/>
        <cfvo type="max"/>
        <color rgb="FF63BE7B"/>
        <color rgb="FFFFEB84"/>
        <color rgb="FFF8696B"/>
      </colorScale>
    </cfRule>
  </conditionalFormatting>
  <conditionalFormatting sqref="R57:Z58">
    <cfRule type="colorScale" priority="14">
      <colorScale>
        <cfvo type="min"/>
        <cfvo type="percentile" val="50"/>
        <cfvo type="max"/>
        <color rgb="FF63BE7B"/>
        <color rgb="FFFFEB84"/>
        <color rgb="FFF8696B"/>
      </colorScale>
    </cfRule>
  </conditionalFormatting>
  <conditionalFormatting sqref="AA57:AA58">
    <cfRule type="colorScale" priority="13">
      <colorScale>
        <cfvo type="min"/>
        <cfvo type="percentile" val="50"/>
        <cfvo type="max"/>
        <color rgb="FF63BE7B"/>
        <color rgb="FFFFEB84"/>
        <color rgb="FFF8696B"/>
      </colorScale>
    </cfRule>
  </conditionalFormatting>
  <conditionalFormatting sqref="R57:AA58">
    <cfRule type="colorScale" priority="12">
      <colorScale>
        <cfvo type="min"/>
        <cfvo type="percentile" val="50"/>
        <cfvo type="max"/>
        <color rgb="FF63BE7B"/>
        <color rgb="FFFFEB84"/>
        <color rgb="FFF8696B"/>
      </colorScale>
    </cfRule>
  </conditionalFormatting>
  <conditionalFormatting sqref="R60:Z61">
    <cfRule type="colorScale" priority="11">
      <colorScale>
        <cfvo type="min"/>
        <cfvo type="percentile" val="50"/>
        <cfvo type="max"/>
        <color rgb="FF63BE7B"/>
        <color rgb="FFFFEB84"/>
        <color rgb="FFF8696B"/>
      </colorScale>
    </cfRule>
  </conditionalFormatting>
  <conditionalFormatting sqref="AA60:AA61">
    <cfRule type="colorScale" priority="10">
      <colorScale>
        <cfvo type="min"/>
        <cfvo type="percentile" val="50"/>
        <cfvo type="max"/>
        <color rgb="FF63BE7B"/>
        <color rgb="FFFFEB84"/>
        <color rgb="FFF8696B"/>
      </colorScale>
    </cfRule>
  </conditionalFormatting>
  <conditionalFormatting sqref="R60:AA61">
    <cfRule type="colorScale" priority="9">
      <colorScale>
        <cfvo type="min"/>
        <cfvo type="percentile" val="50"/>
        <cfvo type="max"/>
        <color rgb="FF63BE7B"/>
        <color rgb="FFFFEB84"/>
        <color rgb="FFF8696B"/>
      </colorScale>
    </cfRule>
  </conditionalFormatting>
  <conditionalFormatting sqref="R46:AA61">
    <cfRule type="colorScale" priority="7">
      <colorScale>
        <cfvo type="min"/>
        <cfvo type="percentile" val="50"/>
        <cfvo type="max"/>
        <color rgb="FF63BE7B"/>
        <color rgb="FFFFEB84"/>
        <color rgb="FFF8696B"/>
      </colorScale>
    </cfRule>
  </conditionalFormatting>
  <conditionalFormatting sqref="R46:AJ61">
    <cfRule type="colorScale" priority="6">
      <colorScale>
        <cfvo type="min"/>
        <cfvo type="percentile" val="50"/>
        <cfvo type="max"/>
        <color rgb="FF63BE7B"/>
        <color rgb="FFFFEB84"/>
        <color rgb="FFF8696B"/>
      </colorScale>
    </cfRule>
  </conditionalFormatting>
  <conditionalFormatting sqref="Q111:Z121 R122:Z125">
    <cfRule type="colorScale" priority="4">
      <colorScale>
        <cfvo type="min"/>
        <cfvo type="percentile" val="50"/>
        <cfvo type="max"/>
        <color rgb="FF63BE7B"/>
        <color rgb="FFFFEB84"/>
        <color rgb="FFF8696B"/>
      </colorScale>
    </cfRule>
  </conditionalFormatting>
  <conditionalFormatting sqref="Q92:Z106">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8.42578125" customWidth="1"/>
    <col min="4" max="4" width="15.7109375" customWidth="1"/>
    <col min="5" max="5" width="17.85546875" customWidth="1"/>
    <col min="6" max="6" width="12.7109375" customWidth="1"/>
    <col min="7" max="7" width="16" customWidth="1"/>
    <col min="8" max="8" width="15" customWidth="1"/>
    <col min="9" max="9" width="17.710937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28515625" customWidth="1"/>
    <col min="19" max="19" width="13.42578125" customWidth="1"/>
    <col min="20" max="20" width="10.28515625" customWidth="1"/>
    <col min="21" max="21" width="19.710937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3.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9" ht="21.75" thickBot="1" x14ac:dyDescent="0.4">
      <c r="B1" s="188" t="s">
        <v>36</v>
      </c>
      <c r="C1" s="213" t="s">
        <v>207</v>
      </c>
      <c r="D1" s="189"/>
      <c r="E1" s="189"/>
      <c r="F1" s="189"/>
      <c r="G1" s="189"/>
      <c r="H1" s="189"/>
      <c r="I1" s="190"/>
    </row>
    <row r="2" spans="2:259"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9" ht="18.75" x14ac:dyDescent="0.3">
      <c r="B3" s="214" t="s">
        <v>181</v>
      </c>
      <c r="C3" s="187" t="str">
        <f>IF(AND('DATA ENTRY'!B22="mm",'DATA ENTRY'!B23&gt;=406,'DATA ENTRY'!B23&lt;=406.4),16,IF('DATA ENTRY'!B22="mm",'DATA ENTRY'!B23/25.4,'DATA ENTRY'!B23))</f>
        <v>ENTER LENGTH</v>
      </c>
      <c r="D3" s="179"/>
      <c r="E3" s="40"/>
      <c r="F3" s="40"/>
      <c r="G3" s="215" t="s">
        <v>229</v>
      </c>
      <c r="H3" s="187">
        <v>16</v>
      </c>
      <c r="I3" s="868">
        <v>104.01574803149607</v>
      </c>
      <c r="N3" s="41"/>
      <c r="O3" s="40"/>
      <c r="P3" s="40"/>
      <c r="Q3" s="40"/>
      <c r="R3" s="40"/>
      <c r="S3" s="40"/>
      <c r="T3" s="40"/>
      <c r="U3" s="40"/>
      <c r="V3" s="40"/>
      <c r="W3" s="169"/>
    </row>
    <row r="4" spans="2:259" ht="18.75" x14ac:dyDescent="0.3">
      <c r="B4" s="214" t="s">
        <v>38</v>
      </c>
      <c r="C4" s="187" t="str">
        <f>IF(AND('DATA ENTRY'!B22="mm",'DATA ENTRY'!B24&gt;=406,'DATA ENTRY'!B24&lt;=406.4),16,IF('DATA ENTRY'!B22="mm",'DATA ENTRY'!B24/25.4,'DATA ENTRY'!B24))</f>
        <v>ENTER WIDTH</v>
      </c>
      <c r="D4" s="179"/>
      <c r="E4" s="40"/>
      <c r="F4" s="40"/>
      <c r="G4" s="215" t="s">
        <v>230</v>
      </c>
      <c r="H4" s="187">
        <v>16</v>
      </c>
      <c r="I4" s="868">
        <v>104.01574803149607</v>
      </c>
      <c r="N4" s="41"/>
      <c r="O4" s="173" t="str">
        <f>C1&amp;"_MODEL"</f>
        <v>MCDE635_MODEL</v>
      </c>
      <c r="P4" s="173" t="s">
        <v>235</v>
      </c>
      <c r="Q4" s="173"/>
      <c r="R4" s="173"/>
      <c r="S4" s="173"/>
      <c r="T4" s="40"/>
      <c r="U4" s="40"/>
      <c r="V4" s="179" t="s">
        <v>93</v>
      </c>
      <c r="W4" s="169"/>
    </row>
    <row r="5" spans="2:259" ht="18.75" x14ac:dyDescent="0.3">
      <c r="B5" s="214" t="s">
        <v>39</v>
      </c>
      <c r="C5" s="187" t="str">
        <f>IF('DATA ENTRY'!B22="mm",VALUE(FIXED('DATA ENTRY'!B25/25.4)),'DATA ENTRY'!B25)</f>
        <v>ENTER HEIGHT</v>
      </c>
      <c r="D5" s="179"/>
      <c r="E5" s="40"/>
      <c r="F5" s="40"/>
      <c r="G5" s="215" t="s">
        <v>231</v>
      </c>
      <c r="H5" s="187">
        <v>15.93</v>
      </c>
      <c r="I5" s="191">
        <v>74.430000000000007</v>
      </c>
      <c r="N5" s="171" t="s">
        <v>79</v>
      </c>
      <c r="O5" s="173" t="str">
        <f>C1&amp;"_FA"</f>
        <v>MCDE635_FA</v>
      </c>
      <c r="P5" s="175" t="str">
        <f>P22</f>
        <v/>
      </c>
      <c r="Q5" s="173" t="s">
        <v>42</v>
      </c>
      <c r="R5" s="40"/>
      <c r="S5" s="40"/>
      <c r="T5" s="40"/>
      <c r="U5" s="40"/>
      <c r="V5" s="173" t="str">
        <f>C1&amp;"_W"</f>
        <v>MCDE635_W</v>
      </c>
      <c r="W5" s="178" t="str">
        <f>C3</f>
        <v>ENTER LENGTH</v>
      </c>
    </row>
    <row r="6" spans="2:259" ht="18.75" x14ac:dyDescent="0.3">
      <c r="B6" s="214" t="s">
        <v>40</v>
      </c>
      <c r="C6" s="483" t="str">
        <f>IF('DATA ENTRY'!B22="mm",'DATA ENTRY'!B26*2.1188799727597,'DATA ENTRY'!B26)</f>
        <v>ENTER AIR VOLUME</v>
      </c>
      <c r="D6" s="215"/>
      <c r="E6" s="215"/>
      <c r="F6" s="40"/>
      <c r="G6" s="40"/>
      <c r="H6" s="40"/>
      <c r="I6" s="169"/>
      <c r="N6" s="171" t="s">
        <v>56</v>
      </c>
      <c r="O6" s="173" t="str">
        <f>C1&amp;"_FA%"</f>
        <v>MCDE635_FA%</v>
      </c>
      <c r="P6" s="176" t="e">
        <f>P24</f>
        <v>#VALUE!</v>
      </c>
      <c r="Q6" s="173" t="s">
        <v>13</v>
      </c>
      <c r="R6" s="40"/>
      <c r="S6" s="40"/>
      <c r="T6" s="40"/>
      <c r="U6" s="40"/>
      <c r="V6" s="173" t="str">
        <f>C1&amp;"_H"</f>
        <v>MCDE635_H</v>
      </c>
      <c r="W6" s="178" t="str">
        <f>C4</f>
        <v>ENTER WIDTH</v>
      </c>
    </row>
    <row r="7" spans="2:259" ht="18.75" x14ac:dyDescent="0.3">
      <c r="B7" s="214" t="s">
        <v>41</v>
      </c>
      <c r="C7" s="215" t="str">
        <f>'DATA ENTRY'!B27</f>
        <v>SELECT AIR DIRECTION</v>
      </c>
      <c r="D7" s="215"/>
      <c r="E7" s="215"/>
      <c r="F7" s="40"/>
      <c r="G7" s="40"/>
      <c r="H7" s="40"/>
      <c r="I7" s="169"/>
      <c r="N7" s="171" t="s">
        <v>82</v>
      </c>
      <c r="O7" s="173" t="str">
        <f>C1&amp;"_VEL"</f>
        <v>MCDE635_VEL</v>
      </c>
      <c r="P7" s="176" t="e">
        <f>P26</f>
        <v>#VALUE!</v>
      </c>
      <c r="Q7" s="173" t="s">
        <v>0</v>
      </c>
      <c r="R7" s="40"/>
      <c r="S7" s="40"/>
      <c r="T7" s="40"/>
      <c r="U7" s="40"/>
      <c r="V7" s="173" t="str">
        <f>C1&amp;"_SL"</f>
        <v>MCDE635_SL</v>
      </c>
      <c r="W7" s="178" t="e">
        <f>C9</f>
        <v>#VALUE!</v>
      </c>
    </row>
    <row r="8" spans="2:259" ht="18.75" x14ac:dyDescent="0.3">
      <c r="B8" s="214"/>
      <c r="C8" s="215"/>
      <c r="D8" s="215"/>
      <c r="E8" s="215"/>
      <c r="F8" s="40"/>
      <c r="G8" s="40"/>
      <c r="H8" s="40"/>
      <c r="I8" s="169"/>
      <c r="N8" s="171" t="s">
        <v>80</v>
      </c>
      <c r="O8" s="173" t="str">
        <f>C1&amp;"_Intake"</f>
        <v>MCDE635_Intake</v>
      </c>
      <c r="P8" s="177" t="e">
        <f>P27</f>
        <v>#VALUE!</v>
      </c>
      <c r="Q8" s="173" t="s">
        <v>85</v>
      </c>
      <c r="R8" s="40"/>
      <c r="S8" s="40"/>
      <c r="T8" s="40"/>
      <c r="U8" s="40"/>
      <c r="V8" s="173" t="str">
        <f>C1&amp;"_SW"</f>
        <v>MCDE635_SW</v>
      </c>
      <c r="W8" s="178" t="e">
        <f>F9</f>
        <v>#VALUE!</v>
      </c>
    </row>
    <row r="9" spans="2:259" ht="18.75" x14ac:dyDescent="0.3">
      <c r="B9" s="214" t="s">
        <v>183</v>
      </c>
      <c r="C9" s="462" t="e">
        <f>CEILING(C3/60,1)</f>
        <v>#VALUE!</v>
      </c>
      <c r="D9" s="215"/>
      <c r="E9" s="215" t="s">
        <v>60</v>
      </c>
      <c r="F9" s="462" t="e">
        <f>CEILING(C4/60,1)</f>
        <v>#VALUE!</v>
      </c>
      <c r="G9" s="40"/>
      <c r="H9" s="215" t="s">
        <v>61</v>
      </c>
      <c r="I9" s="463" t="e">
        <f>CEILING(C5/I5,1)</f>
        <v>#VALUE!</v>
      </c>
      <c r="N9" s="171" t="s">
        <v>81</v>
      </c>
      <c r="O9" s="173" t="str">
        <f>C1&amp;"_Exhaust"</f>
        <v>MCDE635_Exhaust</v>
      </c>
      <c r="P9" s="177" t="e">
        <f>P28</f>
        <v>#VALUE!</v>
      </c>
      <c r="Q9" s="173" t="s">
        <v>85</v>
      </c>
      <c r="R9" s="40"/>
      <c r="S9" s="40"/>
      <c r="T9" s="40"/>
      <c r="U9" s="40"/>
      <c r="V9" s="173" t="str">
        <f>C1&amp;"_TA"</f>
        <v>MCDE635_TA</v>
      </c>
      <c r="W9" s="178">
        <f>IF(OR(C3&lt;H3,C4&lt;H4,C5&lt;H5,C3&gt;I3,C4&gt;I4,C5&gt;I5),0,(C3*C4)/144)</f>
        <v>0</v>
      </c>
    </row>
    <row r="10" spans="2:259" ht="18.75" x14ac:dyDescent="0.3">
      <c r="B10" s="214" t="s">
        <v>184</v>
      </c>
      <c r="C10" s="462" t="e">
        <f>(C3/C9)</f>
        <v>#VALUE!</v>
      </c>
      <c r="D10" s="215"/>
      <c r="E10" s="215" t="s">
        <v>58</v>
      </c>
      <c r="F10" s="462" t="e">
        <f>(C4/F9)</f>
        <v>#VALUE!</v>
      </c>
      <c r="G10" s="40"/>
      <c r="H10" s="215" t="s">
        <v>51</v>
      </c>
      <c r="I10" s="463" t="e">
        <f>(C5/I9)</f>
        <v>#VALUE!</v>
      </c>
      <c r="N10" s="171" t="s">
        <v>86</v>
      </c>
      <c r="O10" s="173" t="str">
        <f>C1&amp;"_SEC"</f>
        <v>MCDE635_SEC</v>
      </c>
      <c r="P10" s="173">
        <f>IF(OR(C3&lt;H3,C4&lt;H4,C5&lt;H5,C3&gt;I3,C4&gt;I4,C5&gt;I5),0,D13)</f>
        <v>0</v>
      </c>
      <c r="Q10" s="173"/>
      <c r="R10" s="40"/>
      <c r="S10" s="40"/>
      <c r="T10" s="40"/>
      <c r="U10" s="40"/>
      <c r="V10" s="40"/>
      <c r="W10" s="169"/>
    </row>
    <row r="11" spans="2:259" ht="18.75" x14ac:dyDescent="0.3">
      <c r="B11" s="214"/>
      <c r="C11" s="215"/>
      <c r="D11" s="215"/>
      <c r="E11" s="215"/>
      <c r="F11" s="215"/>
      <c r="G11" s="40"/>
      <c r="H11" s="40"/>
      <c r="I11" s="169"/>
      <c r="N11" s="171" t="s">
        <v>83</v>
      </c>
      <c r="O11" s="173" t="str">
        <f>C1&amp;"_SECW"</f>
        <v>MCDE635_SECW</v>
      </c>
      <c r="P11" s="194" t="e">
        <f>IF(OR(D3&gt;I3,D4&gt;I4,D5&gt;I5),0,AB81)</f>
        <v>#VALUE!</v>
      </c>
      <c r="Q11" s="173" t="s">
        <v>72</v>
      </c>
      <c r="R11" s="40"/>
      <c r="S11" s="40"/>
      <c r="T11" s="40"/>
      <c r="U11" s="40"/>
      <c r="V11" s="40"/>
      <c r="W11" s="169"/>
    </row>
    <row r="12" spans="2:259" ht="19.5" thickBot="1" x14ac:dyDescent="0.35">
      <c r="B12" s="41"/>
      <c r="C12" s="214" t="s">
        <v>185</v>
      </c>
      <c r="D12" s="462" t="e">
        <f>C9*I9</f>
        <v>#VALUE!</v>
      </c>
      <c r="E12" s="215"/>
      <c r="F12" s="215" t="s">
        <v>186</v>
      </c>
      <c r="G12" s="462" t="e">
        <f>F9*I9</f>
        <v>#VALUE!</v>
      </c>
      <c r="H12" s="40"/>
      <c r="I12" s="169"/>
      <c r="N12" s="172" t="s">
        <v>84</v>
      </c>
      <c r="O12" s="174" t="str">
        <f>C1&amp;"_TW"</f>
        <v>MCDE635_TW</v>
      </c>
      <c r="P12" s="416">
        <f>IF(OR(C3&lt;H3,C4&lt;H4,C5&lt;H5,C3&gt;I3,C4&gt;I4,C5&gt;I5),0,AB80)</f>
        <v>0</v>
      </c>
      <c r="Q12" s="174" t="s">
        <v>72</v>
      </c>
      <c r="R12" s="43"/>
      <c r="S12" s="43"/>
      <c r="T12" s="43"/>
      <c r="U12" s="43"/>
      <c r="V12" s="43"/>
      <c r="W12" s="170"/>
    </row>
    <row r="13" spans="2:259" ht="18.75" x14ac:dyDescent="0.3">
      <c r="B13" s="41"/>
      <c r="C13" s="215" t="s">
        <v>187</v>
      </c>
      <c r="D13" s="462" t="e">
        <f>IF(OR(C10=0,F10=0,I10=0),0,((2*D12)+(2*G12)))</f>
        <v>#VALUE!</v>
      </c>
      <c r="F13" s="215" t="s">
        <v>337</v>
      </c>
      <c r="G13" s="462" t="e">
        <f>VALUE(RIGHT('FOR ENGINEERS'!F21,1))</f>
        <v>#N/A</v>
      </c>
      <c r="H13" s="40"/>
      <c r="I13" s="169"/>
      <c r="L13" s="71"/>
      <c r="M13" s="71"/>
      <c r="N13" s="425"/>
      <c r="O13" s="425"/>
      <c r="P13" s="425"/>
      <c r="Q13" s="425"/>
      <c r="R13" s="193"/>
      <c r="S13" s="193"/>
      <c r="T13" s="193"/>
      <c r="U13" s="193"/>
      <c r="V13" s="193"/>
      <c r="W13" s="193"/>
      <c r="X13" s="71"/>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3"/>
      <c r="IX13" s="193"/>
      <c r="IY13" s="193"/>
    </row>
    <row r="14" spans="2:259" ht="19.5" thickBot="1" x14ac:dyDescent="0.35">
      <c r="B14" s="42"/>
      <c r="C14" s="627"/>
      <c r="D14" s="627"/>
      <c r="E14" s="627"/>
      <c r="F14" s="627"/>
      <c r="G14" s="627"/>
      <c r="H14" s="43"/>
      <c r="I14" s="170"/>
      <c r="L14" s="71"/>
      <c r="M14" s="71"/>
      <c r="N14" s="71"/>
      <c r="O14" s="71"/>
      <c r="P14" s="71"/>
      <c r="Q14" s="71"/>
      <c r="R14" s="71"/>
      <c r="S14" s="71"/>
      <c r="T14" s="71"/>
      <c r="U14" s="71"/>
      <c r="V14" s="71"/>
      <c r="W14" s="71"/>
      <c r="X14" s="71"/>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row>
    <row r="15" spans="2:259" ht="27" thickBot="1" x14ac:dyDescent="0.45">
      <c r="B15" s="166" t="s">
        <v>364</v>
      </c>
      <c r="C15" s="122"/>
      <c r="D15" s="812"/>
      <c r="E15" s="813"/>
      <c r="F15" s="813"/>
      <c r="G15" s="813"/>
      <c r="H15" s="813"/>
      <c r="I15" s="813"/>
      <c r="J15" s="813"/>
      <c r="K15" s="813"/>
      <c r="L15" s="813"/>
      <c r="M15" s="813"/>
      <c r="N15" s="813"/>
      <c r="O15" s="813"/>
      <c r="P15" s="813"/>
      <c r="Q15" s="813"/>
      <c r="R15" s="813"/>
      <c r="S15" s="813"/>
      <c r="T15" s="813"/>
      <c r="U15" s="813"/>
      <c r="V15" s="813"/>
      <c r="W15" s="814"/>
      <c r="X15" s="815"/>
      <c r="Y15" s="816"/>
      <c r="AS15" s="193"/>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c r="IW15" s="800"/>
      <c r="IX15" s="800"/>
      <c r="IY15" s="193"/>
    </row>
    <row r="16" spans="2:259" ht="15.75" customHeight="1" thickBot="1" x14ac:dyDescent="0.3">
      <c r="B16" s="810"/>
      <c r="C16" s="811"/>
      <c r="D16" s="811"/>
      <c r="E16" s="811"/>
      <c r="F16" s="811"/>
      <c r="G16" s="811"/>
      <c r="H16" s="811"/>
      <c r="I16" s="811"/>
      <c r="J16" s="811"/>
      <c r="K16" s="811"/>
      <c r="L16" s="811"/>
      <c r="M16" s="811"/>
      <c r="N16" s="811"/>
      <c r="O16" s="811"/>
      <c r="P16" s="811"/>
      <c r="Q16" s="811"/>
      <c r="R16" s="811"/>
      <c r="S16" s="811"/>
      <c r="T16" s="811"/>
      <c r="U16" s="811"/>
      <c r="V16" s="811"/>
      <c r="W16" s="811"/>
      <c r="X16" s="114"/>
      <c r="Y16" s="120"/>
      <c r="AS16" s="193"/>
      <c r="AT16" s="507"/>
      <c r="AU16" s="507"/>
      <c r="AV16" s="507"/>
      <c r="AW16" s="507"/>
      <c r="AX16" s="507"/>
      <c r="AY16" s="507"/>
      <c r="AZ16" s="507"/>
      <c r="BA16" s="507"/>
      <c r="BB16" s="507"/>
      <c r="BC16" s="507"/>
      <c r="BD16" s="507"/>
      <c r="BE16" s="507"/>
      <c r="BF16" s="507"/>
      <c r="BG16" s="507"/>
      <c r="BH16" s="786"/>
      <c r="BI16" s="787"/>
      <c r="BJ16" s="787"/>
      <c r="BK16" s="787"/>
      <c r="BL16" s="787"/>
      <c r="BM16" s="787"/>
      <c r="BN16" s="787"/>
      <c r="BO16" s="787"/>
      <c r="BP16" s="787"/>
      <c r="BQ16" s="787"/>
      <c r="BR16" s="786"/>
      <c r="BS16" s="787"/>
      <c r="BT16" s="787"/>
      <c r="BU16" s="787"/>
      <c r="BV16" s="787"/>
      <c r="BW16" s="787"/>
      <c r="BX16" s="787"/>
      <c r="BY16" s="787"/>
      <c r="BZ16" s="787"/>
      <c r="CA16" s="787"/>
      <c r="CB16" s="786"/>
      <c r="CC16" s="787"/>
      <c r="CD16" s="787"/>
      <c r="CE16" s="787"/>
      <c r="CF16" s="787"/>
      <c r="CG16" s="787"/>
      <c r="CH16" s="787"/>
      <c r="CI16" s="787"/>
      <c r="CJ16" s="787"/>
      <c r="CK16" s="787"/>
      <c r="CL16" s="786"/>
      <c r="CM16" s="787"/>
      <c r="CN16" s="787"/>
      <c r="CO16" s="787"/>
      <c r="CP16" s="787"/>
      <c r="CQ16" s="787"/>
      <c r="CR16" s="787"/>
      <c r="CS16" s="787"/>
      <c r="CT16" s="787"/>
      <c r="CU16" s="787"/>
      <c r="CV16" s="786"/>
      <c r="CW16" s="787"/>
      <c r="CX16" s="787"/>
      <c r="CY16" s="787"/>
      <c r="CZ16" s="787"/>
      <c r="DA16" s="787"/>
      <c r="DB16" s="787"/>
      <c r="DC16" s="787"/>
      <c r="DD16" s="787"/>
      <c r="DE16" s="787"/>
      <c r="DF16" s="786"/>
      <c r="DG16" s="787"/>
      <c r="DH16" s="787"/>
      <c r="DI16" s="787"/>
      <c r="DJ16" s="787"/>
      <c r="DK16" s="787"/>
      <c r="DL16" s="787"/>
      <c r="DM16" s="787"/>
      <c r="DN16" s="787"/>
      <c r="DO16" s="787"/>
      <c r="DP16" s="786"/>
      <c r="DQ16" s="787"/>
      <c r="DR16" s="787"/>
      <c r="DS16" s="787"/>
      <c r="DT16" s="787"/>
      <c r="DU16" s="787"/>
      <c r="DV16" s="787"/>
      <c r="DW16" s="787"/>
      <c r="DX16" s="787"/>
      <c r="DY16" s="787"/>
      <c r="DZ16" s="786"/>
      <c r="EA16" s="787"/>
      <c r="EB16" s="787"/>
      <c r="EC16" s="787"/>
      <c r="ED16" s="787"/>
      <c r="EE16" s="787"/>
      <c r="EF16" s="787"/>
      <c r="EG16" s="787"/>
      <c r="EH16" s="787"/>
      <c r="EI16" s="787"/>
      <c r="EJ16" s="786"/>
      <c r="EK16" s="787"/>
      <c r="EL16" s="787"/>
      <c r="EM16" s="787"/>
      <c r="EN16" s="787"/>
      <c r="EO16" s="787"/>
      <c r="EP16" s="787"/>
      <c r="EQ16" s="787"/>
      <c r="ER16" s="787"/>
      <c r="ES16" s="787"/>
      <c r="ET16" s="786"/>
      <c r="EU16" s="787"/>
      <c r="EV16" s="787"/>
      <c r="EW16" s="787"/>
      <c r="EX16" s="787"/>
      <c r="EY16" s="787"/>
      <c r="EZ16" s="787"/>
      <c r="FA16" s="787"/>
      <c r="FB16" s="787"/>
      <c r="FC16" s="787"/>
      <c r="FD16" s="786"/>
      <c r="FE16" s="787"/>
      <c r="FF16" s="787"/>
      <c r="FG16" s="787"/>
      <c r="FH16" s="787"/>
      <c r="FI16" s="787"/>
      <c r="FJ16" s="787"/>
      <c r="FK16" s="787"/>
      <c r="FL16" s="787"/>
      <c r="FM16" s="787"/>
      <c r="FN16" s="786"/>
      <c r="FO16" s="787"/>
      <c r="FP16" s="787"/>
      <c r="FQ16" s="787"/>
      <c r="FR16" s="787"/>
      <c r="FS16" s="787"/>
      <c r="FT16" s="787"/>
      <c r="FU16" s="787"/>
      <c r="FV16" s="787"/>
      <c r="FW16" s="787"/>
      <c r="FX16" s="786"/>
      <c r="FY16" s="787"/>
      <c r="FZ16" s="787"/>
      <c r="GA16" s="787"/>
      <c r="GB16" s="787"/>
      <c r="GC16" s="787"/>
      <c r="GD16" s="787"/>
      <c r="GE16" s="787"/>
      <c r="GF16" s="787"/>
      <c r="GG16" s="787"/>
      <c r="GH16" s="786"/>
      <c r="GI16" s="787"/>
      <c r="GJ16" s="787"/>
      <c r="GK16" s="787"/>
      <c r="GL16" s="787"/>
      <c r="GM16" s="787"/>
      <c r="GN16" s="787"/>
      <c r="GO16" s="787"/>
      <c r="GP16" s="787"/>
      <c r="GQ16" s="787"/>
      <c r="GR16" s="786"/>
      <c r="GS16" s="787"/>
      <c r="GT16" s="787"/>
      <c r="GU16" s="787"/>
      <c r="GV16" s="787"/>
      <c r="GW16" s="787"/>
      <c r="GX16" s="787"/>
      <c r="GY16" s="787"/>
      <c r="GZ16" s="787"/>
      <c r="HA16" s="787"/>
      <c r="HB16" s="786"/>
      <c r="HC16" s="787"/>
      <c r="HD16" s="787"/>
      <c r="HE16" s="787"/>
      <c r="HF16" s="787"/>
      <c r="HG16" s="787"/>
      <c r="HH16" s="787"/>
      <c r="HI16" s="787"/>
      <c r="HJ16" s="787"/>
      <c r="HK16" s="787"/>
      <c r="HL16" s="786"/>
      <c r="HM16" s="787"/>
      <c r="HN16" s="787"/>
      <c r="HO16" s="787"/>
      <c r="HP16" s="787"/>
      <c r="HQ16" s="787"/>
      <c r="HR16" s="787"/>
      <c r="HS16" s="787"/>
      <c r="HT16" s="787"/>
      <c r="HU16" s="787"/>
      <c r="HV16" s="786"/>
      <c r="HW16" s="787"/>
      <c r="HX16" s="787"/>
      <c r="HY16" s="787"/>
      <c r="HZ16" s="787"/>
      <c r="IA16" s="787"/>
      <c r="IB16" s="787"/>
      <c r="IC16" s="787"/>
      <c r="ID16" s="787"/>
      <c r="IE16" s="787"/>
      <c r="IF16" s="786"/>
      <c r="IG16" s="787"/>
      <c r="IH16" s="787"/>
      <c r="II16" s="787"/>
      <c r="IJ16" s="787"/>
      <c r="IK16" s="787"/>
      <c r="IL16" s="787"/>
      <c r="IM16" s="787"/>
      <c r="IN16" s="507"/>
      <c r="IO16" s="507"/>
      <c r="IP16" s="507"/>
      <c r="IQ16" s="507"/>
      <c r="IR16" s="507"/>
      <c r="IS16" s="507"/>
      <c r="IT16" s="507"/>
      <c r="IU16" s="507"/>
      <c r="IV16" s="507"/>
      <c r="IW16" s="507"/>
      <c r="IX16" s="507"/>
      <c r="IY16" s="193"/>
    </row>
    <row r="17" spans="2:259" ht="19.5" thickBot="1" x14ac:dyDescent="0.35">
      <c r="B17" s="214"/>
      <c r="C17" s="809"/>
      <c r="D17" s="1001" t="s">
        <v>365</v>
      </c>
      <c r="E17" s="1001" t="s">
        <v>361</v>
      </c>
      <c r="F17" s="1002" t="s">
        <v>362</v>
      </c>
      <c r="G17" s="1002" t="s">
        <v>363</v>
      </c>
      <c r="H17" s="40"/>
      <c r="I17" s="40"/>
      <c r="J17" s="40"/>
      <c r="K17" s="40"/>
      <c r="L17" s="40"/>
      <c r="M17" s="40"/>
      <c r="N17" s="40"/>
      <c r="O17" s="40"/>
      <c r="P17" s="40"/>
      <c r="Q17" s="40"/>
      <c r="R17" s="40"/>
      <c r="S17" s="40"/>
      <c r="T17" s="40"/>
      <c r="U17" s="40"/>
      <c r="V17" s="40"/>
      <c r="W17" s="40"/>
      <c r="X17" s="113"/>
      <c r="Y17" s="46"/>
      <c r="AC17" s="71"/>
      <c r="AD17" s="860"/>
      <c r="AE17" s="71"/>
      <c r="AF17" s="71"/>
      <c r="AG17" s="71"/>
      <c r="AH17" s="71"/>
      <c r="AS17" s="193"/>
      <c r="AT17" s="507"/>
      <c r="AU17" s="801"/>
      <c r="AV17" s="801"/>
      <c r="AW17" s="802"/>
      <c r="AX17" s="802"/>
      <c r="AY17" s="802"/>
      <c r="AZ17" s="802"/>
      <c r="BA17" s="802"/>
      <c r="BB17" s="802"/>
      <c r="BC17" s="802"/>
      <c r="BD17" s="802"/>
      <c r="BE17" s="802"/>
      <c r="BF17" s="802"/>
      <c r="BG17" s="802"/>
      <c r="BH17" s="802"/>
      <c r="BI17" s="802"/>
      <c r="BJ17" s="802"/>
      <c r="BK17" s="802"/>
      <c r="BL17" s="802"/>
      <c r="BM17" s="802"/>
      <c r="BN17" s="802"/>
      <c r="BO17" s="802"/>
      <c r="BP17" s="802"/>
      <c r="BQ17" s="802"/>
      <c r="BR17" s="802"/>
      <c r="BS17" s="802"/>
      <c r="BT17" s="802"/>
      <c r="BU17" s="802"/>
      <c r="BV17" s="802"/>
      <c r="BW17" s="802"/>
      <c r="BX17" s="802"/>
      <c r="BY17" s="802"/>
      <c r="BZ17" s="802"/>
      <c r="CA17" s="802"/>
      <c r="CB17" s="802"/>
      <c r="CC17" s="802"/>
      <c r="CD17" s="802"/>
      <c r="CE17" s="802"/>
      <c r="CF17" s="802"/>
      <c r="CG17" s="802"/>
      <c r="CH17" s="802"/>
      <c r="CI17" s="802"/>
      <c r="CJ17" s="802"/>
      <c r="CK17" s="802"/>
      <c r="CL17" s="802"/>
      <c r="CM17" s="802"/>
      <c r="CN17" s="802"/>
      <c r="CO17" s="802"/>
      <c r="CP17" s="802"/>
      <c r="CQ17" s="802"/>
      <c r="CR17" s="802"/>
      <c r="CS17" s="802"/>
      <c r="CT17" s="802"/>
      <c r="CU17" s="802"/>
      <c r="CV17" s="802"/>
      <c r="CW17" s="802"/>
      <c r="CX17" s="802"/>
      <c r="CY17" s="802"/>
      <c r="CZ17" s="802"/>
      <c r="DA17" s="802"/>
      <c r="DB17" s="802"/>
      <c r="DC17" s="802"/>
      <c r="DD17" s="802"/>
      <c r="DE17" s="802"/>
      <c r="DF17" s="802"/>
      <c r="DG17" s="802"/>
      <c r="DH17" s="802"/>
      <c r="DI17" s="802"/>
      <c r="DJ17" s="802"/>
      <c r="DK17" s="802"/>
      <c r="DL17" s="802"/>
      <c r="DM17" s="802"/>
      <c r="DN17" s="802"/>
      <c r="DO17" s="802"/>
      <c r="DP17" s="802"/>
      <c r="DQ17" s="802"/>
      <c r="DR17" s="802"/>
      <c r="DS17" s="802"/>
      <c r="DT17" s="802"/>
      <c r="DU17" s="802"/>
      <c r="DV17" s="802"/>
      <c r="DW17" s="802"/>
      <c r="DX17" s="802"/>
      <c r="DY17" s="802"/>
      <c r="DZ17" s="802"/>
      <c r="EA17" s="802"/>
      <c r="EB17" s="802"/>
      <c r="EC17" s="802"/>
      <c r="ED17" s="802"/>
      <c r="EE17" s="802"/>
      <c r="EF17" s="802"/>
      <c r="EG17" s="802"/>
      <c r="EH17" s="802"/>
      <c r="EI17" s="802"/>
      <c r="EJ17" s="802"/>
      <c r="EK17" s="802"/>
      <c r="EL17" s="802"/>
      <c r="EM17" s="802"/>
      <c r="EN17" s="802"/>
      <c r="EO17" s="802"/>
      <c r="EP17" s="802"/>
      <c r="EQ17" s="802"/>
      <c r="ER17" s="802"/>
      <c r="ES17" s="802"/>
      <c r="ET17" s="802"/>
      <c r="EU17" s="802"/>
      <c r="EV17" s="802"/>
      <c r="EW17" s="802"/>
      <c r="EX17" s="802"/>
      <c r="EY17" s="802"/>
      <c r="EZ17" s="802"/>
      <c r="FA17" s="802"/>
      <c r="FB17" s="802"/>
      <c r="FC17" s="802"/>
      <c r="FD17" s="802"/>
      <c r="FE17" s="802"/>
      <c r="FF17" s="802"/>
      <c r="FG17" s="802"/>
      <c r="FH17" s="802"/>
      <c r="FI17" s="802"/>
      <c r="FJ17" s="802"/>
      <c r="FK17" s="802"/>
      <c r="FL17" s="802"/>
      <c r="FM17" s="802"/>
      <c r="FN17" s="802"/>
      <c r="FO17" s="802"/>
      <c r="FP17" s="802"/>
      <c r="FQ17" s="802"/>
      <c r="FR17" s="802"/>
      <c r="FS17" s="802"/>
      <c r="FT17" s="802"/>
      <c r="FU17" s="802"/>
      <c r="FV17" s="802"/>
      <c r="FW17" s="802"/>
      <c r="FX17" s="802"/>
      <c r="FY17" s="802"/>
      <c r="FZ17" s="802"/>
      <c r="GA17" s="802"/>
      <c r="GB17" s="802"/>
      <c r="GC17" s="802"/>
      <c r="GD17" s="802"/>
      <c r="GE17" s="802"/>
      <c r="GF17" s="802"/>
      <c r="GG17" s="802"/>
      <c r="GH17" s="802"/>
      <c r="GI17" s="802"/>
      <c r="GJ17" s="802"/>
      <c r="GK17" s="802"/>
      <c r="GL17" s="802"/>
      <c r="GM17" s="802"/>
      <c r="GN17" s="802"/>
      <c r="GO17" s="802"/>
      <c r="GP17" s="802"/>
      <c r="GQ17" s="802"/>
      <c r="GR17" s="802"/>
      <c r="GS17" s="802"/>
      <c r="GT17" s="802"/>
      <c r="GU17" s="802"/>
      <c r="GV17" s="802"/>
      <c r="GW17" s="802"/>
      <c r="GX17" s="802"/>
      <c r="GY17" s="802"/>
      <c r="GZ17" s="802"/>
      <c r="HA17" s="802"/>
      <c r="HB17" s="802"/>
      <c r="HC17" s="802"/>
      <c r="HD17" s="802"/>
      <c r="HE17" s="802"/>
      <c r="HF17" s="802"/>
      <c r="HG17" s="802"/>
      <c r="HH17" s="802"/>
      <c r="HI17" s="802"/>
      <c r="HJ17" s="802"/>
      <c r="HK17" s="802"/>
      <c r="HL17" s="802"/>
      <c r="HM17" s="802"/>
      <c r="HN17" s="802"/>
      <c r="HO17" s="802"/>
      <c r="HP17" s="802"/>
      <c r="HQ17" s="802"/>
      <c r="HR17" s="802"/>
      <c r="HS17" s="802"/>
      <c r="HT17" s="802"/>
      <c r="HU17" s="802"/>
      <c r="HV17" s="802"/>
      <c r="HW17" s="802"/>
      <c r="HX17" s="802"/>
      <c r="HY17" s="802"/>
      <c r="HZ17" s="802"/>
      <c r="IA17" s="802"/>
      <c r="IB17" s="802"/>
      <c r="IC17" s="802"/>
      <c r="ID17" s="802"/>
      <c r="IE17" s="802"/>
      <c r="IF17" s="802"/>
      <c r="IG17" s="802"/>
      <c r="IH17" s="793"/>
      <c r="II17" s="793"/>
      <c r="IJ17" s="793"/>
      <c r="IK17" s="793"/>
      <c r="IL17" s="793"/>
      <c r="IM17" s="793"/>
      <c r="IN17" s="507"/>
      <c r="IO17" s="507"/>
      <c r="IP17" s="507"/>
      <c r="IQ17" s="788"/>
      <c r="IR17" s="788"/>
      <c r="IS17" s="788"/>
      <c r="IT17" s="788"/>
      <c r="IU17" s="788"/>
      <c r="IV17" s="788"/>
      <c r="IW17" s="788"/>
      <c r="IX17" s="507"/>
      <c r="IY17" s="193"/>
    </row>
    <row r="18" spans="2:259" ht="28.5" customHeight="1" thickBot="1" x14ac:dyDescent="0.4">
      <c r="B18" s="805"/>
      <c r="C18" s="818" t="s">
        <v>39</v>
      </c>
      <c r="D18" s="1001"/>
      <c r="E18" s="1001"/>
      <c r="F18" s="1002"/>
      <c r="G18" s="1002"/>
      <c r="H18" s="817"/>
      <c r="I18" s="823" t="s">
        <v>372</v>
      </c>
      <c r="J18" s="824"/>
      <c r="K18" s="825"/>
      <c r="L18" s="825"/>
      <c r="M18" s="825"/>
      <c r="N18" s="825"/>
      <c r="O18" s="825"/>
      <c r="P18" s="825"/>
      <c r="Q18" s="825"/>
      <c r="R18" s="825"/>
      <c r="S18" s="826"/>
      <c r="T18" s="692"/>
      <c r="U18" s="692"/>
      <c r="V18" s="692"/>
      <c r="W18" s="692"/>
      <c r="X18" s="841"/>
      <c r="Y18" s="77"/>
      <c r="Z18" s="61"/>
      <c r="AA18" s="61"/>
      <c r="AC18" s="424"/>
      <c r="AD18" s="71"/>
      <c r="AE18" s="71"/>
      <c r="AF18" s="71"/>
      <c r="AG18" s="71"/>
      <c r="AH18" s="71"/>
      <c r="AS18" s="193"/>
      <c r="AT18" s="507"/>
      <c r="AU18" s="801"/>
      <c r="AV18" s="801"/>
      <c r="AW18" s="802"/>
      <c r="AX18" s="802"/>
      <c r="AY18" s="802"/>
      <c r="AZ18" s="802"/>
      <c r="BA18" s="802"/>
      <c r="BB18" s="802"/>
      <c r="BC18" s="802"/>
      <c r="BD18" s="802"/>
      <c r="BE18" s="802"/>
      <c r="BF18" s="802"/>
      <c r="BG18" s="802"/>
      <c r="BH18" s="802"/>
      <c r="BI18" s="802"/>
      <c r="BJ18" s="802"/>
      <c r="BK18" s="802"/>
      <c r="BL18" s="802"/>
      <c r="BM18" s="802"/>
      <c r="BN18" s="802"/>
      <c r="BO18" s="802"/>
      <c r="BP18" s="802"/>
      <c r="BQ18" s="802"/>
      <c r="BR18" s="802"/>
      <c r="BS18" s="802"/>
      <c r="BT18" s="802"/>
      <c r="BU18" s="802"/>
      <c r="BV18" s="802"/>
      <c r="BW18" s="802"/>
      <c r="BX18" s="802"/>
      <c r="BY18" s="802"/>
      <c r="BZ18" s="802"/>
      <c r="CA18" s="802"/>
      <c r="CB18" s="802"/>
      <c r="CC18" s="802"/>
      <c r="CD18" s="802"/>
      <c r="CE18" s="802"/>
      <c r="CF18" s="802"/>
      <c r="CG18" s="802"/>
      <c r="CH18" s="802"/>
      <c r="CI18" s="802"/>
      <c r="CJ18" s="802"/>
      <c r="CK18" s="802"/>
      <c r="CL18" s="802"/>
      <c r="CM18" s="802"/>
      <c r="CN18" s="802"/>
      <c r="CO18" s="802"/>
      <c r="CP18" s="802"/>
      <c r="CQ18" s="802"/>
      <c r="CR18" s="802"/>
      <c r="CS18" s="802"/>
      <c r="CT18" s="802"/>
      <c r="CU18" s="802"/>
      <c r="CV18" s="802"/>
      <c r="CW18" s="802"/>
      <c r="CX18" s="802"/>
      <c r="CY18" s="802"/>
      <c r="CZ18" s="802"/>
      <c r="DA18" s="802"/>
      <c r="DB18" s="802"/>
      <c r="DC18" s="802"/>
      <c r="DD18" s="802"/>
      <c r="DE18" s="802"/>
      <c r="DF18" s="802"/>
      <c r="DG18" s="802"/>
      <c r="DH18" s="802"/>
      <c r="DI18" s="802"/>
      <c r="DJ18" s="802"/>
      <c r="DK18" s="802"/>
      <c r="DL18" s="802"/>
      <c r="DM18" s="802"/>
      <c r="DN18" s="802"/>
      <c r="DO18" s="802"/>
      <c r="DP18" s="802"/>
      <c r="DQ18" s="802"/>
      <c r="DR18" s="802"/>
      <c r="DS18" s="802"/>
      <c r="DT18" s="802"/>
      <c r="DU18" s="802"/>
      <c r="DV18" s="802"/>
      <c r="DW18" s="802"/>
      <c r="DX18" s="802"/>
      <c r="DY18" s="802"/>
      <c r="DZ18" s="802"/>
      <c r="EA18" s="802"/>
      <c r="EB18" s="802"/>
      <c r="EC18" s="802"/>
      <c r="ED18" s="802"/>
      <c r="EE18" s="802"/>
      <c r="EF18" s="802"/>
      <c r="EG18" s="802"/>
      <c r="EH18" s="802"/>
      <c r="EI18" s="802"/>
      <c r="EJ18" s="802"/>
      <c r="EK18" s="802"/>
      <c r="EL18" s="802"/>
      <c r="EM18" s="802"/>
      <c r="EN18" s="802"/>
      <c r="EO18" s="802"/>
      <c r="EP18" s="802"/>
      <c r="EQ18" s="802"/>
      <c r="ER18" s="802"/>
      <c r="ES18" s="802"/>
      <c r="ET18" s="802"/>
      <c r="EU18" s="802"/>
      <c r="EV18" s="802"/>
      <c r="EW18" s="802"/>
      <c r="EX18" s="802"/>
      <c r="EY18" s="802"/>
      <c r="EZ18" s="802"/>
      <c r="FA18" s="802"/>
      <c r="FB18" s="802"/>
      <c r="FC18" s="802"/>
      <c r="FD18" s="802"/>
      <c r="FE18" s="802"/>
      <c r="FF18" s="802"/>
      <c r="FG18" s="802"/>
      <c r="FH18" s="802"/>
      <c r="FI18" s="802"/>
      <c r="FJ18" s="802"/>
      <c r="FK18" s="802"/>
      <c r="FL18" s="802"/>
      <c r="FM18" s="802"/>
      <c r="FN18" s="802"/>
      <c r="FO18" s="802"/>
      <c r="FP18" s="802"/>
      <c r="FQ18" s="802"/>
      <c r="FR18" s="802"/>
      <c r="FS18" s="802"/>
      <c r="FT18" s="802"/>
      <c r="FU18" s="802"/>
      <c r="FV18" s="802"/>
      <c r="FW18" s="802"/>
      <c r="FX18" s="802"/>
      <c r="FY18" s="802"/>
      <c r="FZ18" s="802"/>
      <c r="GA18" s="802"/>
      <c r="GB18" s="802"/>
      <c r="GC18" s="802"/>
      <c r="GD18" s="802"/>
      <c r="GE18" s="802"/>
      <c r="GF18" s="802"/>
      <c r="GG18" s="802"/>
      <c r="GH18" s="802"/>
      <c r="GI18" s="802"/>
      <c r="GJ18" s="802"/>
      <c r="GK18" s="802"/>
      <c r="GL18" s="802"/>
      <c r="GM18" s="802"/>
      <c r="GN18" s="802"/>
      <c r="GO18" s="802"/>
      <c r="GP18" s="802"/>
      <c r="GQ18" s="802"/>
      <c r="GR18" s="802"/>
      <c r="GS18" s="802"/>
      <c r="GT18" s="802"/>
      <c r="GU18" s="802"/>
      <c r="GV18" s="802"/>
      <c r="GW18" s="802"/>
      <c r="GX18" s="802"/>
      <c r="GY18" s="802"/>
      <c r="GZ18" s="802"/>
      <c r="HA18" s="802"/>
      <c r="HB18" s="802"/>
      <c r="HC18" s="802"/>
      <c r="HD18" s="802"/>
      <c r="HE18" s="802"/>
      <c r="HF18" s="802"/>
      <c r="HG18" s="802"/>
      <c r="HH18" s="802"/>
      <c r="HI18" s="802"/>
      <c r="HJ18" s="802"/>
      <c r="HK18" s="802"/>
      <c r="HL18" s="802"/>
      <c r="HM18" s="802"/>
      <c r="HN18" s="802"/>
      <c r="HO18" s="802"/>
      <c r="HP18" s="802"/>
      <c r="HQ18" s="802"/>
      <c r="HR18" s="802"/>
      <c r="HS18" s="802"/>
      <c r="HT18" s="802"/>
      <c r="HU18" s="802"/>
      <c r="HV18" s="802"/>
      <c r="HW18" s="802"/>
      <c r="HX18" s="802"/>
      <c r="HY18" s="802"/>
      <c r="HZ18" s="802"/>
      <c r="IA18" s="802"/>
      <c r="IB18" s="802"/>
      <c r="IC18" s="802"/>
      <c r="ID18" s="802"/>
      <c r="IE18" s="802"/>
      <c r="IF18" s="802"/>
      <c r="IG18" s="802"/>
      <c r="IH18" s="793"/>
      <c r="II18" s="793"/>
      <c r="IJ18" s="793"/>
      <c r="IK18" s="793"/>
      <c r="IL18" s="793"/>
      <c r="IM18" s="793"/>
      <c r="IN18" s="507"/>
      <c r="IO18" s="507"/>
      <c r="IP18" s="507"/>
      <c r="IQ18" s="803"/>
      <c r="IR18" s="803"/>
      <c r="IS18" s="803"/>
      <c r="IT18" s="803"/>
      <c r="IU18" s="803"/>
      <c r="IV18" s="803"/>
      <c r="IW18" s="803"/>
      <c r="IX18" s="507"/>
      <c r="IY18" s="193"/>
    </row>
    <row r="19" spans="2:259" ht="19.5" thickBot="1" x14ac:dyDescent="0.35">
      <c r="B19" s="805"/>
      <c r="C19" s="423">
        <v>15.93</v>
      </c>
      <c r="D19" s="821">
        <v>1</v>
      </c>
      <c r="E19" s="821">
        <v>3.0659999999999998</v>
      </c>
      <c r="F19" s="821">
        <v>1.9039999999999999</v>
      </c>
      <c r="G19" s="821">
        <v>3.028</v>
      </c>
      <c r="H19" s="192"/>
      <c r="I19" s="832"/>
      <c r="J19" s="834" t="s">
        <v>366</v>
      </c>
      <c r="K19" s="876" t="e">
        <f>(C3*2)+(C4*2)</f>
        <v>#VALUE!</v>
      </c>
      <c r="L19" s="876" t="s">
        <v>151</v>
      </c>
      <c r="M19" s="876"/>
      <c r="N19" s="876"/>
      <c r="O19" s="876"/>
      <c r="P19" s="692"/>
      <c r="Q19" s="692"/>
      <c r="R19" s="692"/>
      <c r="S19" s="827"/>
      <c r="T19" s="692"/>
      <c r="U19" s="845"/>
      <c r="V19" s="846" t="s">
        <v>270</v>
      </c>
      <c r="W19" s="847"/>
      <c r="X19" s="848"/>
      <c r="Y19" s="840"/>
      <c r="AA19" s="61"/>
      <c r="AC19" s="424"/>
      <c r="AD19" s="71"/>
      <c r="AE19" s="71"/>
      <c r="AF19" s="71"/>
      <c r="AG19" s="71"/>
      <c r="AH19" s="71"/>
      <c r="AS19" s="193"/>
      <c r="AT19" s="507"/>
      <c r="AU19" s="801"/>
      <c r="AV19" s="801"/>
      <c r="AW19" s="794"/>
      <c r="AX19" s="795"/>
      <c r="AY19" s="789"/>
      <c r="AZ19" s="789"/>
      <c r="BA19" s="789"/>
      <c r="BB19" s="789"/>
      <c r="BC19" s="789"/>
      <c r="BD19" s="789"/>
      <c r="BE19" s="789"/>
      <c r="BF19" s="789"/>
      <c r="BG19" s="789"/>
      <c r="BH19" s="796"/>
      <c r="BI19" s="789"/>
      <c r="BJ19" s="789"/>
      <c r="BK19" s="789"/>
      <c r="BL19" s="789"/>
      <c r="BM19" s="789"/>
      <c r="BN19" s="789"/>
      <c r="BO19" s="789"/>
      <c r="BP19" s="789"/>
      <c r="BQ19" s="789"/>
      <c r="BR19" s="796"/>
      <c r="BS19" s="789"/>
      <c r="BT19" s="789"/>
      <c r="BU19" s="789"/>
      <c r="BV19" s="789"/>
      <c r="BW19" s="789"/>
      <c r="BX19" s="789"/>
      <c r="BY19" s="789"/>
      <c r="BZ19" s="789"/>
      <c r="CA19" s="789"/>
      <c r="CB19" s="796"/>
      <c r="CC19" s="789"/>
      <c r="CD19" s="789"/>
      <c r="CE19" s="789"/>
      <c r="CF19" s="789"/>
      <c r="CG19" s="789"/>
      <c r="CH19" s="789"/>
      <c r="CI19" s="789"/>
      <c r="CJ19" s="789"/>
      <c r="CK19" s="789"/>
      <c r="CL19" s="796"/>
      <c r="CM19" s="789"/>
      <c r="CN19" s="789"/>
      <c r="CO19" s="789"/>
      <c r="CP19" s="789"/>
      <c r="CQ19" s="789"/>
      <c r="CR19" s="789"/>
      <c r="CS19" s="789"/>
      <c r="CT19" s="789"/>
      <c r="CU19" s="789"/>
      <c r="CV19" s="796"/>
      <c r="CW19" s="789"/>
      <c r="CX19" s="789"/>
      <c r="CY19" s="789"/>
      <c r="CZ19" s="789"/>
      <c r="DA19" s="789"/>
      <c r="DB19" s="789"/>
      <c r="DC19" s="789"/>
      <c r="DD19" s="789"/>
      <c r="DE19" s="789"/>
      <c r="DF19" s="796"/>
      <c r="DG19" s="789"/>
      <c r="DH19" s="789"/>
      <c r="DI19" s="789"/>
      <c r="DJ19" s="789"/>
      <c r="DK19" s="789"/>
      <c r="DL19" s="789"/>
      <c r="DM19" s="789"/>
      <c r="DN19" s="789"/>
      <c r="DO19" s="789"/>
      <c r="DP19" s="796"/>
      <c r="DQ19" s="789"/>
      <c r="DR19" s="789"/>
      <c r="DS19" s="789"/>
      <c r="DT19" s="789"/>
      <c r="DU19" s="789"/>
      <c r="DV19" s="789"/>
      <c r="DW19" s="789"/>
      <c r="DX19" s="789"/>
      <c r="DY19" s="789"/>
      <c r="DZ19" s="796"/>
      <c r="EA19" s="789"/>
      <c r="EB19" s="789"/>
      <c r="EC19" s="789"/>
      <c r="ED19" s="789"/>
      <c r="EE19" s="789"/>
      <c r="EF19" s="789"/>
      <c r="EG19" s="789"/>
      <c r="EH19" s="789"/>
      <c r="EI19" s="789"/>
      <c r="EJ19" s="796"/>
      <c r="EK19" s="789"/>
      <c r="EL19" s="789"/>
      <c r="EM19" s="789"/>
      <c r="EN19" s="789"/>
      <c r="EO19" s="789"/>
      <c r="EP19" s="789"/>
      <c r="EQ19" s="789"/>
      <c r="ER19" s="789"/>
      <c r="ES19" s="789"/>
      <c r="ET19" s="796"/>
      <c r="EU19" s="789"/>
      <c r="EV19" s="789"/>
      <c r="EW19" s="789"/>
      <c r="EX19" s="789"/>
      <c r="EY19" s="789"/>
      <c r="EZ19" s="789"/>
      <c r="FA19" s="789"/>
      <c r="FB19" s="789"/>
      <c r="FC19" s="789"/>
      <c r="FD19" s="796"/>
      <c r="FE19" s="789"/>
      <c r="FF19" s="789"/>
      <c r="FG19" s="789"/>
      <c r="FH19" s="789"/>
      <c r="FI19" s="789"/>
      <c r="FJ19" s="789"/>
      <c r="FK19" s="789"/>
      <c r="FL19" s="789"/>
      <c r="FM19" s="789"/>
      <c r="FN19" s="796"/>
      <c r="FO19" s="789"/>
      <c r="FP19" s="789"/>
      <c r="FQ19" s="789"/>
      <c r="FR19" s="789"/>
      <c r="FS19" s="789"/>
      <c r="FT19" s="789"/>
      <c r="FU19" s="789"/>
      <c r="FV19" s="789"/>
      <c r="FW19" s="789"/>
      <c r="FX19" s="796"/>
      <c r="FY19" s="789"/>
      <c r="FZ19" s="789"/>
      <c r="GA19" s="789"/>
      <c r="GB19" s="789"/>
      <c r="GC19" s="789"/>
      <c r="GD19" s="789"/>
      <c r="GE19" s="789"/>
      <c r="GF19" s="789"/>
      <c r="GG19" s="789"/>
      <c r="GH19" s="796"/>
      <c r="GI19" s="789"/>
      <c r="GJ19" s="789"/>
      <c r="GK19" s="789"/>
      <c r="GL19" s="789"/>
      <c r="GM19" s="789"/>
      <c r="GN19" s="789"/>
      <c r="GO19" s="789"/>
      <c r="GP19" s="789"/>
      <c r="GQ19" s="789"/>
      <c r="GR19" s="796"/>
      <c r="GS19" s="789"/>
      <c r="GT19" s="789"/>
      <c r="GU19" s="789"/>
      <c r="GV19" s="789"/>
      <c r="GW19" s="789"/>
      <c r="GX19" s="789"/>
      <c r="GY19" s="789"/>
      <c r="GZ19" s="789"/>
      <c r="HA19" s="789"/>
      <c r="HB19" s="796"/>
      <c r="HC19" s="789"/>
      <c r="HD19" s="789"/>
      <c r="HE19" s="789"/>
      <c r="HF19" s="789"/>
      <c r="HG19" s="789"/>
      <c r="HH19" s="789"/>
      <c r="HI19" s="789"/>
      <c r="HJ19" s="789"/>
      <c r="HK19" s="789"/>
      <c r="HL19" s="796"/>
      <c r="HM19" s="789"/>
      <c r="HN19" s="789"/>
      <c r="HO19" s="789"/>
      <c r="HP19" s="789"/>
      <c r="HQ19" s="789"/>
      <c r="HR19" s="789"/>
      <c r="HS19" s="789"/>
      <c r="HT19" s="789"/>
      <c r="HU19" s="789"/>
      <c r="HV19" s="796"/>
      <c r="HW19" s="789"/>
      <c r="HX19" s="789"/>
      <c r="HY19" s="789"/>
      <c r="HZ19" s="789"/>
      <c r="IA19" s="789"/>
      <c r="IB19" s="789"/>
      <c r="IC19" s="789"/>
      <c r="ID19" s="789"/>
      <c r="IE19" s="789"/>
      <c r="IF19" s="796"/>
      <c r="IG19" s="789"/>
      <c r="IH19" s="789"/>
      <c r="II19" s="789"/>
      <c r="IJ19" s="789"/>
      <c r="IK19" s="789"/>
      <c r="IL19" s="789"/>
      <c r="IM19" s="789"/>
      <c r="IN19" s="789"/>
      <c r="IO19" s="789"/>
      <c r="IP19" s="789"/>
      <c r="IQ19" s="797"/>
      <c r="IR19" s="797"/>
      <c r="IS19" s="797"/>
      <c r="IT19" s="797"/>
      <c r="IU19" s="797"/>
      <c r="IV19" s="797"/>
      <c r="IW19" s="797"/>
      <c r="IX19" s="507"/>
      <c r="IY19" s="193"/>
    </row>
    <row r="20" spans="2:259" ht="19.5" thickBot="1" x14ac:dyDescent="0.35">
      <c r="B20" s="805"/>
      <c r="C20" s="423">
        <v>20.43</v>
      </c>
      <c r="D20" s="821">
        <v>2</v>
      </c>
      <c r="E20" s="821">
        <v>3.0659999999999998</v>
      </c>
      <c r="F20" s="821">
        <v>1.9039999999999999</v>
      </c>
      <c r="G20" s="821">
        <v>3.028</v>
      </c>
      <c r="H20" s="192"/>
      <c r="I20" s="832"/>
      <c r="J20" s="877"/>
      <c r="K20" s="876"/>
      <c r="L20" s="876"/>
      <c r="M20" s="876"/>
      <c r="N20" s="878" t="s">
        <v>66</v>
      </c>
      <c r="O20" s="879"/>
      <c r="P20" s="51"/>
      <c r="Q20" s="51"/>
      <c r="R20" s="692"/>
      <c r="S20" s="827"/>
      <c r="T20" s="692"/>
      <c r="U20" s="849"/>
      <c r="V20" s="198" t="str">
        <f>C1&amp;"_ENG_FA"</f>
        <v>MCDE635_ENG_FA</v>
      </c>
      <c r="W20" s="850" t="e">
        <f>K30/144</f>
        <v>#VALUE!</v>
      </c>
      <c r="X20" s="851" t="s">
        <v>42</v>
      </c>
      <c r="Y20" s="840"/>
      <c r="AA20" s="61"/>
      <c r="AC20" s="424"/>
      <c r="AD20" s="71"/>
      <c r="AE20" s="71"/>
      <c r="AF20" s="71"/>
      <c r="AG20" s="71"/>
      <c r="AH20" s="71"/>
      <c r="AS20" s="193"/>
      <c r="AT20" s="507"/>
      <c r="AU20" s="794"/>
      <c r="AV20" s="794"/>
      <c r="AW20" s="794"/>
      <c r="AX20" s="794"/>
      <c r="AY20" s="794"/>
      <c r="AZ20" s="789"/>
      <c r="BA20" s="789"/>
      <c r="BB20" s="789"/>
      <c r="BC20" s="789"/>
      <c r="BD20" s="789"/>
      <c r="BE20" s="789"/>
      <c r="BF20" s="789"/>
      <c r="BG20" s="789"/>
      <c r="BH20" s="796"/>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c r="DL20" s="789"/>
      <c r="DM20" s="789"/>
      <c r="DN20" s="789"/>
      <c r="DO20" s="789"/>
      <c r="DP20" s="789"/>
      <c r="DQ20" s="789"/>
      <c r="DR20" s="789"/>
      <c r="DS20" s="789"/>
      <c r="DT20" s="789"/>
      <c r="DU20" s="789"/>
      <c r="DV20" s="789"/>
      <c r="DW20" s="789"/>
      <c r="DX20" s="789"/>
      <c r="DY20" s="789"/>
      <c r="DZ20" s="789"/>
      <c r="EA20" s="789"/>
      <c r="EB20" s="789"/>
      <c r="EC20" s="789"/>
      <c r="ED20" s="789"/>
      <c r="EE20" s="789"/>
      <c r="EF20" s="789"/>
      <c r="EG20" s="789"/>
      <c r="EH20" s="789"/>
      <c r="EI20" s="789"/>
      <c r="EJ20" s="789"/>
      <c r="EK20" s="789"/>
      <c r="EL20" s="789"/>
      <c r="EM20" s="789"/>
      <c r="EN20" s="789"/>
      <c r="EO20" s="789"/>
      <c r="EP20" s="789"/>
      <c r="EQ20" s="789"/>
      <c r="ER20" s="789"/>
      <c r="ES20" s="789"/>
      <c r="ET20" s="789"/>
      <c r="EU20" s="789"/>
      <c r="EV20" s="789"/>
      <c r="EW20" s="789"/>
      <c r="EX20" s="789"/>
      <c r="EY20" s="789"/>
      <c r="EZ20" s="789"/>
      <c r="FA20" s="789"/>
      <c r="FB20" s="789"/>
      <c r="FC20" s="789"/>
      <c r="FD20" s="789"/>
      <c r="FE20" s="789"/>
      <c r="FF20" s="789"/>
      <c r="FG20" s="789"/>
      <c r="FH20" s="789"/>
      <c r="FI20" s="789"/>
      <c r="FJ20" s="789"/>
      <c r="FK20" s="789"/>
      <c r="FL20" s="789"/>
      <c r="FM20" s="789"/>
      <c r="FN20" s="789"/>
      <c r="FO20" s="789"/>
      <c r="FP20" s="789"/>
      <c r="FQ20" s="789"/>
      <c r="FR20" s="789"/>
      <c r="FS20" s="789"/>
      <c r="FT20" s="789"/>
      <c r="FU20" s="789"/>
      <c r="FV20" s="789"/>
      <c r="FW20" s="789"/>
      <c r="FX20" s="789"/>
      <c r="FY20" s="789"/>
      <c r="FZ20" s="789"/>
      <c r="GA20" s="789"/>
      <c r="GB20" s="789"/>
      <c r="GC20" s="789"/>
      <c r="GD20" s="789"/>
      <c r="GE20" s="789"/>
      <c r="GF20" s="789"/>
      <c r="GG20" s="789"/>
      <c r="GH20" s="789"/>
      <c r="GI20" s="789"/>
      <c r="GJ20" s="789"/>
      <c r="GK20" s="789"/>
      <c r="GL20" s="789"/>
      <c r="GM20" s="789"/>
      <c r="GN20" s="789"/>
      <c r="GO20" s="789"/>
      <c r="GP20" s="789"/>
      <c r="GQ20" s="789"/>
      <c r="GR20" s="789"/>
      <c r="GS20" s="789"/>
      <c r="GT20" s="789"/>
      <c r="GU20" s="789"/>
      <c r="GV20" s="789"/>
      <c r="GW20" s="789"/>
      <c r="GX20" s="789"/>
      <c r="GY20" s="789"/>
      <c r="GZ20" s="789"/>
      <c r="HA20" s="789"/>
      <c r="HB20" s="789"/>
      <c r="HC20" s="789"/>
      <c r="HD20" s="789"/>
      <c r="HE20" s="789"/>
      <c r="HF20" s="789"/>
      <c r="HG20" s="789"/>
      <c r="HH20" s="789"/>
      <c r="HI20" s="789"/>
      <c r="HJ20" s="789"/>
      <c r="HK20" s="789"/>
      <c r="HL20" s="789"/>
      <c r="HM20" s="789"/>
      <c r="HN20" s="789"/>
      <c r="HO20" s="789"/>
      <c r="HP20" s="789"/>
      <c r="HQ20" s="789"/>
      <c r="HR20" s="789"/>
      <c r="HS20" s="789"/>
      <c r="HT20" s="789"/>
      <c r="HU20" s="789"/>
      <c r="HV20" s="789"/>
      <c r="HW20" s="789"/>
      <c r="HX20" s="789"/>
      <c r="HY20" s="789"/>
      <c r="HZ20" s="789"/>
      <c r="IA20" s="789"/>
      <c r="IB20" s="789"/>
      <c r="IC20" s="789"/>
      <c r="ID20" s="789"/>
      <c r="IE20" s="789"/>
      <c r="IF20" s="789"/>
      <c r="IG20" s="789"/>
      <c r="IH20" s="789"/>
      <c r="II20" s="789"/>
      <c r="IJ20" s="789"/>
      <c r="IK20" s="789"/>
      <c r="IL20" s="789"/>
      <c r="IM20" s="789"/>
      <c r="IN20" s="789"/>
      <c r="IO20" s="789"/>
      <c r="IP20" s="789"/>
      <c r="IQ20" s="797"/>
      <c r="IR20" s="797"/>
      <c r="IS20" s="797"/>
      <c r="IT20" s="797"/>
      <c r="IU20" s="797"/>
      <c r="IV20" s="797"/>
      <c r="IW20" s="797"/>
      <c r="IX20" s="507"/>
      <c r="IY20" s="193"/>
    </row>
    <row r="21" spans="2:259" ht="18" customHeight="1" thickBot="1" x14ac:dyDescent="0.35">
      <c r="B21" s="805"/>
      <c r="C21" s="423">
        <v>24.93</v>
      </c>
      <c r="D21" s="821">
        <v>3</v>
      </c>
      <c r="E21" s="821">
        <v>3.0659999999999998</v>
      </c>
      <c r="F21" s="821">
        <v>1.9039999999999999</v>
      </c>
      <c r="G21" s="821">
        <v>3.028</v>
      </c>
      <c r="H21" s="192"/>
      <c r="I21" s="880"/>
      <c r="J21" s="834" t="s">
        <v>367</v>
      </c>
      <c r="K21" s="876" t="e">
        <f>VLOOKUP(C5,C19:D34,2,FALSE)-1</f>
        <v>#N/A</v>
      </c>
      <c r="L21" s="876"/>
      <c r="M21" s="876"/>
      <c r="N21" s="881"/>
      <c r="O21" s="879"/>
      <c r="P21" s="107"/>
      <c r="Q21" s="159"/>
      <c r="R21" s="692"/>
      <c r="S21" s="827"/>
      <c r="T21" s="692"/>
      <c r="U21" s="520"/>
      <c r="V21" s="198" t="str">
        <f>C1&amp;"_ENG_FACE_AREA"</f>
        <v>MCDE635_ENG_FACE_AREA</v>
      </c>
      <c r="W21" s="852" t="e">
        <f>((C3*C5*2)+(C4*C5*2))/144</f>
        <v>#VALUE!</v>
      </c>
      <c r="X21" s="851" t="s">
        <v>42</v>
      </c>
      <c r="Y21" s="840"/>
      <c r="AA21" s="61"/>
      <c r="AC21" s="424"/>
      <c r="AD21" s="71"/>
      <c r="AE21" s="71"/>
      <c r="AF21" s="71"/>
      <c r="AG21" s="71"/>
      <c r="AH21" s="71"/>
      <c r="AS21" s="193"/>
      <c r="AT21" s="507"/>
      <c r="AU21" s="795"/>
      <c r="AV21" s="789"/>
      <c r="AW21" s="795"/>
      <c r="AX21" s="791"/>
      <c r="AY21" s="33"/>
      <c r="AZ21" s="33"/>
      <c r="BA21" s="33"/>
      <c r="BB21" s="33"/>
      <c r="BC21" s="33"/>
      <c r="BD21" s="33"/>
      <c r="BE21" s="33"/>
      <c r="BF21" s="33"/>
      <c r="BG21" s="790"/>
      <c r="BH21" s="791"/>
      <c r="BI21" s="33"/>
      <c r="BJ21" s="33"/>
      <c r="BK21" s="33"/>
      <c r="BL21" s="33"/>
      <c r="BM21" s="33"/>
      <c r="BN21" s="33"/>
      <c r="BO21" s="33"/>
      <c r="BP21" s="33"/>
      <c r="BQ21" s="790"/>
      <c r="BR21" s="791"/>
      <c r="BS21" s="33"/>
      <c r="BT21" s="33"/>
      <c r="BU21" s="33"/>
      <c r="BV21" s="33"/>
      <c r="BW21" s="33"/>
      <c r="BX21" s="33"/>
      <c r="BY21" s="33"/>
      <c r="BZ21" s="33"/>
      <c r="CA21" s="790"/>
      <c r="CB21" s="791"/>
      <c r="CC21" s="33"/>
      <c r="CD21" s="33"/>
      <c r="CE21" s="33"/>
      <c r="CF21" s="33"/>
      <c r="CG21" s="33"/>
      <c r="CH21" s="33"/>
      <c r="CI21" s="33"/>
      <c r="CJ21" s="33"/>
      <c r="CK21" s="790"/>
      <c r="CL21" s="791"/>
      <c r="CM21" s="33"/>
      <c r="CN21" s="33"/>
      <c r="CO21" s="33"/>
      <c r="CP21" s="33"/>
      <c r="CQ21" s="33"/>
      <c r="CR21" s="33"/>
      <c r="CS21" s="33"/>
      <c r="CT21" s="33"/>
      <c r="CU21" s="790"/>
      <c r="CV21" s="791"/>
      <c r="CW21" s="33"/>
      <c r="CX21" s="33"/>
      <c r="CY21" s="33"/>
      <c r="CZ21" s="33"/>
      <c r="DA21" s="33"/>
      <c r="DB21" s="33"/>
      <c r="DC21" s="33"/>
      <c r="DD21" s="33"/>
      <c r="DE21" s="790"/>
      <c r="DF21" s="791"/>
      <c r="DG21" s="33"/>
      <c r="DH21" s="33"/>
      <c r="DI21" s="33"/>
      <c r="DJ21" s="33"/>
      <c r="DK21" s="33"/>
      <c r="DL21" s="33"/>
      <c r="DM21" s="33"/>
      <c r="DN21" s="33"/>
      <c r="DO21" s="790"/>
      <c r="DP21" s="791"/>
      <c r="DQ21" s="33"/>
      <c r="DR21" s="33"/>
      <c r="DS21" s="33"/>
      <c r="DT21" s="33"/>
      <c r="DU21" s="33"/>
      <c r="DV21" s="33"/>
      <c r="DW21" s="33"/>
      <c r="DX21" s="33"/>
      <c r="DY21" s="790"/>
      <c r="DZ21" s="791"/>
      <c r="EA21" s="33"/>
      <c r="EB21" s="33"/>
      <c r="EC21" s="33"/>
      <c r="ED21" s="33"/>
      <c r="EE21" s="33"/>
      <c r="EF21" s="33"/>
      <c r="EG21" s="33"/>
      <c r="EH21" s="33"/>
      <c r="EI21" s="790"/>
      <c r="EJ21" s="791"/>
      <c r="EK21" s="33"/>
      <c r="EL21" s="33"/>
      <c r="EM21" s="33"/>
      <c r="EN21" s="33"/>
      <c r="EO21" s="33"/>
      <c r="EP21" s="33"/>
      <c r="EQ21" s="33"/>
      <c r="ER21" s="33"/>
      <c r="ES21" s="790"/>
      <c r="ET21" s="791"/>
      <c r="EU21" s="33"/>
      <c r="EV21" s="33"/>
      <c r="EW21" s="33"/>
      <c r="EX21" s="33"/>
      <c r="EY21" s="33"/>
      <c r="EZ21" s="33"/>
      <c r="FA21" s="33"/>
      <c r="FB21" s="33"/>
      <c r="FC21" s="790"/>
      <c r="FD21" s="791"/>
      <c r="FE21" s="33"/>
      <c r="FF21" s="33"/>
      <c r="FG21" s="33"/>
      <c r="FH21" s="33"/>
      <c r="FI21" s="33"/>
      <c r="FJ21" s="33"/>
      <c r="FK21" s="33"/>
      <c r="FL21" s="33"/>
      <c r="FM21" s="790"/>
      <c r="FN21" s="791"/>
      <c r="FO21" s="33"/>
      <c r="FP21" s="33"/>
      <c r="FQ21" s="33"/>
      <c r="FR21" s="33"/>
      <c r="FS21" s="33"/>
      <c r="FT21" s="33"/>
      <c r="FU21" s="33"/>
      <c r="FV21" s="33"/>
      <c r="FW21" s="790"/>
      <c r="FX21" s="791"/>
      <c r="FY21" s="33"/>
      <c r="FZ21" s="33"/>
      <c r="GA21" s="33"/>
      <c r="GB21" s="33"/>
      <c r="GC21" s="33"/>
      <c r="GD21" s="33"/>
      <c r="GE21" s="33"/>
      <c r="GF21" s="33"/>
      <c r="GG21" s="790"/>
      <c r="GH21" s="791"/>
      <c r="GI21" s="33"/>
      <c r="GJ21" s="33"/>
      <c r="GK21" s="33"/>
      <c r="GL21" s="33"/>
      <c r="GM21" s="33"/>
      <c r="GN21" s="33"/>
      <c r="GO21" s="33"/>
      <c r="GP21" s="33"/>
      <c r="GQ21" s="790"/>
      <c r="GR21" s="791"/>
      <c r="GS21" s="33"/>
      <c r="GT21" s="33"/>
      <c r="GU21" s="33"/>
      <c r="GV21" s="33"/>
      <c r="GW21" s="33"/>
      <c r="GX21" s="33"/>
      <c r="GY21" s="33"/>
      <c r="GZ21" s="33"/>
      <c r="HA21" s="790"/>
      <c r="HB21" s="791"/>
      <c r="HC21" s="33"/>
      <c r="HD21" s="33"/>
      <c r="HE21" s="33"/>
      <c r="HF21" s="33"/>
      <c r="HG21" s="33"/>
      <c r="HH21" s="33"/>
      <c r="HI21" s="33"/>
      <c r="HJ21" s="33"/>
      <c r="HK21" s="790"/>
      <c r="HL21" s="791"/>
      <c r="HM21" s="33"/>
      <c r="HN21" s="33"/>
      <c r="HO21" s="33"/>
      <c r="HP21" s="33"/>
      <c r="HQ21" s="33"/>
      <c r="HR21" s="33"/>
      <c r="HS21" s="33"/>
      <c r="HT21" s="33"/>
      <c r="HU21" s="790"/>
      <c r="HV21" s="791"/>
      <c r="HW21" s="33"/>
      <c r="HX21" s="33"/>
      <c r="HY21" s="33"/>
      <c r="HZ21" s="33"/>
      <c r="IA21" s="33"/>
      <c r="IB21" s="33"/>
      <c r="IC21" s="33"/>
      <c r="ID21" s="33"/>
      <c r="IE21" s="790"/>
      <c r="IF21" s="791"/>
      <c r="IG21" s="33"/>
      <c r="IH21" s="33"/>
      <c r="II21" s="33"/>
      <c r="IJ21" s="33"/>
      <c r="IK21" s="33"/>
      <c r="IL21" s="33"/>
      <c r="IM21" s="33"/>
      <c r="IN21" s="33"/>
      <c r="IO21" s="790"/>
      <c r="IP21" s="789"/>
      <c r="IQ21" s="788"/>
      <c r="IR21" s="792"/>
      <c r="IS21" s="792"/>
      <c r="IT21" s="792"/>
      <c r="IU21" s="792"/>
      <c r="IV21" s="792"/>
      <c r="IW21" s="792"/>
      <c r="IX21" s="507"/>
      <c r="IY21" s="193"/>
    </row>
    <row r="22" spans="2:259" ht="19.5" thickBot="1" x14ac:dyDescent="0.35">
      <c r="B22" s="805"/>
      <c r="C22" s="423">
        <v>29.43</v>
      </c>
      <c r="D22" s="821">
        <v>4</v>
      </c>
      <c r="E22" s="821">
        <v>3.0659999999999998</v>
      </c>
      <c r="F22" s="821">
        <v>1.9039999999999999</v>
      </c>
      <c r="G22" s="821">
        <v>3.028</v>
      </c>
      <c r="H22" s="192"/>
      <c r="I22" s="832"/>
      <c r="J22" s="834" t="s">
        <v>368</v>
      </c>
      <c r="K22" s="876" t="e">
        <f>VLOOKUP(C5,C19:G34,3,FALSE)</f>
        <v>#N/A</v>
      </c>
      <c r="L22" s="876" t="s">
        <v>151</v>
      </c>
      <c r="M22" s="876"/>
      <c r="N22" s="881" t="s">
        <v>189</v>
      </c>
      <c r="O22" s="879"/>
      <c r="P22" s="107" t="str">
        <f>IF(OR(C3&lt;H3,C4&lt;H4,C5&lt;H5,C3&gt;I3,C4&gt;I4,C5&gt;I5),"",K30/144)</f>
        <v/>
      </c>
      <c r="Q22" s="159" t="s">
        <v>42</v>
      </c>
      <c r="R22" s="692"/>
      <c r="S22" s="827"/>
      <c r="T22" s="692"/>
      <c r="U22" s="520"/>
      <c r="V22" s="198" t="str">
        <f>C1&amp;"_ENG_FA%"</f>
        <v>MCDE635_ENG_FA%</v>
      </c>
      <c r="W22" s="852" t="e">
        <f>(W20/W21)*100</f>
        <v>#VALUE!</v>
      </c>
      <c r="X22" s="851" t="s">
        <v>13</v>
      </c>
      <c r="Y22" s="840"/>
      <c r="AA22" s="61"/>
      <c r="AC22" s="424"/>
      <c r="AD22" s="71"/>
      <c r="AE22" s="71"/>
      <c r="AF22" s="71"/>
      <c r="AG22" s="71"/>
      <c r="AH22" s="71"/>
      <c r="AS22" s="193"/>
      <c r="AT22" s="507"/>
      <c r="AU22" s="789"/>
      <c r="AV22" s="789"/>
      <c r="AW22" s="789"/>
      <c r="AX22" s="791"/>
      <c r="AY22" s="33"/>
      <c r="AZ22" s="33"/>
      <c r="BA22" s="33"/>
      <c r="BB22" s="33"/>
      <c r="BC22" s="33"/>
      <c r="BD22" s="33"/>
      <c r="BE22" s="33"/>
      <c r="BF22" s="33"/>
      <c r="BG22" s="790"/>
      <c r="BH22" s="791"/>
      <c r="BI22" s="33"/>
      <c r="BJ22" s="33"/>
      <c r="BK22" s="33"/>
      <c r="BL22" s="33"/>
      <c r="BM22" s="33"/>
      <c r="BN22" s="33"/>
      <c r="BO22" s="33"/>
      <c r="BP22" s="33"/>
      <c r="BQ22" s="790"/>
      <c r="BR22" s="791"/>
      <c r="BS22" s="33"/>
      <c r="BT22" s="33"/>
      <c r="BU22" s="33"/>
      <c r="BV22" s="33"/>
      <c r="BW22" s="33"/>
      <c r="BX22" s="33"/>
      <c r="BY22" s="33"/>
      <c r="BZ22" s="33"/>
      <c r="CA22" s="790"/>
      <c r="CB22" s="791"/>
      <c r="CC22" s="33"/>
      <c r="CD22" s="33"/>
      <c r="CE22" s="33"/>
      <c r="CF22" s="33"/>
      <c r="CG22" s="33"/>
      <c r="CH22" s="33"/>
      <c r="CI22" s="33"/>
      <c r="CJ22" s="33"/>
      <c r="CK22" s="790"/>
      <c r="CL22" s="791"/>
      <c r="CM22" s="33"/>
      <c r="CN22" s="33"/>
      <c r="CO22" s="33"/>
      <c r="CP22" s="33"/>
      <c r="CQ22" s="33"/>
      <c r="CR22" s="33"/>
      <c r="CS22" s="33"/>
      <c r="CT22" s="33"/>
      <c r="CU22" s="790"/>
      <c r="CV22" s="791"/>
      <c r="CW22" s="33"/>
      <c r="CX22" s="33"/>
      <c r="CY22" s="33"/>
      <c r="CZ22" s="33"/>
      <c r="DA22" s="33"/>
      <c r="DB22" s="33"/>
      <c r="DC22" s="33"/>
      <c r="DD22" s="33"/>
      <c r="DE22" s="790"/>
      <c r="DF22" s="791"/>
      <c r="DG22" s="33"/>
      <c r="DH22" s="33"/>
      <c r="DI22" s="33"/>
      <c r="DJ22" s="33"/>
      <c r="DK22" s="33"/>
      <c r="DL22" s="33"/>
      <c r="DM22" s="33"/>
      <c r="DN22" s="33"/>
      <c r="DO22" s="790"/>
      <c r="DP22" s="791"/>
      <c r="DQ22" s="33"/>
      <c r="DR22" s="33"/>
      <c r="DS22" s="33"/>
      <c r="DT22" s="33"/>
      <c r="DU22" s="33"/>
      <c r="DV22" s="33"/>
      <c r="DW22" s="33"/>
      <c r="DX22" s="33"/>
      <c r="DY22" s="790"/>
      <c r="DZ22" s="791"/>
      <c r="EA22" s="33"/>
      <c r="EB22" s="33"/>
      <c r="EC22" s="33"/>
      <c r="ED22" s="33"/>
      <c r="EE22" s="33"/>
      <c r="EF22" s="33"/>
      <c r="EG22" s="33"/>
      <c r="EH22" s="33"/>
      <c r="EI22" s="790"/>
      <c r="EJ22" s="791"/>
      <c r="EK22" s="33"/>
      <c r="EL22" s="33"/>
      <c r="EM22" s="33"/>
      <c r="EN22" s="33"/>
      <c r="EO22" s="33"/>
      <c r="EP22" s="33"/>
      <c r="EQ22" s="33"/>
      <c r="ER22" s="33"/>
      <c r="ES22" s="790"/>
      <c r="ET22" s="791"/>
      <c r="EU22" s="33"/>
      <c r="EV22" s="33"/>
      <c r="EW22" s="33"/>
      <c r="EX22" s="33"/>
      <c r="EY22" s="33"/>
      <c r="EZ22" s="33"/>
      <c r="FA22" s="33"/>
      <c r="FB22" s="33"/>
      <c r="FC22" s="790"/>
      <c r="FD22" s="791"/>
      <c r="FE22" s="33"/>
      <c r="FF22" s="33"/>
      <c r="FG22" s="33"/>
      <c r="FH22" s="33"/>
      <c r="FI22" s="33"/>
      <c r="FJ22" s="33"/>
      <c r="FK22" s="33"/>
      <c r="FL22" s="33"/>
      <c r="FM22" s="790"/>
      <c r="FN22" s="791"/>
      <c r="FO22" s="33"/>
      <c r="FP22" s="33"/>
      <c r="FQ22" s="33"/>
      <c r="FR22" s="33"/>
      <c r="FS22" s="33"/>
      <c r="FT22" s="33"/>
      <c r="FU22" s="33"/>
      <c r="FV22" s="33"/>
      <c r="FW22" s="790"/>
      <c r="FX22" s="791"/>
      <c r="FY22" s="33"/>
      <c r="FZ22" s="33"/>
      <c r="GA22" s="33"/>
      <c r="GB22" s="33"/>
      <c r="GC22" s="33"/>
      <c r="GD22" s="33"/>
      <c r="GE22" s="33"/>
      <c r="GF22" s="33"/>
      <c r="GG22" s="790"/>
      <c r="GH22" s="791"/>
      <c r="GI22" s="33"/>
      <c r="GJ22" s="33"/>
      <c r="GK22" s="33"/>
      <c r="GL22" s="33"/>
      <c r="GM22" s="33"/>
      <c r="GN22" s="33"/>
      <c r="GO22" s="33"/>
      <c r="GP22" s="33"/>
      <c r="GQ22" s="790"/>
      <c r="GR22" s="791"/>
      <c r="GS22" s="33"/>
      <c r="GT22" s="33"/>
      <c r="GU22" s="33"/>
      <c r="GV22" s="33"/>
      <c r="GW22" s="33"/>
      <c r="GX22" s="33"/>
      <c r="GY22" s="33"/>
      <c r="GZ22" s="33"/>
      <c r="HA22" s="790"/>
      <c r="HB22" s="791"/>
      <c r="HC22" s="33"/>
      <c r="HD22" s="33"/>
      <c r="HE22" s="33"/>
      <c r="HF22" s="33"/>
      <c r="HG22" s="33"/>
      <c r="HH22" s="33"/>
      <c r="HI22" s="33"/>
      <c r="HJ22" s="33"/>
      <c r="HK22" s="790"/>
      <c r="HL22" s="791"/>
      <c r="HM22" s="33"/>
      <c r="HN22" s="33"/>
      <c r="HO22" s="33"/>
      <c r="HP22" s="33"/>
      <c r="HQ22" s="33"/>
      <c r="HR22" s="33"/>
      <c r="HS22" s="33"/>
      <c r="HT22" s="33"/>
      <c r="HU22" s="790"/>
      <c r="HV22" s="791"/>
      <c r="HW22" s="33"/>
      <c r="HX22" s="33"/>
      <c r="HY22" s="33"/>
      <c r="HZ22" s="33"/>
      <c r="IA22" s="33"/>
      <c r="IB22" s="33"/>
      <c r="IC22" s="33"/>
      <c r="ID22" s="33"/>
      <c r="IE22" s="790"/>
      <c r="IF22" s="791"/>
      <c r="IG22" s="33"/>
      <c r="IH22" s="33"/>
      <c r="II22" s="33"/>
      <c r="IJ22" s="33"/>
      <c r="IK22" s="33"/>
      <c r="IL22" s="33"/>
      <c r="IM22" s="33"/>
      <c r="IN22" s="33"/>
      <c r="IO22" s="790"/>
      <c r="IP22" s="790"/>
      <c r="IQ22" s="788"/>
      <c r="IR22" s="792"/>
      <c r="IS22" s="792"/>
      <c r="IT22" s="792"/>
      <c r="IU22" s="792"/>
      <c r="IV22" s="792"/>
      <c r="IW22" s="792"/>
      <c r="IX22" s="507"/>
      <c r="IY22" s="193"/>
    </row>
    <row r="23" spans="2:259" ht="19.5" thickBot="1" x14ac:dyDescent="0.35">
      <c r="B23" s="805"/>
      <c r="C23" s="423">
        <v>33.93</v>
      </c>
      <c r="D23" s="821">
        <v>5</v>
      </c>
      <c r="E23" s="821">
        <v>3.0659999999999998</v>
      </c>
      <c r="F23" s="821">
        <v>1.9039999999999999</v>
      </c>
      <c r="G23" s="821">
        <v>3.028</v>
      </c>
      <c r="H23" s="192"/>
      <c r="I23" s="828"/>
      <c r="J23" s="882" t="s">
        <v>369</v>
      </c>
      <c r="K23" s="876" t="e">
        <f>VLOOKUP(C5,C19:G34,4,FALSE)</f>
        <v>#N/A</v>
      </c>
      <c r="L23" s="876" t="s">
        <v>151</v>
      </c>
      <c r="M23" s="876"/>
      <c r="N23" s="881" t="s">
        <v>190</v>
      </c>
      <c r="O23" s="879"/>
      <c r="P23" s="107" t="e">
        <f>((C3*C5*2)+(C4*C5*2))/144</f>
        <v>#VALUE!</v>
      </c>
      <c r="Q23" s="159" t="s">
        <v>42</v>
      </c>
      <c r="R23" s="692"/>
      <c r="S23" s="827"/>
      <c r="T23" s="692"/>
      <c r="U23" s="520"/>
      <c r="V23" s="198" t="str">
        <f>C1&amp;"_ENG_VEL"</f>
        <v>MCDE635_ENG_VEL</v>
      </c>
      <c r="W23" s="494" t="e">
        <f>C6/W20</f>
        <v>#VALUE!</v>
      </c>
      <c r="X23" s="843" t="s">
        <v>45</v>
      </c>
      <c r="Y23" s="840"/>
      <c r="AA23" s="61"/>
      <c r="AC23" s="424"/>
      <c r="AD23" s="71"/>
      <c r="AE23" s="71"/>
      <c r="AF23" s="71"/>
      <c r="AG23" s="71"/>
      <c r="AH23" s="71"/>
      <c r="AS23" s="193"/>
      <c r="AT23" s="507"/>
      <c r="AU23" s="789"/>
      <c r="AV23" s="789"/>
      <c r="AW23" s="789"/>
      <c r="AX23" s="791"/>
      <c r="AY23" s="33"/>
      <c r="AZ23" s="33"/>
      <c r="BA23" s="33"/>
      <c r="BB23" s="33"/>
      <c r="BC23" s="33"/>
      <c r="BD23" s="33"/>
      <c r="BE23" s="33"/>
      <c r="BF23" s="33"/>
      <c r="BG23" s="790"/>
      <c r="BH23" s="791"/>
      <c r="BI23" s="33"/>
      <c r="BJ23" s="33"/>
      <c r="BK23" s="33"/>
      <c r="BL23" s="33"/>
      <c r="BM23" s="33"/>
      <c r="BN23" s="33"/>
      <c r="BO23" s="33"/>
      <c r="BP23" s="33"/>
      <c r="BQ23" s="790"/>
      <c r="BR23" s="791"/>
      <c r="BS23" s="33"/>
      <c r="BT23" s="33"/>
      <c r="BU23" s="33"/>
      <c r="BV23" s="33"/>
      <c r="BW23" s="33"/>
      <c r="BX23" s="33"/>
      <c r="BY23" s="33"/>
      <c r="BZ23" s="33"/>
      <c r="CA23" s="790"/>
      <c r="CB23" s="791"/>
      <c r="CC23" s="33"/>
      <c r="CD23" s="33"/>
      <c r="CE23" s="33"/>
      <c r="CF23" s="33"/>
      <c r="CG23" s="33"/>
      <c r="CH23" s="33"/>
      <c r="CI23" s="33"/>
      <c r="CJ23" s="33"/>
      <c r="CK23" s="790"/>
      <c r="CL23" s="791"/>
      <c r="CM23" s="33"/>
      <c r="CN23" s="33"/>
      <c r="CO23" s="33"/>
      <c r="CP23" s="33"/>
      <c r="CQ23" s="33"/>
      <c r="CR23" s="33"/>
      <c r="CS23" s="33"/>
      <c r="CT23" s="33"/>
      <c r="CU23" s="790"/>
      <c r="CV23" s="791"/>
      <c r="CW23" s="33"/>
      <c r="CX23" s="33"/>
      <c r="CY23" s="33"/>
      <c r="CZ23" s="33"/>
      <c r="DA23" s="33"/>
      <c r="DB23" s="33"/>
      <c r="DC23" s="33"/>
      <c r="DD23" s="33"/>
      <c r="DE23" s="790"/>
      <c r="DF23" s="791"/>
      <c r="DG23" s="33"/>
      <c r="DH23" s="33"/>
      <c r="DI23" s="33"/>
      <c r="DJ23" s="33"/>
      <c r="DK23" s="33"/>
      <c r="DL23" s="33"/>
      <c r="DM23" s="33"/>
      <c r="DN23" s="33"/>
      <c r="DO23" s="790"/>
      <c r="DP23" s="791"/>
      <c r="DQ23" s="33"/>
      <c r="DR23" s="33"/>
      <c r="DS23" s="33"/>
      <c r="DT23" s="33"/>
      <c r="DU23" s="33"/>
      <c r="DV23" s="33"/>
      <c r="DW23" s="33"/>
      <c r="DX23" s="33"/>
      <c r="DY23" s="790"/>
      <c r="DZ23" s="791"/>
      <c r="EA23" s="33"/>
      <c r="EB23" s="33"/>
      <c r="EC23" s="33"/>
      <c r="ED23" s="33"/>
      <c r="EE23" s="33"/>
      <c r="EF23" s="33"/>
      <c r="EG23" s="33"/>
      <c r="EH23" s="33"/>
      <c r="EI23" s="790"/>
      <c r="EJ23" s="791"/>
      <c r="EK23" s="33"/>
      <c r="EL23" s="33"/>
      <c r="EM23" s="33"/>
      <c r="EN23" s="33"/>
      <c r="EO23" s="33"/>
      <c r="EP23" s="33"/>
      <c r="EQ23" s="33"/>
      <c r="ER23" s="33"/>
      <c r="ES23" s="790"/>
      <c r="ET23" s="791"/>
      <c r="EU23" s="33"/>
      <c r="EV23" s="33"/>
      <c r="EW23" s="33"/>
      <c r="EX23" s="33"/>
      <c r="EY23" s="33"/>
      <c r="EZ23" s="33"/>
      <c r="FA23" s="33"/>
      <c r="FB23" s="33"/>
      <c r="FC23" s="790"/>
      <c r="FD23" s="791"/>
      <c r="FE23" s="33"/>
      <c r="FF23" s="33"/>
      <c r="FG23" s="33"/>
      <c r="FH23" s="33"/>
      <c r="FI23" s="33"/>
      <c r="FJ23" s="33"/>
      <c r="FK23" s="33"/>
      <c r="FL23" s="33"/>
      <c r="FM23" s="790"/>
      <c r="FN23" s="791"/>
      <c r="FO23" s="33"/>
      <c r="FP23" s="33"/>
      <c r="FQ23" s="33"/>
      <c r="FR23" s="33"/>
      <c r="FS23" s="33"/>
      <c r="FT23" s="33"/>
      <c r="FU23" s="33"/>
      <c r="FV23" s="33"/>
      <c r="FW23" s="790"/>
      <c r="FX23" s="791"/>
      <c r="FY23" s="33"/>
      <c r="FZ23" s="33"/>
      <c r="GA23" s="33"/>
      <c r="GB23" s="33"/>
      <c r="GC23" s="33"/>
      <c r="GD23" s="33"/>
      <c r="GE23" s="33"/>
      <c r="GF23" s="33"/>
      <c r="GG23" s="790"/>
      <c r="GH23" s="791"/>
      <c r="GI23" s="33"/>
      <c r="GJ23" s="33"/>
      <c r="GK23" s="33"/>
      <c r="GL23" s="33"/>
      <c r="GM23" s="33"/>
      <c r="GN23" s="33"/>
      <c r="GO23" s="33"/>
      <c r="GP23" s="33"/>
      <c r="GQ23" s="790"/>
      <c r="GR23" s="791"/>
      <c r="GS23" s="33"/>
      <c r="GT23" s="33"/>
      <c r="GU23" s="33"/>
      <c r="GV23" s="33"/>
      <c r="GW23" s="33"/>
      <c r="GX23" s="33"/>
      <c r="GY23" s="33"/>
      <c r="GZ23" s="33"/>
      <c r="HA23" s="790"/>
      <c r="HB23" s="791"/>
      <c r="HC23" s="33"/>
      <c r="HD23" s="33"/>
      <c r="HE23" s="33"/>
      <c r="HF23" s="33"/>
      <c r="HG23" s="33"/>
      <c r="HH23" s="33"/>
      <c r="HI23" s="33"/>
      <c r="HJ23" s="33"/>
      <c r="HK23" s="790"/>
      <c r="HL23" s="791"/>
      <c r="HM23" s="33"/>
      <c r="HN23" s="33"/>
      <c r="HO23" s="33"/>
      <c r="HP23" s="33"/>
      <c r="HQ23" s="33"/>
      <c r="HR23" s="33"/>
      <c r="HS23" s="33"/>
      <c r="HT23" s="33"/>
      <c r="HU23" s="790"/>
      <c r="HV23" s="791"/>
      <c r="HW23" s="33"/>
      <c r="HX23" s="33"/>
      <c r="HY23" s="33"/>
      <c r="HZ23" s="33"/>
      <c r="IA23" s="33"/>
      <c r="IB23" s="33"/>
      <c r="IC23" s="33"/>
      <c r="ID23" s="33"/>
      <c r="IE23" s="790"/>
      <c r="IF23" s="791"/>
      <c r="IG23" s="33"/>
      <c r="IH23" s="33"/>
      <c r="II23" s="33"/>
      <c r="IJ23" s="33"/>
      <c r="IK23" s="33"/>
      <c r="IL23" s="33"/>
      <c r="IM23" s="33"/>
      <c r="IN23" s="33"/>
      <c r="IO23" s="790"/>
      <c r="IP23" s="790"/>
      <c r="IQ23" s="788"/>
      <c r="IR23" s="792"/>
      <c r="IS23" s="792"/>
      <c r="IT23" s="792"/>
      <c r="IU23" s="792"/>
      <c r="IV23" s="792"/>
      <c r="IW23" s="792"/>
      <c r="IX23" s="507"/>
      <c r="IY23" s="193"/>
    </row>
    <row r="24" spans="2:259" ht="19.5" thickBot="1" x14ac:dyDescent="0.35">
      <c r="B24" s="805"/>
      <c r="C24" s="423">
        <v>38.43</v>
      </c>
      <c r="D24" s="821">
        <v>6</v>
      </c>
      <c r="E24" s="821">
        <v>3.0659999999999998</v>
      </c>
      <c r="F24" s="821">
        <v>1.9039999999999999</v>
      </c>
      <c r="G24" s="821">
        <v>3.028</v>
      </c>
      <c r="H24" s="192"/>
      <c r="I24" s="828"/>
      <c r="J24" s="834" t="s">
        <v>370</v>
      </c>
      <c r="K24" s="876" t="e">
        <f>VLOOKUP(C5,C19:G34,5,FALSE)</f>
        <v>#N/A</v>
      </c>
      <c r="L24" s="876" t="s">
        <v>151</v>
      </c>
      <c r="M24" s="876"/>
      <c r="N24" s="881" t="s">
        <v>191</v>
      </c>
      <c r="O24" s="879"/>
      <c r="P24" s="107" t="e">
        <f>(P22/P23)*100</f>
        <v>#VALUE!</v>
      </c>
      <c r="Q24" s="159" t="s">
        <v>13</v>
      </c>
      <c r="R24" s="692"/>
      <c r="S24" s="827"/>
      <c r="T24" s="692"/>
      <c r="U24" s="528" t="s">
        <v>69</v>
      </c>
      <c r="V24" s="516" t="str">
        <f>C1&amp;"_ENG_P_IN"</f>
        <v>MCDE635_ENG_P_IN</v>
      </c>
      <c r="W24" s="852" t="e">
        <f>1.70654844438105E-07*W23^2 + 7.72494047896E-19* - 2.15105711021124E-16</f>
        <v>#VALUE!</v>
      </c>
      <c r="X24" s="843" t="s">
        <v>85</v>
      </c>
      <c r="Y24" s="840"/>
      <c r="AA24" s="61"/>
      <c r="AC24" s="424"/>
      <c r="AD24" s="71"/>
      <c r="AE24" s="71"/>
      <c r="AF24" s="71"/>
      <c r="AG24" s="71"/>
      <c r="AH24" s="71"/>
      <c r="AS24" s="193"/>
      <c r="AT24" s="507"/>
      <c r="AU24" s="789"/>
      <c r="AV24" s="789"/>
      <c r="AW24" s="789"/>
      <c r="AX24" s="791"/>
      <c r="AY24" s="33"/>
      <c r="AZ24" s="33"/>
      <c r="BA24" s="33"/>
      <c r="BB24" s="33"/>
      <c r="BC24" s="33"/>
      <c r="BD24" s="33"/>
      <c r="BE24" s="33"/>
      <c r="BF24" s="33"/>
      <c r="BG24" s="790"/>
      <c r="BH24" s="791"/>
      <c r="BI24" s="33"/>
      <c r="BJ24" s="33"/>
      <c r="BK24" s="33"/>
      <c r="BL24" s="33"/>
      <c r="BM24" s="33"/>
      <c r="BN24" s="33"/>
      <c r="BO24" s="33"/>
      <c r="BP24" s="33"/>
      <c r="BQ24" s="790"/>
      <c r="BR24" s="791"/>
      <c r="BS24" s="33"/>
      <c r="BT24" s="33"/>
      <c r="BU24" s="33"/>
      <c r="BV24" s="33"/>
      <c r="BW24" s="33"/>
      <c r="BX24" s="33"/>
      <c r="BY24" s="33"/>
      <c r="BZ24" s="33"/>
      <c r="CA24" s="790"/>
      <c r="CB24" s="791"/>
      <c r="CC24" s="33"/>
      <c r="CD24" s="33"/>
      <c r="CE24" s="33"/>
      <c r="CF24" s="33"/>
      <c r="CG24" s="33"/>
      <c r="CH24" s="33"/>
      <c r="CI24" s="33"/>
      <c r="CJ24" s="33"/>
      <c r="CK24" s="790"/>
      <c r="CL24" s="791"/>
      <c r="CM24" s="33"/>
      <c r="CN24" s="33"/>
      <c r="CO24" s="33"/>
      <c r="CP24" s="33"/>
      <c r="CQ24" s="33"/>
      <c r="CR24" s="33"/>
      <c r="CS24" s="33"/>
      <c r="CT24" s="33"/>
      <c r="CU24" s="790"/>
      <c r="CV24" s="791"/>
      <c r="CW24" s="33"/>
      <c r="CX24" s="33"/>
      <c r="CY24" s="33"/>
      <c r="CZ24" s="33"/>
      <c r="DA24" s="33"/>
      <c r="DB24" s="33"/>
      <c r="DC24" s="33"/>
      <c r="DD24" s="33"/>
      <c r="DE24" s="790"/>
      <c r="DF24" s="791"/>
      <c r="DG24" s="33"/>
      <c r="DH24" s="33"/>
      <c r="DI24" s="33"/>
      <c r="DJ24" s="33"/>
      <c r="DK24" s="33"/>
      <c r="DL24" s="33"/>
      <c r="DM24" s="33"/>
      <c r="DN24" s="33"/>
      <c r="DO24" s="790"/>
      <c r="DP24" s="791"/>
      <c r="DQ24" s="33"/>
      <c r="DR24" s="33"/>
      <c r="DS24" s="33"/>
      <c r="DT24" s="33"/>
      <c r="DU24" s="33"/>
      <c r="DV24" s="33"/>
      <c r="DW24" s="33"/>
      <c r="DX24" s="33"/>
      <c r="DY24" s="790"/>
      <c r="DZ24" s="791"/>
      <c r="EA24" s="33"/>
      <c r="EB24" s="33"/>
      <c r="EC24" s="33"/>
      <c r="ED24" s="33"/>
      <c r="EE24" s="33"/>
      <c r="EF24" s="33"/>
      <c r="EG24" s="33"/>
      <c r="EH24" s="33"/>
      <c r="EI24" s="790"/>
      <c r="EJ24" s="791"/>
      <c r="EK24" s="33"/>
      <c r="EL24" s="33"/>
      <c r="EM24" s="33"/>
      <c r="EN24" s="33"/>
      <c r="EO24" s="33"/>
      <c r="EP24" s="33"/>
      <c r="EQ24" s="33"/>
      <c r="ER24" s="33"/>
      <c r="ES24" s="790"/>
      <c r="ET24" s="791"/>
      <c r="EU24" s="33"/>
      <c r="EV24" s="33"/>
      <c r="EW24" s="33"/>
      <c r="EX24" s="33"/>
      <c r="EY24" s="33"/>
      <c r="EZ24" s="33"/>
      <c r="FA24" s="33"/>
      <c r="FB24" s="33"/>
      <c r="FC24" s="790"/>
      <c r="FD24" s="791"/>
      <c r="FE24" s="33"/>
      <c r="FF24" s="33"/>
      <c r="FG24" s="33"/>
      <c r="FH24" s="33"/>
      <c r="FI24" s="33"/>
      <c r="FJ24" s="33"/>
      <c r="FK24" s="33"/>
      <c r="FL24" s="33"/>
      <c r="FM24" s="790"/>
      <c r="FN24" s="791"/>
      <c r="FO24" s="33"/>
      <c r="FP24" s="33"/>
      <c r="FQ24" s="33"/>
      <c r="FR24" s="33"/>
      <c r="FS24" s="33"/>
      <c r="FT24" s="33"/>
      <c r="FU24" s="33"/>
      <c r="FV24" s="33"/>
      <c r="FW24" s="790"/>
      <c r="FX24" s="791"/>
      <c r="FY24" s="33"/>
      <c r="FZ24" s="33"/>
      <c r="GA24" s="33"/>
      <c r="GB24" s="33"/>
      <c r="GC24" s="33"/>
      <c r="GD24" s="33"/>
      <c r="GE24" s="33"/>
      <c r="GF24" s="33"/>
      <c r="GG24" s="790"/>
      <c r="GH24" s="791"/>
      <c r="GI24" s="33"/>
      <c r="GJ24" s="33"/>
      <c r="GK24" s="33"/>
      <c r="GL24" s="33"/>
      <c r="GM24" s="33"/>
      <c r="GN24" s="33"/>
      <c r="GO24" s="33"/>
      <c r="GP24" s="33"/>
      <c r="GQ24" s="790"/>
      <c r="GR24" s="791"/>
      <c r="GS24" s="33"/>
      <c r="GT24" s="33"/>
      <c r="GU24" s="33"/>
      <c r="GV24" s="33"/>
      <c r="GW24" s="33"/>
      <c r="GX24" s="33"/>
      <c r="GY24" s="33"/>
      <c r="GZ24" s="33"/>
      <c r="HA24" s="790"/>
      <c r="HB24" s="791"/>
      <c r="HC24" s="33"/>
      <c r="HD24" s="33"/>
      <c r="HE24" s="33"/>
      <c r="HF24" s="33"/>
      <c r="HG24" s="33"/>
      <c r="HH24" s="33"/>
      <c r="HI24" s="33"/>
      <c r="HJ24" s="33"/>
      <c r="HK24" s="790"/>
      <c r="HL24" s="791"/>
      <c r="HM24" s="33"/>
      <c r="HN24" s="33"/>
      <c r="HO24" s="33"/>
      <c r="HP24" s="33"/>
      <c r="HQ24" s="33"/>
      <c r="HR24" s="33"/>
      <c r="HS24" s="33"/>
      <c r="HT24" s="33"/>
      <c r="HU24" s="790"/>
      <c r="HV24" s="791"/>
      <c r="HW24" s="33"/>
      <c r="HX24" s="33"/>
      <c r="HY24" s="33"/>
      <c r="HZ24" s="33"/>
      <c r="IA24" s="33"/>
      <c r="IB24" s="33"/>
      <c r="IC24" s="33"/>
      <c r="ID24" s="33"/>
      <c r="IE24" s="790"/>
      <c r="IF24" s="791"/>
      <c r="IG24" s="33"/>
      <c r="IH24" s="33"/>
      <c r="II24" s="33"/>
      <c r="IJ24" s="33"/>
      <c r="IK24" s="33"/>
      <c r="IL24" s="33"/>
      <c r="IM24" s="33"/>
      <c r="IN24" s="33"/>
      <c r="IO24" s="790"/>
      <c r="IP24" s="790"/>
      <c r="IQ24" s="788"/>
      <c r="IR24" s="792"/>
      <c r="IS24" s="792"/>
      <c r="IT24" s="792"/>
      <c r="IU24" s="792"/>
      <c r="IV24" s="792"/>
      <c r="IW24" s="792"/>
      <c r="IX24" s="507"/>
      <c r="IY24" s="193"/>
    </row>
    <row r="25" spans="2:259" ht="19.5" thickBot="1" x14ac:dyDescent="0.35">
      <c r="B25" s="806"/>
      <c r="C25" s="423">
        <v>42.93</v>
      </c>
      <c r="D25" s="821">
        <v>7</v>
      </c>
      <c r="E25" s="821">
        <v>3.0659999999999998</v>
      </c>
      <c r="F25" s="821">
        <v>1.9039999999999999</v>
      </c>
      <c r="G25" s="821">
        <v>3.028</v>
      </c>
      <c r="H25" s="192"/>
      <c r="I25" s="828"/>
      <c r="J25" s="877"/>
      <c r="K25" s="876"/>
      <c r="L25" s="876"/>
      <c r="M25" s="876"/>
      <c r="N25" s="883"/>
      <c r="O25" s="82"/>
      <c r="P25" s="51"/>
      <c r="Q25" s="51"/>
      <c r="R25" s="692"/>
      <c r="S25" s="827"/>
      <c r="T25" s="692"/>
      <c r="U25" s="521"/>
      <c r="V25" s="529" t="str">
        <f>C1&amp;"_ENG_P_EX"</f>
        <v>MCDE635_ENG_P_EX</v>
      </c>
      <c r="W25" s="853" t="e">
        <f>1.45002333746652E-07*W23^2 + 7.99599102208E-19*+ 5.27355936696949E-16</f>
        <v>#VALUE!</v>
      </c>
      <c r="X25" s="844" t="s">
        <v>85</v>
      </c>
      <c r="Y25" s="840"/>
      <c r="AA25" s="61"/>
      <c r="AC25" s="424"/>
      <c r="AD25" s="71"/>
      <c r="AE25" s="71"/>
      <c r="AF25" s="71"/>
      <c r="AG25" s="71"/>
      <c r="AH25" s="71"/>
      <c r="AS25" s="193"/>
      <c r="AT25" s="507"/>
      <c r="AU25" s="789"/>
      <c r="AV25" s="789"/>
      <c r="AW25" s="789"/>
      <c r="AX25" s="791"/>
      <c r="AY25" s="33"/>
      <c r="AZ25" s="33"/>
      <c r="BA25" s="33"/>
      <c r="BB25" s="33"/>
      <c r="BC25" s="33"/>
      <c r="BD25" s="33"/>
      <c r="BE25" s="33"/>
      <c r="BF25" s="33"/>
      <c r="BG25" s="790"/>
      <c r="BH25" s="791"/>
      <c r="BI25" s="33"/>
      <c r="BJ25" s="33"/>
      <c r="BK25" s="33"/>
      <c r="BL25" s="33"/>
      <c r="BM25" s="33"/>
      <c r="BN25" s="33"/>
      <c r="BO25" s="33"/>
      <c r="BP25" s="33"/>
      <c r="BQ25" s="790"/>
      <c r="BR25" s="791"/>
      <c r="BS25" s="33"/>
      <c r="BT25" s="33"/>
      <c r="BU25" s="33"/>
      <c r="BV25" s="33"/>
      <c r="BW25" s="33"/>
      <c r="BX25" s="33"/>
      <c r="BY25" s="33"/>
      <c r="BZ25" s="33"/>
      <c r="CA25" s="790"/>
      <c r="CB25" s="791"/>
      <c r="CC25" s="33"/>
      <c r="CD25" s="33"/>
      <c r="CE25" s="33"/>
      <c r="CF25" s="33"/>
      <c r="CG25" s="33"/>
      <c r="CH25" s="33"/>
      <c r="CI25" s="33"/>
      <c r="CJ25" s="33"/>
      <c r="CK25" s="790"/>
      <c r="CL25" s="791"/>
      <c r="CM25" s="33"/>
      <c r="CN25" s="33"/>
      <c r="CO25" s="33"/>
      <c r="CP25" s="33"/>
      <c r="CQ25" s="33"/>
      <c r="CR25" s="33"/>
      <c r="CS25" s="33"/>
      <c r="CT25" s="33"/>
      <c r="CU25" s="790"/>
      <c r="CV25" s="791"/>
      <c r="CW25" s="33"/>
      <c r="CX25" s="33"/>
      <c r="CY25" s="33"/>
      <c r="CZ25" s="33"/>
      <c r="DA25" s="33"/>
      <c r="DB25" s="33"/>
      <c r="DC25" s="33"/>
      <c r="DD25" s="33"/>
      <c r="DE25" s="790"/>
      <c r="DF25" s="791"/>
      <c r="DG25" s="33"/>
      <c r="DH25" s="33"/>
      <c r="DI25" s="33"/>
      <c r="DJ25" s="33"/>
      <c r="DK25" s="33"/>
      <c r="DL25" s="33"/>
      <c r="DM25" s="33"/>
      <c r="DN25" s="33"/>
      <c r="DO25" s="790"/>
      <c r="DP25" s="791"/>
      <c r="DQ25" s="33"/>
      <c r="DR25" s="33"/>
      <c r="DS25" s="33"/>
      <c r="DT25" s="33"/>
      <c r="DU25" s="33"/>
      <c r="DV25" s="33"/>
      <c r="DW25" s="33"/>
      <c r="DX25" s="33"/>
      <c r="DY25" s="790"/>
      <c r="DZ25" s="791"/>
      <c r="EA25" s="33"/>
      <c r="EB25" s="33"/>
      <c r="EC25" s="33"/>
      <c r="ED25" s="33"/>
      <c r="EE25" s="33"/>
      <c r="EF25" s="33"/>
      <c r="EG25" s="33"/>
      <c r="EH25" s="33"/>
      <c r="EI25" s="790"/>
      <c r="EJ25" s="791"/>
      <c r="EK25" s="33"/>
      <c r="EL25" s="33"/>
      <c r="EM25" s="33"/>
      <c r="EN25" s="33"/>
      <c r="EO25" s="33"/>
      <c r="EP25" s="33"/>
      <c r="EQ25" s="33"/>
      <c r="ER25" s="33"/>
      <c r="ES25" s="790"/>
      <c r="ET25" s="791"/>
      <c r="EU25" s="33"/>
      <c r="EV25" s="33"/>
      <c r="EW25" s="33"/>
      <c r="EX25" s="33"/>
      <c r="EY25" s="33"/>
      <c r="EZ25" s="33"/>
      <c r="FA25" s="33"/>
      <c r="FB25" s="33"/>
      <c r="FC25" s="790"/>
      <c r="FD25" s="791"/>
      <c r="FE25" s="33"/>
      <c r="FF25" s="33"/>
      <c r="FG25" s="33"/>
      <c r="FH25" s="33"/>
      <c r="FI25" s="33"/>
      <c r="FJ25" s="33"/>
      <c r="FK25" s="33"/>
      <c r="FL25" s="33"/>
      <c r="FM25" s="790"/>
      <c r="FN25" s="791"/>
      <c r="FO25" s="33"/>
      <c r="FP25" s="33"/>
      <c r="FQ25" s="33"/>
      <c r="FR25" s="33"/>
      <c r="FS25" s="33"/>
      <c r="FT25" s="33"/>
      <c r="FU25" s="33"/>
      <c r="FV25" s="33"/>
      <c r="FW25" s="790"/>
      <c r="FX25" s="791"/>
      <c r="FY25" s="33"/>
      <c r="FZ25" s="33"/>
      <c r="GA25" s="33"/>
      <c r="GB25" s="33"/>
      <c r="GC25" s="33"/>
      <c r="GD25" s="33"/>
      <c r="GE25" s="33"/>
      <c r="GF25" s="33"/>
      <c r="GG25" s="790"/>
      <c r="GH25" s="791"/>
      <c r="GI25" s="33"/>
      <c r="GJ25" s="33"/>
      <c r="GK25" s="33"/>
      <c r="GL25" s="33"/>
      <c r="GM25" s="33"/>
      <c r="GN25" s="33"/>
      <c r="GO25" s="33"/>
      <c r="GP25" s="33"/>
      <c r="GQ25" s="790"/>
      <c r="GR25" s="791"/>
      <c r="GS25" s="33"/>
      <c r="GT25" s="33"/>
      <c r="GU25" s="33"/>
      <c r="GV25" s="33"/>
      <c r="GW25" s="33"/>
      <c r="GX25" s="33"/>
      <c r="GY25" s="33"/>
      <c r="GZ25" s="33"/>
      <c r="HA25" s="790"/>
      <c r="HB25" s="791"/>
      <c r="HC25" s="33"/>
      <c r="HD25" s="33"/>
      <c r="HE25" s="33"/>
      <c r="HF25" s="33"/>
      <c r="HG25" s="33"/>
      <c r="HH25" s="33"/>
      <c r="HI25" s="33"/>
      <c r="HJ25" s="33"/>
      <c r="HK25" s="790"/>
      <c r="HL25" s="791"/>
      <c r="HM25" s="33"/>
      <c r="HN25" s="33"/>
      <c r="HO25" s="33"/>
      <c r="HP25" s="33"/>
      <c r="HQ25" s="33"/>
      <c r="HR25" s="33"/>
      <c r="HS25" s="33"/>
      <c r="HT25" s="33"/>
      <c r="HU25" s="790"/>
      <c r="HV25" s="791"/>
      <c r="HW25" s="33"/>
      <c r="HX25" s="33"/>
      <c r="HY25" s="33"/>
      <c r="HZ25" s="33"/>
      <c r="IA25" s="33"/>
      <c r="IB25" s="33"/>
      <c r="IC25" s="33"/>
      <c r="ID25" s="33"/>
      <c r="IE25" s="790"/>
      <c r="IF25" s="791"/>
      <c r="IG25" s="33"/>
      <c r="IH25" s="33"/>
      <c r="II25" s="33"/>
      <c r="IJ25" s="33"/>
      <c r="IK25" s="33"/>
      <c r="IL25" s="33"/>
      <c r="IM25" s="33"/>
      <c r="IN25" s="33"/>
      <c r="IO25" s="790"/>
      <c r="IP25" s="790"/>
      <c r="IQ25" s="788"/>
      <c r="IR25" s="792"/>
      <c r="IS25" s="792"/>
      <c r="IT25" s="792"/>
      <c r="IU25" s="792"/>
      <c r="IV25" s="792"/>
      <c r="IW25" s="792"/>
      <c r="IX25" s="507"/>
      <c r="IY25" s="193"/>
    </row>
    <row r="26" spans="2:259" ht="19.5" thickBot="1" x14ac:dyDescent="0.35">
      <c r="B26" s="805"/>
      <c r="C26" s="423">
        <v>47.43</v>
      </c>
      <c r="D26" s="821">
        <v>8</v>
      </c>
      <c r="E26" s="821">
        <v>3.0659999999999998</v>
      </c>
      <c r="F26" s="821">
        <v>1.9039999999999999</v>
      </c>
      <c r="G26" s="821">
        <v>3.028</v>
      </c>
      <c r="H26" s="192"/>
      <c r="I26" s="828"/>
      <c r="J26" s="834" t="s">
        <v>381</v>
      </c>
      <c r="K26" s="884" t="e">
        <f>IF(G13=1,4,IF(G13=2,8,IF(G13=3,10,IF(G13=4,20,IF(G13=5,20,"N/A")))))</f>
        <v>#N/A</v>
      </c>
      <c r="L26" s="876"/>
      <c r="M26" s="876"/>
      <c r="N26" s="885" t="s">
        <v>68</v>
      </c>
      <c r="O26" s="877"/>
      <c r="P26" s="494" t="e">
        <f>C6/P22</f>
        <v>#VALUE!</v>
      </c>
      <c r="Q26" s="159" t="s">
        <v>45</v>
      </c>
      <c r="R26" s="692"/>
      <c r="S26" s="827"/>
      <c r="T26" s="692"/>
      <c r="U26" s="692"/>
      <c r="V26" s="692"/>
      <c r="W26" s="692"/>
      <c r="X26" s="842"/>
      <c r="Y26" s="46"/>
      <c r="AA26" s="61"/>
      <c r="AC26" s="424"/>
      <c r="AD26" s="71"/>
      <c r="AE26" s="71"/>
      <c r="AF26" s="71"/>
      <c r="AG26" s="71"/>
      <c r="AH26" s="71"/>
      <c r="AS26" s="193"/>
      <c r="AT26" s="507"/>
      <c r="AU26" s="789"/>
      <c r="AV26" s="789"/>
      <c r="AW26" s="789"/>
      <c r="AX26" s="791"/>
      <c r="AY26" s="33"/>
      <c r="AZ26" s="33"/>
      <c r="BA26" s="33"/>
      <c r="BB26" s="33"/>
      <c r="BC26" s="33"/>
      <c r="BD26" s="33"/>
      <c r="BE26" s="33"/>
      <c r="BF26" s="33"/>
      <c r="BG26" s="790"/>
      <c r="BH26" s="791"/>
      <c r="BI26" s="33"/>
      <c r="BJ26" s="33"/>
      <c r="BK26" s="33"/>
      <c r="BL26" s="33"/>
      <c r="BM26" s="33"/>
      <c r="BN26" s="33"/>
      <c r="BO26" s="33"/>
      <c r="BP26" s="33"/>
      <c r="BQ26" s="790"/>
      <c r="BR26" s="791"/>
      <c r="BS26" s="33"/>
      <c r="BT26" s="33"/>
      <c r="BU26" s="33"/>
      <c r="BV26" s="33"/>
      <c r="BW26" s="33"/>
      <c r="BX26" s="33"/>
      <c r="BY26" s="33"/>
      <c r="BZ26" s="33"/>
      <c r="CA26" s="790"/>
      <c r="CB26" s="791"/>
      <c r="CC26" s="33"/>
      <c r="CD26" s="33"/>
      <c r="CE26" s="33"/>
      <c r="CF26" s="33"/>
      <c r="CG26" s="33"/>
      <c r="CH26" s="33"/>
      <c r="CI26" s="33"/>
      <c r="CJ26" s="33"/>
      <c r="CK26" s="790"/>
      <c r="CL26" s="791"/>
      <c r="CM26" s="33"/>
      <c r="CN26" s="33"/>
      <c r="CO26" s="33"/>
      <c r="CP26" s="33"/>
      <c r="CQ26" s="33"/>
      <c r="CR26" s="33"/>
      <c r="CS26" s="33"/>
      <c r="CT26" s="33"/>
      <c r="CU26" s="790"/>
      <c r="CV26" s="791"/>
      <c r="CW26" s="33"/>
      <c r="CX26" s="33"/>
      <c r="CY26" s="33"/>
      <c r="CZ26" s="33"/>
      <c r="DA26" s="33"/>
      <c r="DB26" s="33"/>
      <c r="DC26" s="33"/>
      <c r="DD26" s="33"/>
      <c r="DE26" s="790"/>
      <c r="DF26" s="791"/>
      <c r="DG26" s="33"/>
      <c r="DH26" s="33"/>
      <c r="DI26" s="33"/>
      <c r="DJ26" s="33"/>
      <c r="DK26" s="33"/>
      <c r="DL26" s="33"/>
      <c r="DM26" s="33"/>
      <c r="DN26" s="33"/>
      <c r="DO26" s="790"/>
      <c r="DP26" s="791"/>
      <c r="DQ26" s="33"/>
      <c r="DR26" s="33"/>
      <c r="DS26" s="33"/>
      <c r="DT26" s="33"/>
      <c r="DU26" s="33"/>
      <c r="DV26" s="33"/>
      <c r="DW26" s="33"/>
      <c r="DX26" s="33"/>
      <c r="DY26" s="790"/>
      <c r="DZ26" s="791"/>
      <c r="EA26" s="33"/>
      <c r="EB26" s="33"/>
      <c r="EC26" s="33"/>
      <c r="ED26" s="33"/>
      <c r="EE26" s="33"/>
      <c r="EF26" s="33"/>
      <c r="EG26" s="33"/>
      <c r="EH26" s="33"/>
      <c r="EI26" s="790"/>
      <c r="EJ26" s="791"/>
      <c r="EK26" s="33"/>
      <c r="EL26" s="33"/>
      <c r="EM26" s="33"/>
      <c r="EN26" s="33"/>
      <c r="EO26" s="33"/>
      <c r="EP26" s="33"/>
      <c r="EQ26" s="33"/>
      <c r="ER26" s="33"/>
      <c r="ES26" s="790"/>
      <c r="ET26" s="791"/>
      <c r="EU26" s="33"/>
      <c r="EV26" s="33"/>
      <c r="EW26" s="33"/>
      <c r="EX26" s="33"/>
      <c r="EY26" s="33"/>
      <c r="EZ26" s="33"/>
      <c r="FA26" s="33"/>
      <c r="FB26" s="33"/>
      <c r="FC26" s="790"/>
      <c r="FD26" s="791"/>
      <c r="FE26" s="33"/>
      <c r="FF26" s="33"/>
      <c r="FG26" s="33"/>
      <c r="FH26" s="33"/>
      <c r="FI26" s="33"/>
      <c r="FJ26" s="33"/>
      <c r="FK26" s="33"/>
      <c r="FL26" s="33"/>
      <c r="FM26" s="790"/>
      <c r="FN26" s="791"/>
      <c r="FO26" s="33"/>
      <c r="FP26" s="33"/>
      <c r="FQ26" s="33"/>
      <c r="FR26" s="33"/>
      <c r="FS26" s="33"/>
      <c r="FT26" s="33"/>
      <c r="FU26" s="33"/>
      <c r="FV26" s="33"/>
      <c r="FW26" s="790"/>
      <c r="FX26" s="791"/>
      <c r="FY26" s="33"/>
      <c r="FZ26" s="33"/>
      <c r="GA26" s="33"/>
      <c r="GB26" s="33"/>
      <c r="GC26" s="33"/>
      <c r="GD26" s="33"/>
      <c r="GE26" s="33"/>
      <c r="GF26" s="33"/>
      <c r="GG26" s="790"/>
      <c r="GH26" s="791"/>
      <c r="GI26" s="33"/>
      <c r="GJ26" s="33"/>
      <c r="GK26" s="33"/>
      <c r="GL26" s="33"/>
      <c r="GM26" s="33"/>
      <c r="GN26" s="33"/>
      <c r="GO26" s="33"/>
      <c r="GP26" s="33"/>
      <c r="GQ26" s="790"/>
      <c r="GR26" s="791"/>
      <c r="GS26" s="33"/>
      <c r="GT26" s="33"/>
      <c r="GU26" s="33"/>
      <c r="GV26" s="33"/>
      <c r="GW26" s="33"/>
      <c r="GX26" s="33"/>
      <c r="GY26" s="33"/>
      <c r="GZ26" s="33"/>
      <c r="HA26" s="790"/>
      <c r="HB26" s="791"/>
      <c r="HC26" s="33"/>
      <c r="HD26" s="33"/>
      <c r="HE26" s="33"/>
      <c r="HF26" s="33"/>
      <c r="HG26" s="33"/>
      <c r="HH26" s="33"/>
      <c r="HI26" s="33"/>
      <c r="HJ26" s="33"/>
      <c r="HK26" s="790"/>
      <c r="HL26" s="791"/>
      <c r="HM26" s="33"/>
      <c r="HN26" s="33"/>
      <c r="HO26" s="33"/>
      <c r="HP26" s="33"/>
      <c r="HQ26" s="33"/>
      <c r="HR26" s="33"/>
      <c r="HS26" s="33"/>
      <c r="HT26" s="33"/>
      <c r="HU26" s="790"/>
      <c r="HV26" s="791"/>
      <c r="HW26" s="33"/>
      <c r="HX26" s="33"/>
      <c r="HY26" s="33"/>
      <c r="HZ26" s="33"/>
      <c r="IA26" s="33"/>
      <c r="IB26" s="33"/>
      <c r="IC26" s="33"/>
      <c r="ID26" s="33"/>
      <c r="IE26" s="790"/>
      <c r="IF26" s="791"/>
      <c r="IG26" s="33"/>
      <c r="IH26" s="33"/>
      <c r="II26" s="33"/>
      <c r="IJ26" s="33"/>
      <c r="IK26" s="33"/>
      <c r="IL26" s="33"/>
      <c r="IM26" s="33"/>
      <c r="IN26" s="33"/>
      <c r="IO26" s="790"/>
      <c r="IP26" s="790"/>
      <c r="IQ26" s="788"/>
      <c r="IR26" s="792"/>
      <c r="IS26" s="792"/>
      <c r="IT26" s="792"/>
      <c r="IU26" s="792"/>
      <c r="IV26" s="792"/>
      <c r="IW26" s="792"/>
      <c r="IX26" s="507"/>
      <c r="IY26" s="193"/>
    </row>
    <row r="27" spans="2:259" ht="19.5" thickBot="1" x14ac:dyDescent="0.35">
      <c r="B27" s="805"/>
      <c r="C27" s="423">
        <v>51.93</v>
      </c>
      <c r="D27" s="821">
        <v>9</v>
      </c>
      <c r="E27" s="821">
        <v>3.0659999999999998</v>
      </c>
      <c r="F27" s="821">
        <v>1.9039999999999999</v>
      </c>
      <c r="G27" s="821">
        <v>3.028</v>
      </c>
      <c r="H27" s="192"/>
      <c r="I27" s="832"/>
      <c r="J27" s="834" t="s">
        <v>403</v>
      </c>
      <c r="K27" s="884" t="e">
        <f>IF(G13=1,2,IF(G13=2,4,IF(G13=3,4,IF(G13=4,8,IF(G13=5,8,"N/A")))))</f>
        <v>#N/A</v>
      </c>
      <c r="L27" s="876"/>
      <c r="M27" s="876"/>
      <c r="N27" s="885" t="s">
        <v>69</v>
      </c>
      <c r="O27" s="473" t="s">
        <v>6</v>
      </c>
      <c r="P27" s="494" t="e">
        <f>1.70654844438105E-07*P26^2 + 7.72494047896E-19*P26 - 2.15105711021124E-16</f>
        <v>#VALUE!</v>
      </c>
      <c r="Q27" s="159" t="s">
        <v>85</v>
      </c>
      <c r="R27" s="692"/>
      <c r="S27" s="827"/>
      <c r="T27" s="692"/>
      <c r="U27" s="692"/>
      <c r="V27" s="692"/>
      <c r="W27" s="692"/>
      <c r="X27" s="807"/>
      <c r="Y27" s="46"/>
      <c r="AA27" s="61"/>
      <c r="AC27" s="424"/>
      <c r="AD27" s="71"/>
      <c r="AE27" s="71"/>
      <c r="AF27" s="71"/>
      <c r="AG27" s="71"/>
      <c r="AH27" s="71"/>
      <c r="AS27" s="193"/>
      <c r="AT27" s="507"/>
      <c r="AU27" s="789"/>
      <c r="AV27" s="789"/>
      <c r="AW27" s="789"/>
      <c r="AX27" s="791"/>
      <c r="AY27" s="33"/>
      <c r="AZ27" s="33"/>
      <c r="BA27" s="33"/>
      <c r="BB27" s="33"/>
      <c r="BC27" s="33"/>
      <c r="BD27" s="33"/>
      <c r="BE27" s="33"/>
      <c r="BF27" s="33"/>
      <c r="BG27" s="790"/>
      <c r="BH27" s="791"/>
      <c r="BI27" s="33"/>
      <c r="BJ27" s="33"/>
      <c r="BK27" s="33"/>
      <c r="BL27" s="33"/>
      <c r="BM27" s="33"/>
      <c r="BN27" s="33"/>
      <c r="BO27" s="33"/>
      <c r="BP27" s="33"/>
      <c r="BQ27" s="790"/>
      <c r="BR27" s="791"/>
      <c r="BS27" s="33"/>
      <c r="BT27" s="33"/>
      <c r="BU27" s="33"/>
      <c r="BV27" s="33"/>
      <c r="BW27" s="33"/>
      <c r="BX27" s="33"/>
      <c r="BY27" s="33"/>
      <c r="BZ27" s="33"/>
      <c r="CA27" s="790"/>
      <c r="CB27" s="791"/>
      <c r="CC27" s="33"/>
      <c r="CD27" s="33"/>
      <c r="CE27" s="33"/>
      <c r="CF27" s="33"/>
      <c r="CG27" s="33"/>
      <c r="CH27" s="33"/>
      <c r="CI27" s="33"/>
      <c r="CJ27" s="33"/>
      <c r="CK27" s="790"/>
      <c r="CL27" s="791"/>
      <c r="CM27" s="33"/>
      <c r="CN27" s="33"/>
      <c r="CO27" s="33"/>
      <c r="CP27" s="33"/>
      <c r="CQ27" s="33"/>
      <c r="CR27" s="33"/>
      <c r="CS27" s="33"/>
      <c r="CT27" s="33"/>
      <c r="CU27" s="790"/>
      <c r="CV27" s="791"/>
      <c r="CW27" s="33"/>
      <c r="CX27" s="33"/>
      <c r="CY27" s="33"/>
      <c r="CZ27" s="33"/>
      <c r="DA27" s="33"/>
      <c r="DB27" s="33"/>
      <c r="DC27" s="33"/>
      <c r="DD27" s="33"/>
      <c r="DE27" s="790"/>
      <c r="DF27" s="791"/>
      <c r="DG27" s="33"/>
      <c r="DH27" s="33"/>
      <c r="DI27" s="33"/>
      <c r="DJ27" s="33"/>
      <c r="DK27" s="33"/>
      <c r="DL27" s="33"/>
      <c r="DM27" s="33"/>
      <c r="DN27" s="33"/>
      <c r="DO27" s="790"/>
      <c r="DP27" s="791"/>
      <c r="DQ27" s="33"/>
      <c r="DR27" s="33"/>
      <c r="DS27" s="33"/>
      <c r="DT27" s="33"/>
      <c r="DU27" s="33"/>
      <c r="DV27" s="33"/>
      <c r="DW27" s="33"/>
      <c r="DX27" s="33"/>
      <c r="DY27" s="790"/>
      <c r="DZ27" s="791"/>
      <c r="EA27" s="33"/>
      <c r="EB27" s="33"/>
      <c r="EC27" s="33"/>
      <c r="ED27" s="33"/>
      <c r="EE27" s="33"/>
      <c r="EF27" s="33"/>
      <c r="EG27" s="33"/>
      <c r="EH27" s="33"/>
      <c r="EI27" s="790"/>
      <c r="EJ27" s="791"/>
      <c r="EK27" s="33"/>
      <c r="EL27" s="33"/>
      <c r="EM27" s="33"/>
      <c r="EN27" s="33"/>
      <c r="EO27" s="33"/>
      <c r="EP27" s="33"/>
      <c r="EQ27" s="33"/>
      <c r="ER27" s="33"/>
      <c r="ES27" s="790"/>
      <c r="ET27" s="791"/>
      <c r="EU27" s="33"/>
      <c r="EV27" s="33"/>
      <c r="EW27" s="33"/>
      <c r="EX27" s="33"/>
      <c r="EY27" s="33"/>
      <c r="EZ27" s="33"/>
      <c r="FA27" s="33"/>
      <c r="FB27" s="33"/>
      <c r="FC27" s="790"/>
      <c r="FD27" s="791"/>
      <c r="FE27" s="33"/>
      <c r="FF27" s="33"/>
      <c r="FG27" s="33"/>
      <c r="FH27" s="33"/>
      <c r="FI27" s="33"/>
      <c r="FJ27" s="33"/>
      <c r="FK27" s="33"/>
      <c r="FL27" s="33"/>
      <c r="FM27" s="790"/>
      <c r="FN27" s="791"/>
      <c r="FO27" s="33"/>
      <c r="FP27" s="33"/>
      <c r="FQ27" s="33"/>
      <c r="FR27" s="33"/>
      <c r="FS27" s="33"/>
      <c r="FT27" s="33"/>
      <c r="FU27" s="33"/>
      <c r="FV27" s="33"/>
      <c r="FW27" s="790"/>
      <c r="FX27" s="791"/>
      <c r="FY27" s="33"/>
      <c r="FZ27" s="33"/>
      <c r="GA27" s="33"/>
      <c r="GB27" s="33"/>
      <c r="GC27" s="33"/>
      <c r="GD27" s="33"/>
      <c r="GE27" s="33"/>
      <c r="GF27" s="33"/>
      <c r="GG27" s="790"/>
      <c r="GH27" s="791"/>
      <c r="GI27" s="33"/>
      <c r="GJ27" s="33"/>
      <c r="GK27" s="33"/>
      <c r="GL27" s="33"/>
      <c r="GM27" s="33"/>
      <c r="GN27" s="33"/>
      <c r="GO27" s="33"/>
      <c r="GP27" s="33"/>
      <c r="GQ27" s="790"/>
      <c r="GR27" s="791"/>
      <c r="GS27" s="33"/>
      <c r="GT27" s="33"/>
      <c r="GU27" s="33"/>
      <c r="GV27" s="33"/>
      <c r="GW27" s="33"/>
      <c r="GX27" s="33"/>
      <c r="GY27" s="33"/>
      <c r="GZ27" s="33"/>
      <c r="HA27" s="790"/>
      <c r="HB27" s="791"/>
      <c r="HC27" s="33"/>
      <c r="HD27" s="33"/>
      <c r="HE27" s="33"/>
      <c r="HF27" s="33"/>
      <c r="HG27" s="33"/>
      <c r="HH27" s="33"/>
      <c r="HI27" s="33"/>
      <c r="HJ27" s="33"/>
      <c r="HK27" s="790"/>
      <c r="HL27" s="791"/>
      <c r="HM27" s="33"/>
      <c r="HN27" s="33"/>
      <c r="HO27" s="33"/>
      <c r="HP27" s="33"/>
      <c r="HQ27" s="33"/>
      <c r="HR27" s="33"/>
      <c r="HS27" s="33"/>
      <c r="HT27" s="33"/>
      <c r="HU27" s="790"/>
      <c r="HV27" s="791"/>
      <c r="HW27" s="33"/>
      <c r="HX27" s="33"/>
      <c r="HY27" s="33"/>
      <c r="HZ27" s="33"/>
      <c r="IA27" s="33"/>
      <c r="IB27" s="33"/>
      <c r="IC27" s="33"/>
      <c r="ID27" s="33"/>
      <c r="IE27" s="790"/>
      <c r="IF27" s="791"/>
      <c r="IG27" s="33"/>
      <c r="IH27" s="33"/>
      <c r="II27" s="33"/>
      <c r="IJ27" s="33"/>
      <c r="IK27" s="33"/>
      <c r="IL27" s="33"/>
      <c r="IM27" s="33"/>
      <c r="IN27" s="33"/>
      <c r="IO27" s="790"/>
      <c r="IP27" s="790"/>
      <c r="IQ27" s="788"/>
      <c r="IR27" s="792"/>
      <c r="IS27" s="792"/>
      <c r="IT27" s="792"/>
      <c r="IU27" s="792"/>
      <c r="IV27" s="792"/>
      <c r="IW27" s="792"/>
      <c r="IX27" s="507"/>
      <c r="IY27" s="193"/>
    </row>
    <row r="28" spans="2:259" ht="19.5" thickBot="1" x14ac:dyDescent="0.35">
      <c r="B28" s="805"/>
      <c r="C28" s="423">
        <v>56.43</v>
      </c>
      <c r="D28" s="821">
        <v>10</v>
      </c>
      <c r="E28" s="821">
        <v>3.0659999999999998</v>
      </c>
      <c r="F28" s="821">
        <v>1.9039999999999999</v>
      </c>
      <c r="G28" s="821">
        <v>3.028</v>
      </c>
      <c r="H28" s="192"/>
      <c r="I28" s="832"/>
      <c r="J28" s="834" t="s">
        <v>371</v>
      </c>
      <c r="K28" s="876" t="e">
        <f>K19-((K26*2)+(K27*4.25))</f>
        <v>#VALUE!</v>
      </c>
      <c r="L28" s="876" t="s">
        <v>151</v>
      </c>
      <c r="M28" s="876"/>
      <c r="N28" s="886"/>
      <c r="O28" s="473" t="s">
        <v>7</v>
      </c>
      <c r="P28" s="494" t="e">
        <f>1.45002333746652E-07*P26^2 + 7.99599102208E-19*P26+ 5.27355936696949E-16</f>
        <v>#VALUE!</v>
      </c>
      <c r="Q28" s="159" t="s">
        <v>85</v>
      </c>
      <c r="R28" s="692"/>
      <c r="S28" s="827"/>
      <c r="T28" s="692"/>
      <c r="U28" s="692"/>
      <c r="V28" s="692"/>
      <c r="W28" s="692"/>
      <c r="X28" s="807"/>
      <c r="Y28" s="46"/>
      <c r="AA28" s="61"/>
      <c r="AC28" s="424"/>
      <c r="AD28" s="71"/>
      <c r="AE28" s="71"/>
      <c r="AF28" s="71"/>
      <c r="AG28" s="71"/>
      <c r="AH28" s="71"/>
      <c r="AS28" s="193"/>
      <c r="AT28" s="507"/>
      <c r="AU28" s="789"/>
      <c r="AV28" s="789"/>
      <c r="AW28" s="789"/>
      <c r="AX28" s="791"/>
      <c r="AY28" s="33"/>
      <c r="AZ28" s="33"/>
      <c r="BA28" s="33"/>
      <c r="BB28" s="33"/>
      <c r="BC28" s="33"/>
      <c r="BD28" s="33"/>
      <c r="BE28" s="33"/>
      <c r="BF28" s="33"/>
      <c r="BG28" s="790"/>
      <c r="BH28" s="791"/>
      <c r="BI28" s="33"/>
      <c r="BJ28" s="33"/>
      <c r="BK28" s="33"/>
      <c r="BL28" s="33"/>
      <c r="BM28" s="33"/>
      <c r="BN28" s="33"/>
      <c r="BO28" s="33"/>
      <c r="BP28" s="33"/>
      <c r="BQ28" s="790"/>
      <c r="BR28" s="791"/>
      <c r="BS28" s="33"/>
      <c r="BT28" s="33"/>
      <c r="BU28" s="33"/>
      <c r="BV28" s="33"/>
      <c r="BW28" s="33"/>
      <c r="BX28" s="33"/>
      <c r="BY28" s="33"/>
      <c r="BZ28" s="33"/>
      <c r="CA28" s="790"/>
      <c r="CB28" s="791"/>
      <c r="CC28" s="33"/>
      <c r="CD28" s="33"/>
      <c r="CE28" s="33"/>
      <c r="CF28" s="33"/>
      <c r="CG28" s="33"/>
      <c r="CH28" s="33"/>
      <c r="CI28" s="33"/>
      <c r="CJ28" s="33"/>
      <c r="CK28" s="790"/>
      <c r="CL28" s="791"/>
      <c r="CM28" s="33"/>
      <c r="CN28" s="33"/>
      <c r="CO28" s="33"/>
      <c r="CP28" s="33"/>
      <c r="CQ28" s="33"/>
      <c r="CR28" s="33"/>
      <c r="CS28" s="33"/>
      <c r="CT28" s="33"/>
      <c r="CU28" s="790"/>
      <c r="CV28" s="791"/>
      <c r="CW28" s="33"/>
      <c r="CX28" s="33"/>
      <c r="CY28" s="33"/>
      <c r="CZ28" s="33"/>
      <c r="DA28" s="33"/>
      <c r="DB28" s="33"/>
      <c r="DC28" s="33"/>
      <c r="DD28" s="33"/>
      <c r="DE28" s="790"/>
      <c r="DF28" s="791"/>
      <c r="DG28" s="33"/>
      <c r="DH28" s="33"/>
      <c r="DI28" s="33"/>
      <c r="DJ28" s="33"/>
      <c r="DK28" s="33"/>
      <c r="DL28" s="33"/>
      <c r="DM28" s="33"/>
      <c r="DN28" s="33"/>
      <c r="DO28" s="790"/>
      <c r="DP28" s="798"/>
      <c r="DQ28" s="799"/>
      <c r="DR28" s="33"/>
      <c r="DS28" s="33"/>
      <c r="DT28" s="33"/>
      <c r="DU28" s="33"/>
      <c r="DV28" s="33"/>
      <c r="DW28" s="33"/>
      <c r="DX28" s="33"/>
      <c r="DY28" s="790"/>
      <c r="DZ28" s="791"/>
      <c r="EA28" s="33"/>
      <c r="EB28" s="33"/>
      <c r="EC28" s="33"/>
      <c r="ED28" s="33"/>
      <c r="EE28" s="33"/>
      <c r="EF28" s="33"/>
      <c r="EG28" s="33"/>
      <c r="EH28" s="33"/>
      <c r="EI28" s="790"/>
      <c r="EJ28" s="791"/>
      <c r="EK28" s="33"/>
      <c r="EL28" s="33"/>
      <c r="EM28" s="33"/>
      <c r="EN28" s="33"/>
      <c r="EO28" s="33"/>
      <c r="EP28" s="33"/>
      <c r="EQ28" s="33"/>
      <c r="ER28" s="33"/>
      <c r="ES28" s="790"/>
      <c r="ET28" s="791"/>
      <c r="EU28" s="33"/>
      <c r="EV28" s="33"/>
      <c r="EW28" s="33"/>
      <c r="EX28" s="33"/>
      <c r="EY28" s="33"/>
      <c r="EZ28" s="33"/>
      <c r="FA28" s="33"/>
      <c r="FB28" s="33"/>
      <c r="FC28" s="790"/>
      <c r="FD28" s="791"/>
      <c r="FE28" s="33"/>
      <c r="FF28" s="33"/>
      <c r="FG28" s="33"/>
      <c r="FH28" s="33"/>
      <c r="FI28" s="33"/>
      <c r="FJ28" s="33"/>
      <c r="FK28" s="33"/>
      <c r="FL28" s="33"/>
      <c r="FM28" s="790"/>
      <c r="FN28" s="791"/>
      <c r="FO28" s="33"/>
      <c r="FP28" s="33"/>
      <c r="FQ28" s="33"/>
      <c r="FR28" s="33"/>
      <c r="FS28" s="33"/>
      <c r="FT28" s="33"/>
      <c r="FU28" s="33"/>
      <c r="FV28" s="33"/>
      <c r="FW28" s="790"/>
      <c r="FX28" s="791"/>
      <c r="FY28" s="33"/>
      <c r="FZ28" s="33"/>
      <c r="GA28" s="33"/>
      <c r="GB28" s="33"/>
      <c r="GC28" s="33"/>
      <c r="GD28" s="33"/>
      <c r="GE28" s="33"/>
      <c r="GF28" s="33"/>
      <c r="GG28" s="790"/>
      <c r="GH28" s="791"/>
      <c r="GI28" s="33"/>
      <c r="GJ28" s="33"/>
      <c r="GK28" s="33"/>
      <c r="GL28" s="33"/>
      <c r="GM28" s="33"/>
      <c r="GN28" s="33"/>
      <c r="GO28" s="33"/>
      <c r="GP28" s="33"/>
      <c r="GQ28" s="790"/>
      <c r="GR28" s="791"/>
      <c r="GS28" s="33"/>
      <c r="GT28" s="33"/>
      <c r="GU28" s="33"/>
      <c r="GV28" s="33"/>
      <c r="GW28" s="33"/>
      <c r="GX28" s="33"/>
      <c r="GY28" s="33"/>
      <c r="GZ28" s="33"/>
      <c r="HA28" s="790"/>
      <c r="HB28" s="791"/>
      <c r="HC28" s="33"/>
      <c r="HD28" s="33"/>
      <c r="HE28" s="33"/>
      <c r="HF28" s="33"/>
      <c r="HG28" s="33"/>
      <c r="HH28" s="33"/>
      <c r="HI28" s="33"/>
      <c r="HJ28" s="33"/>
      <c r="HK28" s="790"/>
      <c r="HL28" s="791"/>
      <c r="HM28" s="33"/>
      <c r="HN28" s="33"/>
      <c r="HO28" s="33"/>
      <c r="HP28" s="33"/>
      <c r="HQ28" s="33"/>
      <c r="HR28" s="33"/>
      <c r="HS28" s="33"/>
      <c r="HT28" s="33"/>
      <c r="HU28" s="790"/>
      <c r="HV28" s="791"/>
      <c r="HW28" s="33"/>
      <c r="HX28" s="33"/>
      <c r="HY28" s="33"/>
      <c r="HZ28" s="33"/>
      <c r="IA28" s="33"/>
      <c r="IB28" s="33"/>
      <c r="IC28" s="33"/>
      <c r="ID28" s="33"/>
      <c r="IE28" s="790"/>
      <c r="IF28" s="791"/>
      <c r="IG28" s="33"/>
      <c r="IH28" s="33"/>
      <c r="II28" s="33"/>
      <c r="IJ28" s="33"/>
      <c r="IK28" s="33"/>
      <c r="IL28" s="33"/>
      <c r="IM28" s="33"/>
      <c r="IN28" s="33"/>
      <c r="IO28" s="790"/>
      <c r="IP28" s="790"/>
      <c r="IQ28" s="788"/>
      <c r="IR28" s="792"/>
      <c r="IS28" s="792"/>
      <c r="IT28" s="792"/>
      <c r="IU28" s="792"/>
      <c r="IV28" s="792"/>
      <c r="IW28" s="792"/>
      <c r="IX28" s="507"/>
      <c r="IY28" s="193"/>
    </row>
    <row r="29" spans="2:259" ht="15.75" thickBot="1" x14ac:dyDescent="0.3">
      <c r="B29" s="805"/>
      <c r="C29" s="423">
        <v>60.93</v>
      </c>
      <c r="D29" s="821">
        <v>11</v>
      </c>
      <c r="E29" s="821">
        <v>3.0659999999999998</v>
      </c>
      <c r="F29" s="821">
        <v>1.9039999999999999</v>
      </c>
      <c r="G29" s="821">
        <v>3.028</v>
      </c>
      <c r="H29" s="192"/>
      <c r="I29" s="832"/>
      <c r="J29" s="877"/>
      <c r="K29" s="876"/>
      <c r="L29" s="876"/>
      <c r="M29" s="876"/>
      <c r="N29" s="876"/>
      <c r="O29" s="887"/>
      <c r="P29" s="192"/>
      <c r="Q29" s="192"/>
      <c r="R29" s="692"/>
      <c r="S29" s="827"/>
      <c r="T29" s="692"/>
      <c r="U29" s="692"/>
      <c r="V29" s="692"/>
      <c r="W29" s="692"/>
      <c r="X29" s="807"/>
      <c r="Y29" s="46"/>
      <c r="AA29" s="61"/>
      <c r="AC29" s="424"/>
      <c r="AD29" s="71"/>
      <c r="AE29" s="71"/>
      <c r="AF29" s="71"/>
      <c r="AG29" s="71"/>
      <c r="AH29" s="71"/>
      <c r="AS29" s="193"/>
      <c r="AT29" s="507"/>
      <c r="AU29" s="789"/>
      <c r="AV29" s="789"/>
      <c r="AW29" s="789"/>
      <c r="AX29" s="791"/>
      <c r="AY29" s="33"/>
      <c r="AZ29" s="33"/>
      <c r="BA29" s="33"/>
      <c r="BB29" s="33"/>
      <c r="BC29" s="33"/>
      <c r="BD29" s="33"/>
      <c r="BE29" s="33"/>
      <c r="BF29" s="33"/>
      <c r="BG29" s="790"/>
      <c r="BH29" s="791"/>
      <c r="BI29" s="33"/>
      <c r="BJ29" s="33"/>
      <c r="BK29" s="33"/>
      <c r="BL29" s="33"/>
      <c r="BM29" s="33"/>
      <c r="BN29" s="33"/>
      <c r="BO29" s="33"/>
      <c r="BP29" s="33"/>
      <c r="BQ29" s="790"/>
      <c r="BR29" s="791"/>
      <c r="BS29" s="33"/>
      <c r="BT29" s="33"/>
      <c r="BU29" s="33"/>
      <c r="BV29" s="33"/>
      <c r="BW29" s="33"/>
      <c r="BX29" s="33"/>
      <c r="BY29" s="33"/>
      <c r="BZ29" s="33"/>
      <c r="CA29" s="790"/>
      <c r="CB29" s="791"/>
      <c r="CC29" s="33"/>
      <c r="CD29" s="33"/>
      <c r="CE29" s="33"/>
      <c r="CF29" s="33"/>
      <c r="CG29" s="33"/>
      <c r="CH29" s="33"/>
      <c r="CI29" s="33"/>
      <c r="CJ29" s="33"/>
      <c r="CK29" s="790"/>
      <c r="CL29" s="791"/>
      <c r="CM29" s="33"/>
      <c r="CN29" s="33"/>
      <c r="CO29" s="33"/>
      <c r="CP29" s="33"/>
      <c r="CQ29" s="33"/>
      <c r="CR29" s="33"/>
      <c r="CS29" s="33"/>
      <c r="CT29" s="33"/>
      <c r="CU29" s="790"/>
      <c r="CV29" s="791"/>
      <c r="CW29" s="33"/>
      <c r="CX29" s="33"/>
      <c r="CY29" s="33"/>
      <c r="CZ29" s="33"/>
      <c r="DA29" s="33"/>
      <c r="DB29" s="33"/>
      <c r="DC29" s="33"/>
      <c r="DD29" s="33"/>
      <c r="DE29" s="790"/>
      <c r="DF29" s="791"/>
      <c r="DG29" s="33"/>
      <c r="DH29" s="33"/>
      <c r="DI29" s="33"/>
      <c r="DJ29" s="33"/>
      <c r="DK29" s="33"/>
      <c r="DL29" s="33"/>
      <c r="DM29" s="33"/>
      <c r="DN29" s="33"/>
      <c r="DO29" s="790"/>
      <c r="DP29" s="791"/>
      <c r="DQ29" s="33"/>
      <c r="DR29" s="33"/>
      <c r="DS29" s="33"/>
      <c r="DT29" s="33"/>
      <c r="DU29" s="33"/>
      <c r="DV29" s="33"/>
      <c r="DW29" s="33"/>
      <c r="DX29" s="33"/>
      <c r="DY29" s="790"/>
      <c r="DZ29" s="791"/>
      <c r="EA29" s="33"/>
      <c r="EB29" s="33"/>
      <c r="EC29" s="33"/>
      <c r="ED29" s="33"/>
      <c r="EE29" s="33"/>
      <c r="EF29" s="33"/>
      <c r="EG29" s="33"/>
      <c r="EH29" s="33"/>
      <c r="EI29" s="790"/>
      <c r="EJ29" s="791"/>
      <c r="EK29" s="33"/>
      <c r="EL29" s="33"/>
      <c r="EM29" s="33"/>
      <c r="EN29" s="33"/>
      <c r="EO29" s="33"/>
      <c r="EP29" s="33"/>
      <c r="EQ29" s="33"/>
      <c r="ER29" s="33"/>
      <c r="ES29" s="790"/>
      <c r="ET29" s="791"/>
      <c r="EU29" s="33"/>
      <c r="EV29" s="33"/>
      <c r="EW29" s="33"/>
      <c r="EX29" s="33"/>
      <c r="EY29" s="33"/>
      <c r="EZ29" s="33"/>
      <c r="FA29" s="33"/>
      <c r="FB29" s="33"/>
      <c r="FC29" s="790"/>
      <c r="FD29" s="791"/>
      <c r="FE29" s="33"/>
      <c r="FF29" s="33"/>
      <c r="FG29" s="33"/>
      <c r="FH29" s="33"/>
      <c r="FI29" s="33"/>
      <c r="FJ29" s="33"/>
      <c r="FK29" s="33"/>
      <c r="FL29" s="33"/>
      <c r="FM29" s="790"/>
      <c r="FN29" s="791"/>
      <c r="FO29" s="33"/>
      <c r="FP29" s="33"/>
      <c r="FQ29" s="33"/>
      <c r="FR29" s="33"/>
      <c r="FS29" s="33"/>
      <c r="FT29" s="33"/>
      <c r="FU29" s="33"/>
      <c r="FV29" s="33"/>
      <c r="FW29" s="790"/>
      <c r="FX29" s="791"/>
      <c r="FY29" s="33"/>
      <c r="FZ29" s="33"/>
      <c r="GA29" s="33"/>
      <c r="GB29" s="33"/>
      <c r="GC29" s="33"/>
      <c r="GD29" s="33"/>
      <c r="GE29" s="33"/>
      <c r="GF29" s="33"/>
      <c r="GG29" s="790"/>
      <c r="GH29" s="791"/>
      <c r="GI29" s="33"/>
      <c r="GJ29" s="33"/>
      <c r="GK29" s="33"/>
      <c r="GL29" s="33"/>
      <c r="GM29" s="33"/>
      <c r="GN29" s="33"/>
      <c r="GO29" s="33"/>
      <c r="GP29" s="33"/>
      <c r="GQ29" s="790"/>
      <c r="GR29" s="791"/>
      <c r="GS29" s="33"/>
      <c r="GT29" s="33"/>
      <c r="GU29" s="33"/>
      <c r="GV29" s="33"/>
      <c r="GW29" s="33"/>
      <c r="GX29" s="33"/>
      <c r="GY29" s="33"/>
      <c r="GZ29" s="33"/>
      <c r="HA29" s="790"/>
      <c r="HB29" s="791"/>
      <c r="HC29" s="33"/>
      <c r="HD29" s="33"/>
      <c r="HE29" s="33"/>
      <c r="HF29" s="33"/>
      <c r="HG29" s="33"/>
      <c r="HH29" s="33"/>
      <c r="HI29" s="33"/>
      <c r="HJ29" s="33"/>
      <c r="HK29" s="790"/>
      <c r="HL29" s="791"/>
      <c r="HM29" s="33"/>
      <c r="HN29" s="33"/>
      <c r="HO29" s="33"/>
      <c r="HP29" s="33"/>
      <c r="HQ29" s="33"/>
      <c r="HR29" s="33"/>
      <c r="HS29" s="33"/>
      <c r="HT29" s="33"/>
      <c r="HU29" s="790"/>
      <c r="HV29" s="791"/>
      <c r="HW29" s="33"/>
      <c r="HX29" s="33"/>
      <c r="HY29" s="33"/>
      <c r="HZ29" s="33"/>
      <c r="IA29" s="33"/>
      <c r="IB29" s="33"/>
      <c r="IC29" s="33"/>
      <c r="ID29" s="33"/>
      <c r="IE29" s="790"/>
      <c r="IF29" s="791"/>
      <c r="IG29" s="33"/>
      <c r="IH29" s="33"/>
      <c r="II29" s="33"/>
      <c r="IJ29" s="33"/>
      <c r="IK29" s="33"/>
      <c r="IL29" s="33"/>
      <c r="IM29" s="33"/>
      <c r="IN29" s="33"/>
      <c r="IO29" s="790"/>
      <c r="IP29" s="790"/>
      <c r="IQ29" s="788"/>
      <c r="IR29" s="792"/>
      <c r="IS29" s="792"/>
      <c r="IT29" s="792"/>
      <c r="IU29" s="792"/>
      <c r="IV29" s="792"/>
      <c r="IW29" s="792"/>
      <c r="IX29" s="507"/>
      <c r="IY29" s="193"/>
    </row>
    <row r="30" spans="2:259" ht="15.75" thickBot="1" x14ac:dyDescent="0.3">
      <c r="B30" s="805"/>
      <c r="C30" s="423">
        <v>65.430000000000007</v>
      </c>
      <c r="D30" s="821">
        <v>12</v>
      </c>
      <c r="E30" s="821">
        <v>3.0659999999999998</v>
      </c>
      <c r="F30" s="821">
        <v>1.9039999999999999</v>
      </c>
      <c r="G30" s="821">
        <v>3.028</v>
      </c>
      <c r="H30" s="192"/>
      <c r="I30" s="832"/>
      <c r="J30" s="834" t="s">
        <v>43</v>
      </c>
      <c r="K30" s="876" t="e">
        <f>((K28*K22*K21)+(K28*(K23+K24)))</f>
        <v>#VALUE!</v>
      </c>
      <c r="L30" s="876" t="s">
        <v>373</v>
      </c>
      <c r="M30" s="876"/>
      <c r="N30" s="876"/>
      <c r="O30" s="887"/>
      <c r="P30" s="192"/>
      <c r="Q30" s="192"/>
      <c r="R30" s="692"/>
      <c r="S30" s="827"/>
      <c r="T30" s="692"/>
      <c r="U30" s="692"/>
      <c r="V30" s="692"/>
      <c r="W30" s="692"/>
      <c r="X30" s="807"/>
      <c r="Y30" s="46"/>
      <c r="AC30" s="424"/>
      <c r="AD30" s="71"/>
      <c r="AE30" s="71"/>
      <c r="AF30" s="71"/>
      <c r="AG30" s="71"/>
      <c r="AH30" s="71"/>
      <c r="AS30" s="193"/>
      <c r="AT30" s="507"/>
      <c r="AU30" s="789"/>
      <c r="AV30" s="789"/>
      <c r="AW30" s="789"/>
      <c r="AX30" s="791"/>
      <c r="AY30" s="33"/>
      <c r="AZ30" s="33"/>
      <c r="BA30" s="33"/>
      <c r="BB30" s="33"/>
      <c r="BC30" s="33"/>
      <c r="BD30" s="33"/>
      <c r="BE30" s="33"/>
      <c r="BF30" s="33"/>
      <c r="BG30" s="790"/>
      <c r="BH30" s="791"/>
      <c r="BI30" s="33"/>
      <c r="BJ30" s="33"/>
      <c r="BK30" s="33"/>
      <c r="BL30" s="33"/>
      <c r="BM30" s="33"/>
      <c r="BN30" s="33"/>
      <c r="BO30" s="33"/>
      <c r="BP30" s="33"/>
      <c r="BQ30" s="790"/>
      <c r="BR30" s="791"/>
      <c r="BS30" s="33"/>
      <c r="BT30" s="33"/>
      <c r="BU30" s="33"/>
      <c r="BV30" s="33"/>
      <c r="BW30" s="33"/>
      <c r="BX30" s="33"/>
      <c r="BY30" s="33"/>
      <c r="BZ30" s="33"/>
      <c r="CA30" s="790"/>
      <c r="CB30" s="791"/>
      <c r="CC30" s="33"/>
      <c r="CD30" s="33"/>
      <c r="CE30" s="33"/>
      <c r="CF30" s="33"/>
      <c r="CG30" s="33"/>
      <c r="CH30" s="33"/>
      <c r="CI30" s="33"/>
      <c r="CJ30" s="33"/>
      <c r="CK30" s="790"/>
      <c r="CL30" s="791"/>
      <c r="CM30" s="33"/>
      <c r="CN30" s="33"/>
      <c r="CO30" s="33"/>
      <c r="CP30" s="33"/>
      <c r="CQ30" s="33"/>
      <c r="CR30" s="33"/>
      <c r="CS30" s="33"/>
      <c r="CT30" s="33"/>
      <c r="CU30" s="790"/>
      <c r="CV30" s="791"/>
      <c r="CW30" s="33"/>
      <c r="CX30" s="33"/>
      <c r="CY30" s="33"/>
      <c r="CZ30" s="33"/>
      <c r="DA30" s="33"/>
      <c r="DB30" s="33"/>
      <c r="DC30" s="33"/>
      <c r="DD30" s="33"/>
      <c r="DE30" s="790"/>
      <c r="DF30" s="791"/>
      <c r="DG30" s="33"/>
      <c r="DH30" s="33"/>
      <c r="DI30" s="33"/>
      <c r="DJ30" s="33"/>
      <c r="DK30" s="33"/>
      <c r="DL30" s="33"/>
      <c r="DM30" s="33"/>
      <c r="DN30" s="33"/>
      <c r="DO30" s="790"/>
      <c r="DP30" s="791"/>
      <c r="DQ30" s="33"/>
      <c r="DR30" s="33"/>
      <c r="DS30" s="33"/>
      <c r="DT30" s="33"/>
      <c r="DU30" s="33"/>
      <c r="DV30" s="33"/>
      <c r="DW30" s="33"/>
      <c r="DX30" s="33"/>
      <c r="DY30" s="790"/>
      <c r="DZ30" s="791"/>
      <c r="EA30" s="33"/>
      <c r="EB30" s="33"/>
      <c r="EC30" s="33"/>
      <c r="ED30" s="33"/>
      <c r="EE30" s="33"/>
      <c r="EF30" s="33"/>
      <c r="EG30" s="33"/>
      <c r="EH30" s="33"/>
      <c r="EI30" s="790"/>
      <c r="EJ30" s="791"/>
      <c r="EK30" s="33"/>
      <c r="EL30" s="33"/>
      <c r="EM30" s="33"/>
      <c r="EN30" s="33"/>
      <c r="EO30" s="33"/>
      <c r="EP30" s="33"/>
      <c r="EQ30" s="33"/>
      <c r="ER30" s="33"/>
      <c r="ES30" s="790"/>
      <c r="ET30" s="791"/>
      <c r="EU30" s="33"/>
      <c r="EV30" s="33"/>
      <c r="EW30" s="33"/>
      <c r="EX30" s="33"/>
      <c r="EY30" s="33"/>
      <c r="EZ30" s="33"/>
      <c r="FA30" s="33"/>
      <c r="FB30" s="33"/>
      <c r="FC30" s="790"/>
      <c r="FD30" s="791"/>
      <c r="FE30" s="33"/>
      <c r="FF30" s="33"/>
      <c r="FG30" s="33"/>
      <c r="FH30" s="33"/>
      <c r="FI30" s="33"/>
      <c r="FJ30" s="33"/>
      <c r="FK30" s="33"/>
      <c r="FL30" s="33"/>
      <c r="FM30" s="790"/>
      <c r="FN30" s="791"/>
      <c r="FO30" s="33"/>
      <c r="FP30" s="33"/>
      <c r="FQ30" s="33"/>
      <c r="FR30" s="33"/>
      <c r="FS30" s="33"/>
      <c r="FT30" s="33"/>
      <c r="FU30" s="33"/>
      <c r="FV30" s="33"/>
      <c r="FW30" s="790"/>
      <c r="FX30" s="791"/>
      <c r="FY30" s="33"/>
      <c r="FZ30" s="33"/>
      <c r="GA30" s="33"/>
      <c r="GB30" s="33"/>
      <c r="GC30" s="33"/>
      <c r="GD30" s="33"/>
      <c r="GE30" s="33"/>
      <c r="GF30" s="33"/>
      <c r="GG30" s="790"/>
      <c r="GH30" s="791"/>
      <c r="GI30" s="33"/>
      <c r="GJ30" s="33"/>
      <c r="GK30" s="33"/>
      <c r="GL30" s="33"/>
      <c r="GM30" s="33"/>
      <c r="GN30" s="33"/>
      <c r="GO30" s="33"/>
      <c r="GP30" s="33"/>
      <c r="GQ30" s="790"/>
      <c r="GR30" s="791"/>
      <c r="GS30" s="33"/>
      <c r="GT30" s="33"/>
      <c r="GU30" s="33"/>
      <c r="GV30" s="33"/>
      <c r="GW30" s="33"/>
      <c r="GX30" s="33"/>
      <c r="GY30" s="33"/>
      <c r="GZ30" s="33"/>
      <c r="HA30" s="790"/>
      <c r="HB30" s="791"/>
      <c r="HC30" s="33"/>
      <c r="HD30" s="33"/>
      <c r="HE30" s="33"/>
      <c r="HF30" s="33"/>
      <c r="HG30" s="33"/>
      <c r="HH30" s="33"/>
      <c r="HI30" s="33"/>
      <c r="HJ30" s="33"/>
      <c r="HK30" s="790"/>
      <c r="HL30" s="791"/>
      <c r="HM30" s="33"/>
      <c r="HN30" s="33"/>
      <c r="HO30" s="33"/>
      <c r="HP30" s="33"/>
      <c r="HQ30" s="33"/>
      <c r="HR30" s="33"/>
      <c r="HS30" s="33"/>
      <c r="HT30" s="33"/>
      <c r="HU30" s="790"/>
      <c r="HV30" s="791"/>
      <c r="HW30" s="33"/>
      <c r="HX30" s="33"/>
      <c r="HY30" s="33"/>
      <c r="HZ30" s="33"/>
      <c r="IA30" s="33"/>
      <c r="IB30" s="33"/>
      <c r="IC30" s="33"/>
      <c r="ID30" s="33"/>
      <c r="IE30" s="790"/>
      <c r="IF30" s="791"/>
      <c r="IG30" s="33"/>
      <c r="IH30" s="33"/>
      <c r="II30" s="33"/>
      <c r="IJ30" s="33"/>
      <c r="IK30" s="33"/>
      <c r="IL30" s="33"/>
      <c r="IM30" s="33"/>
      <c r="IN30" s="33"/>
      <c r="IO30" s="790"/>
      <c r="IP30" s="790"/>
      <c r="IQ30" s="788"/>
      <c r="IR30" s="792"/>
      <c r="IS30" s="792"/>
      <c r="IT30" s="792"/>
      <c r="IU30" s="792"/>
      <c r="IV30" s="792"/>
      <c r="IW30" s="792"/>
      <c r="IX30" s="507"/>
      <c r="IY30" s="193"/>
    </row>
    <row r="31" spans="2:259" ht="15.75" thickBot="1" x14ac:dyDescent="0.3">
      <c r="B31" s="805"/>
      <c r="C31" s="423">
        <v>69.930000000000007</v>
      </c>
      <c r="D31" s="821">
        <v>13</v>
      </c>
      <c r="E31" s="821">
        <v>3.0659999999999998</v>
      </c>
      <c r="F31" s="821">
        <v>1.9039999999999999</v>
      </c>
      <c r="G31" s="821">
        <v>3.028</v>
      </c>
      <c r="H31" s="192"/>
      <c r="I31" s="832"/>
      <c r="J31" s="877"/>
      <c r="K31" s="876"/>
      <c r="L31" s="876"/>
      <c r="M31" s="876"/>
      <c r="N31" s="876"/>
      <c r="O31" s="887"/>
      <c r="P31" s="192"/>
      <c r="Q31" s="192"/>
      <c r="R31" s="692"/>
      <c r="S31" s="827"/>
      <c r="T31" s="692"/>
      <c r="U31" s="692"/>
      <c r="V31" s="692"/>
      <c r="W31" s="692"/>
      <c r="X31" s="807"/>
      <c r="Y31" s="46"/>
      <c r="AC31" s="424"/>
      <c r="AD31" s="71"/>
      <c r="AE31" s="71"/>
      <c r="AF31" s="71"/>
      <c r="AG31" s="71"/>
      <c r="AH31" s="71"/>
      <c r="AS31" s="193"/>
      <c r="AT31" s="507"/>
      <c r="AU31" s="789"/>
      <c r="AV31" s="789"/>
      <c r="AW31" s="789"/>
      <c r="AX31" s="791"/>
      <c r="AY31" s="33"/>
      <c r="AZ31" s="33"/>
      <c r="BA31" s="33"/>
      <c r="BB31" s="33"/>
      <c r="BC31" s="33"/>
      <c r="BD31" s="33"/>
      <c r="BE31" s="33"/>
      <c r="BF31" s="33"/>
      <c r="BG31" s="790"/>
      <c r="BH31" s="791"/>
      <c r="BI31" s="33"/>
      <c r="BJ31" s="33"/>
      <c r="BK31" s="33"/>
      <c r="BL31" s="33"/>
      <c r="BM31" s="33"/>
      <c r="BN31" s="33"/>
      <c r="BO31" s="33"/>
      <c r="BP31" s="33"/>
      <c r="BQ31" s="790"/>
      <c r="BR31" s="791"/>
      <c r="BS31" s="33"/>
      <c r="BT31" s="33"/>
      <c r="BU31" s="33"/>
      <c r="BV31" s="33"/>
      <c r="BW31" s="33"/>
      <c r="BX31" s="33"/>
      <c r="BY31" s="33"/>
      <c r="BZ31" s="33"/>
      <c r="CA31" s="790"/>
      <c r="CB31" s="791"/>
      <c r="CC31" s="33"/>
      <c r="CD31" s="33"/>
      <c r="CE31" s="33"/>
      <c r="CF31" s="33"/>
      <c r="CG31" s="33"/>
      <c r="CH31" s="33"/>
      <c r="CI31" s="33"/>
      <c r="CJ31" s="33"/>
      <c r="CK31" s="790"/>
      <c r="CL31" s="791"/>
      <c r="CM31" s="33"/>
      <c r="CN31" s="33"/>
      <c r="CO31" s="33"/>
      <c r="CP31" s="33"/>
      <c r="CQ31" s="33"/>
      <c r="CR31" s="33"/>
      <c r="CS31" s="33"/>
      <c r="CT31" s="33"/>
      <c r="CU31" s="790"/>
      <c r="CV31" s="791"/>
      <c r="CW31" s="33"/>
      <c r="CX31" s="33"/>
      <c r="CY31" s="33"/>
      <c r="CZ31" s="33"/>
      <c r="DA31" s="33"/>
      <c r="DB31" s="33"/>
      <c r="DC31" s="33"/>
      <c r="DD31" s="33"/>
      <c r="DE31" s="790"/>
      <c r="DF31" s="791"/>
      <c r="DG31" s="33"/>
      <c r="DH31" s="33"/>
      <c r="DI31" s="33"/>
      <c r="DJ31" s="33"/>
      <c r="DK31" s="33"/>
      <c r="DL31" s="33"/>
      <c r="DM31" s="33"/>
      <c r="DN31" s="33"/>
      <c r="DO31" s="790"/>
      <c r="DP31" s="791"/>
      <c r="DQ31" s="33"/>
      <c r="DR31" s="33"/>
      <c r="DS31" s="33"/>
      <c r="DT31" s="33"/>
      <c r="DU31" s="33"/>
      <c r="DV31" s="33"/>
      <c r="DW31" s="33"/>
      <c r="DX31" s="33"/>
      <c r="DY31" s="790"/>
      <c r="DZ31" s="791"/>
      <c r="EA31" s="33"/>
      <c r="EB31" s="33"/>
      <c r="EC31" s="33"/>
      <c r="ED31" s="33"/>
      <c r="EE31" s="33"/>
      <c r="EF31" s="33"/>
      <c r="EG31" s="33"/>
      <c r="EH31" s="33"/>
      <c r="EI31" s="790"/>
      <c r="EJ31" s="791"/>
      <c r="EK31" s="33"/>
      <c r="EL31" s="33"/>
      <c r="EM31" s="33"/>
      <c r="EN31" s="33"/>
      <c r="EO31" s="33"/>
      <c r="EP31" s="33"/>
      <c r="EQ31" s="33"/>
      <c r="ER31" s="33"/>
      <c r="ES31" s="790"/>
      <c r="ET31" s="791"/>
      <c r="EU31" s="33"/>
      <c r="EV31" s="33"/>
      <c r="EW31" s="33"/>
      <c r="EX31" s="33"/>
      <c r="EY31" s="33"/>
      <c r="EZ31" s="33"/>
      <c r="FA31" s="33"/>
      <c r="FB31" s="33"/>
      <c r="FC31" s="790"/>
      <c r="FD31" s="791"/>
      <c r="FE31" s="33"/>
      <c r="FF31" s="33"/>
      <c r="FG31" s="33"/>
      <c r="FH31" s="33"/>
      <c r="FI31" s="33"/>
      <c r="FJ31" s="33"/>
      <c r="FK31" s="33"/>
      <c r="FL31" s="33"/>
      <c r="FM31" s="790"/>
      <c r="FN31" s="791"/>
      <c r="FO31" s="33"/>
      <c r="FP31" s="33"/>
      <c r="FQ31" s="33"/>
      <c r="FR31" s="33"/>
      <c r="FS31" s="33"/>
      <c r="FT31" s="33"/>
      <c r="FU31" s="33"/>
      <c r="FV31" s="33"/>
      <c r="FW31" s="790"/>
      <c r="FX31" s="791"/>
      <c r="FY31" s="33"/>
      <c r="FZ31" s="33"/>
      <c r="GA31" s="33"/>
      <c r="GB31" s="33"/>
      <c r="GC31" s="33"/>
      <c r="GD31" s="33"/>
      <c r="GE31" s="33"/>
      <c r="GF31" s="33"/>
      <c r="GG31" s="790"/>
      <c r="GH31" s="791"/>
      <c r="GI31" s="33"/>
      <c r="GJ31" s="33"/>
      <c r="GK31" s="33"/>
      <c r="GL31" s="33"/>
      <c r="GM31" s="33"/>
      <c r="GN31" s="33"/>
      <c r="GO31" s="33"/>
      <c r="GP31" s="33"/>
      <c r="GQ31" s="790"/>
      <c r="GR31" s="791"/>
      <c r="GS31" s="33"/>
      <c r="GT31" s="33"/>
      <c r="GU31" s="33"/>
      <c r="GV31" s="33"/>
      <c r="GW31" s="33"/>
      <c r="GX31" s="33"/>
      <c r="GY31" s="33"/>
      <c r="GZ31" s="33"/>
      <c r="HA31" s="790"/>
      <c r="HB31" s="791"/>
      <c r="HC31" s="33"/>
      <c r="HD31" s="33"/>
      <c r="HE31" s="33"/>
      <c r="HF31" s="33"/>
      <c r="HG31" s="33"/>
      <c r="HH31" s="33"/>
      <c r="HI31" s="33"/>
      <c r="HJ31" s="33"/>
      <c r="HK31" s="790"/>
      <c r="HL31" s="791"/>
      <c r="HM31" s="33"/>
      <c r="HN31" s="33"/>
      <c r="HO31" s="33"/>
      <c r="HP31" s="33"/>
      <c r="HQ31" s="33"/>
      <c r="HR31" s="33"/>
      <c r="HS31" s="33"/>
      <c r="HT31" s="33"/>
      <c r="HU31" s="790"/>
      <c r="HV31" s="791"/>
      <c r="HW31" s="33"/>
      <c r="HX31" s="33"/>
      <c r="HY31" s="33"/>
      <c r="HZ31" s="33"/>
      <c r="IA31" s="33"/>
      <c r="IB31" s="33"/>
      <c r="IC31" s="33"/>
      <c r="ID31" s="33"/>
      <c r="IE31" s="790"/>
      <c r="IF31" s="791"/>
      <c r="IG31" s="33"/>
      <c r="IH31" s="33"/>
      <c r="II31" s="33"/>
      <c r="IJ31" s="33"/>
      <c r="IK31" s="33"/>
      <c r="IL31" s="33"/>
      <c r="IM31" s="33"/>
      <c r="IN31" s="33"/>
      <c r="IO31" s="790"/>
      <c r="IP31" s="790"/>
      <c r="IQ31" s="788"/>
      <c r="IR31" s="792"/>
      <c r="IS31" s="792"/>
      <c r="IT31" s="792"/>
      <c r="IU31" s="792"/>
      <c r="IV31" s="792"/>
      <c r="IW31" s="792"/>
      <c r="IX31" s="507"/>
      <c r="IY31" s="193"/>
    </row>
    <row r="32" spans="2:259" ht="15.75" thickBot="1" x14ac:dyDescent="0.3">
      <c r="B32" s="805"/>
      <c r="C32" s="423">
        <v>74.430000000000007</v>
      </c>
      <c r="D32" s="821">
        <v>14</v>
      </c>
      <c r="E32" s="821">
        <v>3.0659999999999998</v>
      </c>
      <c r="F32" s="821">
        <v>1.9039999999999999</v>
      </c>
      <c r="G32" s="821">
        <v>3.028</v>
      </c>
      <c r="H32" s="192"/>
      <c r="I32" s="832"/>
      <c r="J32" s="877"/>
      <c r="K32" s="876"/>
      <c r="L32" s="876"/>
      <c r="M32" s="876"/>
      <c r="N32" s="876"/>
      <c r="O32" s="876"/>
      <c r="P32" s="692"/>
      <c r="Q32" s="692"/>
      <c r="R32" s="692"/>
      <c r="S32" s="827"/>
      <c r="T32" s="692"/>
      <c r="U32" s="692"/>
      <c r="V32" s="692"/>
      <c r="W32" s="692"/>
      <c r="X32" s="807"/>
      <c r="Y32" s="46"/>
      <c r="AC32" s="861"/>
      <c r="AD32" s="71"/>
      <c r="AE32" s="71"/>
      <c r="AF32" s="71"/>
      <c r="AG32" s="71"/>
      <c r="AH32" s="71"/>
      <c r="AS32" s="193"/>
      <c r="AT32" s="507"/>
      <c r="AU32" s="789"/>
      <c r="AV32" s="789"/>
      <c r="AW32" s="789"/>
      <c r="AX32" s="791"/>
      <c r="AY32" s="33"/>
      <c r="AZ32" s="33"/>
      <c r="BA32" s="33"/>
      <c r="BB32" s="33"/>
      <c r="BC32" s="33"/>
      <c r="BD32" s="33"/>
      <c r="BE32" s="33"/>
      <c r="BF32" s="33"/>
      <c r="BG32" s="790"/>
      <c r="BH32" s="791"/>
      <c r="BI32" s="33"/>
      <c r="BJ32" s="33"/>
      <c r="BK32" s="33"/>
      <c r="BL32" s="33"/>
      <c r="BM32" s="33"/>
      <c r="BN32" s="33"/>
      <c r="BO32" s="33"/>
      <c r="BP32" s="33"/>
      <c r="BQ32" s="790"/>
      <c r="BR32" s="791"/>
      <c r="BS32" s="33"/>
      <c r="BT32" s="33"/>
      <c r="BU32" s="33"/>
      <c r="BV32" s="33"/>
      <c r="BW32" s="33"/>
      <c r="BX32" s="33"/>
      <c r="BY32" s="33"/>
      <c r="BZ32" s="33"/>
      <c r="CA32" s="790"/>
      <c r="CB32" s="791"/>
      <c r="CC32" s="33"/>
      <c r="CD32" s="33"/>
      <c r="CE32" s="33"/>
      <c r="CF32" s="33"/>
      <c r="CG32" s="33"/>
      <c r="CH32" s="33"/>
      <c r="CI32" s="33"/>
      <c r="CJ32" s="33"/>
      <c r="CK32" s="790"/>
      <c r="CL32" s="791"/>
      <c r="CM32" s="33"/>
      <c r="CN32" s="33"/>
      <c r="CO32" s="33"/>
      <c r="CP32" s="33"/>
      <c r="CQ32" s="33"/>
      <c r="CR32" s="33"/>
      <c r="CS32" s="33"/>
      <c r="CT32" s="33"/>
      <c r="CU32" s="790"/>
      <c r="CV32" s="791"/>
      <c r="CW32" s="33"/>
      <c r="CX32" s="33"/>
      <c r="CY32" s="33"/>
      <c r="CZ32" s="33"/>
      <c r="DA32" s="33"/>
      <c r="DB32" s="33"/>
      <c r="DC32" s="33"/>
      <c r="DD32" s="33"/>
      <c r="DE32" s="790"/>
      <c r="DF32" s="791"/>
      <c r="DG32" s="33"/>
      <c r="DH32" s="33"/>
      <c r="DI32" s="33"/>
      <c r="DJ32" s="33"/>
      <c r="DK32" s="33"/>
      <c r="DL32" s="33"/>
      <c r="DM32" s="33"/>
      <c r="DN32" s="33"/>
      <c r="DO32" s="790"/>
      <c r="DP32" s="791"/>
      <c r="DQ32" s="33"/>
      <c r="DR32" s="33"/>
      <c r="DS32" s="33"/>
      <c r="DT32" s="33"/>
      <c r="DU32" s="33"/>
      <c r="DV32" s="33"/>
      <c r="DW32" s="33"/>
      <c r="DX32" s="33"/>
      <c r="DY32" s="790"/>
      <c r="DZ32" s="791"/>
      <c r="EA32" s="33"/>
      <c r="EB32" s="33"/>
      <c r="EC32" s="33"/>
      <c r="ED32" s="33"/>
      <c r="EE32" s="33"/>
      <c r="EF32" s="33"/>
      <c r="EG32" s="33"/>
      <c r="EH32" s="33"/>
      <c r="EI32" s="790"/>
      <c r="EJ32" s="791"/>
      <c r="EK32" s="33"/>
      <c r="EL32" s="33"/>
      <c r="EM32" s="33"/>
      <c r="EN32" s="33"/>
      <c r="EO32" s="33"/>
      <c r="EP32" s="33"/>
      <c r="EQ32" s="33"/>
      <c r="ER32" s="33"/>
      <c r="ES32" s="790"/>
      <c r="ET32" s="791"/>
      <c r="EU32" s="33"/>
      <c r="EV32" s="33"/>
      <c r="EW32" s="33"/>
      <c r="EX32" s="33"/>
      <c r="EY32" s="33"/>
      <c r="EZ32" s="33"/>
      <c r="FA32" s="33"/>
      <c r="FB32" s="33"/>
      <c r="FC32" s="790"/>
      <c r="FD32" s="791"/>
      <c r="FE32" s="33"/>
      <c r="FF32" s="33"/>
      <c r="FG32" s="33"/>
      <c r="FH32" s="33"/>
      <c r="FI32" s="33"/>
      <c r="FJ32" s="33"/>
      <c r="FK32" s="33"/>
      <c r="FL32" s="33"/>
      <c r="FM32" s="790"/>
      <c r="FN32" s="791"/>
      <c r="FO32" s="33"/>
      <c r="FP32" s="33"/>
      <c r="FQ32" s="33"/>
      <c r="FR32" s="33"/>
      <c r="FS32" s="33"/>
      <c r="FT32" s="33"/>
      <c r="FU32" s="33"/>
      <c r="FV32" s="33"/>
      <c r="FW32" s="790"/>
      <c r="FX32" s="791"/>
      <c r="FY32" s="33"/>
      <c r="FZ32" s="33"/>
      <c r="GA32" s="33"/>
      <c r="GB32" s="33"/>
      <c r="GC32" s="33"/>
      <c r="GD32" s="33"/>
      <c r="GE32" s="33"/>
      <c r="GF32" s="33"/>
      <c r="GG32" s="790"/>
      <c r="GH32" s="791"/>
      <c r="GI32" s="33"/>
      <c r="GJ32" s="33"/>
      <c r="GK32" s="33"/>
      <c r="GL32" s="33"/>
      <c r="GM32" s="33"/>
      <c r="GN32" s="33"/>
      <c r="GO32" s="33"/>
      <c r="GP32" s="33"/>
      <c r="GQ32" s="790"/>
      <c r="GR32" s="791"/>
      <c r="GS32" s="33"/>
      <c r="GT32" s="33"/>
      <c r="GU32" s="33"/>
      <c r="GV32" s="33"/>
      <c r="GW32" s="33"/>
      <c r="GX32" s="33"/>
      <c r="GY32" s="33"/>
      <c r="GZ32" s="33"/>
      <c r="HA32" s="790"/>
      <c r="HB32" s="791"/>
      <c r="HC32" s="33"/>
      <c r="HD32" s="33"/>
      <c r="HE32" s="33"/>
      <c r="HF32" s="33"/>
      <c r="HG32" s="33"/>
      <c r="HH32" s="33"/>
      <c r="HI32" s="33"/>
      <c r="HJ32" s="33"/>
      <c r="HK32" s="790"/>
      <c r="HL32" s="791"/>
      <c r="HM32" s="33"/>
      <c r="HN32" s="33"/>
      <c r="HO32" s="33"/>
      <c r="HP32" s="33"/>
      <c r="HQ32" s="33"/>
      <c r="HR32" s="33"/>
      <c r="HS32" s="33"/>
      <c r="HT32" s="33"/>
      <c r="HU32" s="790"/>
      <c r="HV32" s="791"/>
      <c r="HW32" s="33"/>
      <c r="HX32" s="33"/>
      <c r="HY32" s="33"/>
      <c r="HZ32" s="33"/>
      <c r="IA32" s="33"/>
      <c r="IB32" s="33"/>
      <c r="IC32" s="33"/>
      <c r="ID32" s="33"/>
      <c r="IE32" s="790"/>
      <c r="IF32" s="791"/>
      <c r="IG32" s="33"/>
      <c r="IH32" s="33"/>
      <c r="II32" s="33"/>
      <c r="IJ32" s="33"/>
      <c r="IK32" s="33"/>
      <c r="IL32" s="33"/>
      <c r="IM32" s="33"/>
      <c r="IN32" s="33"/>
      <c r="IO32" s="790"/>
      <c r="IP32" s="790"/>
      <c r="IQ32" s="788"/>
      <c r="IR32" s="792"/>
      <c r="IS32" s="792"/>
      <c r="IT32" s="792"/>
      <c r="IU32" s="792"/>
      <c r="IV32" s="792"/>
      <c r="IW32" s="792"/>
      <c r="IX32" s="507"/>
      <c r="IY32" s="193"/>
    </row>
    <row r="33" spans="2:259" ht="15.75" thickBot="1" x14ac:dyDescent="0.3">
      <c r="B33" s="805"/>
      <c r="C33" s="820"/>
      <c r="D33" s="821"/>
      <c r="E33" s="821"/>
      <c r="F33" s="821"/>
      <c r="G33" s="821"/>
      <c r="H33" s="192"/>
      <c r="I33" s="547"/>
      <c r="J33" s="40"/>
      <c r="K33" s="692"/>
      <c r="L33" s="692"/>
      <c r="M33" s="692"/>
      <c r="N33" s="692"/>
      <c r="O33" s="692"/>
      <c r="P33" s="692"/>
      <c r="Q33" s="692"/>
      <c r="R33" s="692"/>
      <c r="S33" s="827"/>
      <c r="T33" s="692"/>
      <c r="U33" s="692"/>
      <c r="V33" s="692"/>
      <c r="W33" s="692"/>
      <c r="X33" s="807"/>
      <c r="Y33" s="46"/>
      <c r="AC33" s="861"/>
      <c r="AD33" s="71"/>
      <c r="AE33" s="71"/>
      <c r="AF33" s="71"/>
      <c r="AG33" s="71"/>
      <c r="AH33" s="71"/>
      <c r="AS33" s="193"/>
      <c r="AT33" s="507"/>
      <c r="AU33" s="789"/>
      <c r="AV33" s="789"/>
      <c r="AW33" s="789"/>
      <c r="AX33" s="791"/>
      <c r="AY33" s="33"/>
      <c r="AZ33" s="33"/>
      <c r="BA33" s="33"/>
      <c r="BB33" s="33"/>
      <c r="BC33" s="33"/>
      <c r="BD33" s="33"/>
      <c r="BE33" s="33"/>
      <c r="BF33" s="33"/>
      <c r="BG33" s="790"/>
      <c r="BH33" s="791"/>
      <c r="BI33" s="33"/>
      <c r="BJ33" s="33"/>
      <c r="BK33" s="33"/>
      <c r="BL33" s="33"/>
      <c r="BM33" s="33"/>
      <c r="BN33" s="33"/>
      <c r="BO33" s="33"/>
      <c r="BP33" s="33"/>
      <c r="BQ33" s="790"/>
      <c r="BR33" s="791"/>
      <c r="BS33" s="33"/>
      <c r="BT33" s="33"/>
      <c r="BU33" s="33"/>
      <c r="BV33" s="33"/>
      <c r="BW33" s="33"/>
      <c r="BX33" s="33"/>
      <c r="BY33" s="33"/>
      <c r="BZ33" s="33"/>
      <c r="CA33" s="790"/>
      <c r="CB33" s="791"/>
      <c r="CC33" s="33"/>
      <c r="CD33" s="33"/>
      <c r="CE33" s="33"/>
      <c r="CF33" s="33"/>
      <c r="CG33" s="33"/>
      <c r="CH33" s="33"/>
      <c r="CI33" s="33"/>
      <c r="CJ33" s="33"/>
      <c r="CK33" s="790"/>
      <c r="CL33" s="791"/>
      <c r="CM33" s="33"/>
      <c r="CN33" s="33"/>
      <c r="CO33" s="33"/>
      <c r="CP33" s="33"/>
      <c r="CQ33" s="33"/>
      <c r="CR33" s="33"/>
      <c r="CS33" s="33"/>
      <c r="CT33" s="33"/>
      <c r="CU33" s="790"/>
      <c r="CV33" s="791"/>
      <c r="CW33" s="33"/>
      <c r="CX33" s="33"/>
      <c r="CY33" s="33"/>
      <c r="CZ33" s="33"/>
      <c r="DA33" s="33"/>
      <c r="DB33" s="33"/>
      <c r="DC33" s="33"/>
      <c r="DD33" s="33"/>
      <c r="DE33" s="790"/>
      <c r="DF33" s="791"/>
      <c r="DG33" s="33"/>
      <c r="DH33" s="33"/>
      <c r="DI33" s="33"/>
      <c r="DJ33" s="33"/>
      <c r="DK33" s="33"/>
      <c r="DL33" s="33"/>
      <c r="DM33" s="33"/>
      <c r="DN33" s="33"/>
      <c r="DO33" s="790"/>
      <c r="DP33" s="791"/>
      <c r="DQ33" s="33"/>
      <c r="DR33" s="33"/>
      <c r="DS33" s="33"/>
      <c r="DT33" s="33"/>
      <c r="DU33" s="33"/>
      <c r="DV33" s="33"/>
      <c r="DW33" s="33"/>
      <c r="DX33" s="33"/>
      <c r="DY33" s="790"/>
      <c r="DZ33" s="791"/>
      <c r="EA33" s="33"/>
      <c r="EB33" s="33"/>
      <c r="EC33" s="33"/>
      <c r="ED33" s="33"/>
      <c r="EE33" s="33"/>
      <c r="EF33" s="33"/>
      <c r="EG33" s="33"/>
      <c r="EH33" s="33"/>
      <c r="EI33" s="790"/>
      <c r="EJ33" s="791"/>
      <c r="EK33" s="33"/>
      <c r="EL33" s="33"/>
      <c r="EM33" s="33"/>
      <c r="EN33" s="33"/>
      <c r="EO33" s="33"/>
      <c r="EP33" s="33"/>
      <c r="EQ33" s="33"/>
      <c r="ER33" s="33"/>
      <c r="ES33" s="790"/>
      <c r="ET33" s="791"/>
      <c r="EU33" s="33"/>
      <c r="EV33" s="33"/>
      <c r="EW33" s="33"/>
      <c r="EX33" s="33"/>
      <c r="EY33" s="33"/>
      <c r="EZ33" s="33"/>
      <c r="FA33" s="33"/>
      <c r="FB33" s="33"/>
      <c r="FC33" s="790"/>
      <c r="FD33" s="791"/>
      <c r="FE33" s="33"/>
      <c r="FF33" s="33"/>
      <c r="FG33" s="33"/>
      <c r="FH33" s="33"/>
      <c r="FI33" s="33"/>
      <c r="FJ33" s="33"/>
      <c r="FK33" s="33"/>
      <c r="FL33" s="33"/>
      <c r="FM33" s="790"/>
      <c r="FN33" s="791"/>
      <c r="FO33" s="791"/>
      <c r="FP33" s="33"/>
      <c r="FQ33" s="33"/>
      <c r="FR33" s="33"/>
      <c r="FS33" s="33"/>
      <c r="FT33" s="33"/>
      <c r="FU33" s="33"/>
      <c r="FV33" s="33"/>
      <c r="FW33" s="33"/>
      <c r="FX33" s="791"/>
      <c r="FY33" s="791"/>
      <c r="FZ33" s="33"/>
      <c r="GA33" s="33"/>
      <c r="GB33" s="33"/>
      <c r="GC33" s="33"/>
      <c r="GD33" s="33"/>
      <c r="GE33" s="33"/>
      <c r="GF33" s="33"/>
      <c r="GG33" s="33"/>
      <c r="GH33" s="791"/>
      <c r="GI33" s="791"/>
      <c r="GJ33" s="33"/>
      <c r="GK33" s="33"/>
      <c r="GL33" s="33"/>
      <c r="GM33" s="33"/>
      <c r="GN33" s="33"/>
      <c r="GO33" s="33"/>
      <c r="GP33" s="33"/>
      <c r="GQ33" s="33"/>
      <c r="GR33" s="791"/>
      <c r="GS33" s="791"/>
      <c r="GT33" s="33"/>
      <c r="GU33" s="33"/>
      <c r="GV33" s="33"/>
      <c r="GW33" s="33"/>
      <c r="GX33" s="33"/>
      <c r="GY33" s="33"/>
      <c r="GZ33" s="33"/>
      <c r="HA33" s="33"/>
      <c r="HB33" s="791"/>
      <c r="HC33" s="791"/>
      <c r="HD33" s="33"/>
      <c r="HE33" s="33"/>
      <c r="HF33" s="33"/>
      <c r="HG33" s="33"/>
      <c r="HH33" s="33"/>
      <c r="HI33" s="33"/>
      <c r="HJ33" s="33"/>
      <c r="HK33" s="33"/>
      <c r="HL33" s="791"/>
      <c r="HM33" s="791"/>
      <c r="HN33" s="33"/>
      <c r="HO33" s="33"/>
      <c r="HP33" s="33"/>
      <c r="HQ33" s="33"/>
      <c r="HR33" s="33"/>
      <c r="HS33" s="33"/>
      <c r="HT33" s="33"/>
      <c r="HU33" s="33"/>
      <c r="HV33" s="791"/>
      <c r="HW33" s="791"/>
      <c r="HX33" s="33"/>
      <c r="HY33" s="33"/>
      <c r="HZ33" s="33"/>
      <c r="IA33" s="33"/>
      <c r="IB33" s="33"/>
      <c r="IC33" s="33"/>
      <c r="ID33" s="33"/>
      <c r="IE33" s="33"/>
      <c r="IF33" s="791"/>
      <c r="IG33" s="791"/>
      <c r="IH33" s="33"/>
      <c r="II33" s="33"/>
      <c r="IJ33" s="33"/>
      <c r="IK33" s="33"/>
      <c r="IL33" s="33"/>
      <c r="IM33" s="33"/>
      <c r="IN33" s="792"/>
      <c r="IO33" s="792"/>
      <c r="IP33" s="792"/>
      <c r="IQ33" s="788"/>
      <c r="IR33" s="792"/>
      <c r="IS33" s="792"/>
      <c r="IT33" s="792"/>
      <c r="IU33" s="792"/>
      <c r="IV33" s="792"/>
      <c r="IW33" s="792"/>
      <c r="IX33" s="507"/>
      <c r="IY33" s="193"/>
    </row>
    <row r="34" spans="2:259" ht="15.75" thickBot="1" x14ac:dyDescent="0.3">
      <c r="B34" s="805"/>
      <c r="C34" s="820"/>
      <c r="D34" s="821"/>
      <c r="E34" s="821"/>
      <c r="F34" s="821"/>
      <c r="G34" s="821"/>
      <c r="H34" s="192"/>
      <c r="I34" s="829"/>
      <c r="J34" s="405"/>
      <c r="K34" s="822"/>
      <c r="L34" s="822"/>
      <c r="M34" s="822"/>
      <c r="N34" s="822"/>
      <c r="O34" s="822"/>
      <c r="P34" s="822"/>
      <c r="Q34" s="822"/>
      <c r="R34" s="822"/>
      <c r="S34" s="830"/>
      <c r="T34" s="692"/>
      <c r="U34" s="692"/>
      <c r="V34" s="692"/>
      <c r="W34" s="692"/>
      <c r="X34" s="807"/>
      <c r="Y34" s="46"/>
      <c r="AC34" s="71"/>
      <c r="AD34" s="71"/>
      <c r="AE34" s="71"/>
      <c r="AF34" s="71"/>
      <c r="AG34" s="71"/>
      <c r="AH34" s="71"/>
      <c r="AS34" s="193"/>
      <c r="AT34" s="507"/>
      <c r="AU34" s="789"/>
      <c r="AV34" s="789"/>
      <c r="AW34" s="789"/>
      <c r="AX34" s="791"/>
      <c r="AY34" s="33"/>
      <c r="AZ34" s="33"/>
      <c r="BA34" s="33"/>
      <c r="BB34" s="33"/>
      <c r="BC34" s="33"/>
      <c r="BD34" s="33"/>
      <c r="BE34" s="33"/>
      <c r="BF34" s="33"/>
      <c r="BG34" s="790"/>
      <c r="BH34" s="791"/>
      <c r="BI34" s="33"/>
      <c r="BJ34" s="33"/>
      <c r="BK34" s="33"/>
      <c r="BL34" s="33"/>
      <c r="BM34" s="33"/>
      <c r="BN34" s="33"/>
      <c r="BO34" s="33"/>
      <c r="BP34" s="33"/>
      <c r="BQ34" s="790"/>
      <c r="BR34" s="791"/>
      <c r="BS34" s="33"/>
      <c r="BT34" s="33"/>
      <c r="BU34" s="33"/>
      <c r="BV34" s="33"/>
      <c r="BW34" s="33"/>
      <c r="BX34" s="33"/>
      <c r="BY34" s="33"/>
      <c r="BZ34" s="33"/>
      <c r="CA34" s="790"/>
      <c r="CB34" s="791"/>
      <c r="CC34" s="33"/>
      <c r="CD34" s="33"/>
      <c r="CE34" s="33"/>
      <c r="CF34" s="33"/>
      <c r="CG34" s="33"/>
      <c r="CH34" s="33"/>
      <c r="CI34" s="33"/>
      <c r="CJ34" s="33"/>
      <c r="CK34" s="790"/>
      <c r="CL34" s="791"/>
      <c r="CM34" s="33"/>
      <c r="CN34" s="33"/>
      <c r="CO34" s="33"/>
      <c r="CP34" s="33"/>
      <c r="CQ34" s="33"/>
      <c r="CR34" s="33"/>
      <c r="CS34" s="33"/>
      <c r="CT34" s="33"/>
      <c r="CU34" s="790"/>
      <c r="CV34" s="791"/>
      <c r="CW34" s="33"/>
      <c r="CX34" s="33"/>
      <c r="CY34" s="33"/>
      <c r="CZ34" s="33"/>
      <c r="DA34" s="33"/>
      <c r="DB34" s="33"/>
      <c r="DC34" s="33"/>
      <c r="DD34" s="33"/>
      <c r="DE34" s="790"/>
      <c r="DF34" s="791"/>
      <c r="DG34" s="33"/>
      <c r="DH34" s="33"/>
      <c r="DI34" s="33"/>
      <c r="DJ34" s="33"/>
      <c r="DK34" s="33"/>
      <c r="DL34" s="33"/>
      <c r="DM34" s="33"/>
      <c r="DN34" s="33"/>
      <c r="DO34" s="790"/>
      <c r="DP34" s="791"/>
      <c r="DQ34" s="33"/>
      <c r="DR34" s="33"/>
      <c r="DS34" s="33"/>
      <c r="DT34" s="33"/>
      <c r="DU34" s="33"/>
      <c r="DV34" s="33"/>
      <c r="DW34" s="33"/>
      <c r="DX34" s="33"/>
      <c r="DY34" s="790"/>
      <c r="DZ34" s="791"/>
      <c r="EA34" s="33"/>
      <c r="EB34" s="33"/>
      <c r="EC34" s="33"/>
      <c r="ED34" s="33"/>
      <c r="EE34" s="33"/>
      <c r="EF34" s="33"/>
      <c r="EG34" s="33"/>
      <c r="EH34" s="33"/>
      <c r="EI34" s="790"/>
      <c r="EJ34" s="791"/>
      <c r="EK34" s="33"/>
      <c r="EL34" s="33"/>
      <c r="EM34" s="33"/>
      <c r="EN34" s="33"/>
      <c r="EO34" s="33"/>
      <c r="EP34" s="33"/>
      <c r="EQ34" s="33"/>
      <c r="ER34" s="33"/>
      <c r="ES34" s="790"/>
      <c r="ET34" s="791"/>
      <c r="EU34" s="33"/>
      <c r="EV34" s="33"/>
      <c r="EW34" s="33"/>
      <c r="EX34" s="33"/>
      <c r="EY34" s="33"/>
      <c r="EZ34" s="33"/>
      <c r="FA34" s="33"/>
      <c r="FB34" s="33"/>
      <c r="FC34" s="790"/>
      <c r="FD34" s="791"/>
      <c r="FE34" s="33"/>
      <c r="FF34" s="33"/>
      <c r="FG34" s="33"/>
      <c r="FH34" s="33"/>
      <c r="FI34" s="33"/>
      <c r="FJ34" s="33"/>
      <c r="FK34" s="33"/>
      <c r="FL34" s="33"/>
      <c r="FM34" s="790"/>
      <c r="FN34" s="791"/>
      <c r="FO34" s="791"/>
      <c r="FP34" s="33"/>
      <c r="FQ34" s="33"/>
      <c r="FR34" s="33"/>
      <c r="FS34" s="33"/>
      <c r="FT34" s="33"/>
      <c r="FU34" s="33"/>
      <c r="FV34" s="33"/>
      <c r="FW34" s="33"/>
      <c r="FX34" s="791"/>
      <c r="FY34" s="791"/>
      <c r="FZ34" s="33"/>
      <c r="GA34" s="33"/>
      <c r="GB34" s="33"/>
      <c r="GC34" s="33"/>
      <c r="GD34" s="33"/>
      <c r="GE34" s="33"/>
      <c r="GF34" s="33"/>
      <c r="GG34" s="33"/>
      <c r="GH34" s="791"/>
      <c r="GI34" s="791"/>
      <c r="GJ34" s="33"/>
      <c r="GK34" s="33"/>
      <c r="GL34" s="33"/>
      <c r="GM34" s="33"/>
      <c r="GN34" s="791"/>
      <c r="GO34" s="791"/>
      <c r="GP34" s="791"/>
      <c r="GQ34" s="791"/>
      <c r="GR34" s="791"/>
      <c r="GS34" s="791"/>
      <c r="GT34" s="791"/>
      <c r="GU34" s="791"/>
      <c r="GV34" s="791"/>
      <c r="GW34" s="791"/>
      <c r="GX34" s="791"/>
      <c r="GY34" s="791"/>
      <c r="GZ34" s="791"/>
      <c r="HA34" s="791"/>
      <c r="HB34" s="791"/>
      <c r="HC34" s="791"/>
      <c r="HD34" s="791"/>
      <c r="HE34" s="791"/>
      <c r="HF34" s="791"/>
      <c r="HG34" s="791"/>
      <c r="HH34" s="791"/>
      <c r="HI34" s="791"/>
      <c r="HJ34" s="791"/>
      <c r="HK34" s="791"/>
      <c r="HL34" s="791"/>
      <c r="HM34" s="791"/>
      <c r="HN34" s="33"/>
      <c r="HO34" s="33"/>
      <c r="HP34" s="33"/>
      <c r="HQ34" s="33"/>
      <c r="HR34" s="33"/>
      <c r="HS34" s="33"/>
      <c r="HT34" s="33"/>
      <c r="HU34" s="33"/>
      <c r="HV34" s="33"/>
      <c r="HW34" s="33"/>
      <c r="HX34" s="33"/>
      <c r="HY34" s="33"/>
      <c r="HZ34" s="33"/>
      <c r="IA34" s="33"/>
      <c r="IB34" s="33"/>
      <c r="IC34" s="33"/>
      <c r="ID34" s="33"/>
      <c r="IE34" s="33"/>
      <c r="IF34" s="791"/>
      <c r="IG34" s="791"/>
      <c r="IH34" s="33"/>
      <c r="II34" s="33"/>
      <c r="IJ34" s="33"/>
      <c r="IK34" s="33"/>
      <c r="IL34" s="33"/>
      <c r="IM34" s="33"/>
      <c r="IN34" s="792"/>
      <c r="IO34" s="792"/>
      <c r="IP34" s="792"/>
      <c r="IQ34" s="788"/>
      <c r="IR34" s="792"/>
      <c r="IS34" s="792"/>
      <c r="IT34" s="792"/>
      <c r="IU34" s="792"/>
      <c r="IV34" s="792"/>
      <c r="IW34" s="792"/>
      <c r="IX34" s="507"/>
      <c r="IY34" s="193"/>
    </row>
    <row r="35" spans="2:259" ht="15.75" thickBot="1" x14ac:dyDescent="0.3">
      <c r="B35" s="805"/>
      <c r="C35" s="809"/>
      <c r="D35" s="692"/>
      <c r="E35" s="692"/>
      <c r="F35" s="692"/>
      <c r="G35" s="692"/>
      <c r="H35" s="692"/>
      <c r="I35" s="692"/>
      <c r="J35" s="692"/>
      <c r="K35" s="692"/>
      <c r="L35" s="692"/>
      <c r="M35" s="692"/>
      <c r="N35" s="692"/>
      <c r="O35" s="692"/>
      <c r="P35" s="692"/>
      <c r="Q35" s="692"/>
      <c r="R35" s="692"/>
      <c r="S35" s="692"/>
      <c r="T35" s="692"/>
      <c r="U35" s="692"/>
      <c r="V35" s="692"/>
      <c r="W35" s="692"/>
      <c r="X35" s="807"/>
      <c r="Y35" s="46"/>
      <c r="AC35" s="71"/>
      <c r="AD35" s="71"/>
      <c r="AE35" s="71"/>
      <c r="AF35" s="71"/>
      <c r="AG35" s="71"/>
      <c r="AH35" s="71"/>
      <c r="AS35" s="193"/>
      <c r="AT35" s="507"/>
      <c r="AU35" s="789"/>
      <c r="AV35" s="789"/>
      <c r="AW35" s="789"/>
      <c r="AX35" s="791"/>
      <c r="AY35" s="33"/>
      <c r="AZ35" s="33"/>
      <c r="BA35" s="33"/>
      <c r="BB35" s="33"/>
      <c r="BC35" s="33"/>
      <c r="BD35" s="33"/>
      <c r="BE35" s="33"/>
      <c r="BF35" s="33"/>
      <c r="BG35" s="790"/>
      <c r="BH35" s="791"/>
      <c r="BI35" s="33"/>
      <c r="BJ35" s="33"/>
      <c r="BK35" s="33"/>
      <c r="BL35" s="33"/>
      <c r="BM35" s="33"/>
      <c r="BN35" s="33"/>
      <c r="BO35" s="33"/>
      <c r="BP35" s="33"/>
      <c r="BQ35" s="790"/>
      <c r="BR35" s="791"/>
      <c r="BS35" s="33"/>
      <c r="BT35" s="33"/>
      <c r="BU35" s="33"/>
      <c r="BV35" s="33"/>
      <c r="BW35" s="33"/>
      <c r="BX35" s="33"/>
      <c r="BY35" s="33"/>
      <c r="BZ35" s="33"/>
      <c r="CA35" s="790"/>
      <c r="CB35" s="791"/>
      <c r="CC35" s="33"/>
      <c r="CD35" s="33"/>
      <c r="CE35" s="33"/>
      <c r="CF35" s="33"/>
      <c r="CG35" s="33"/>
      <c r="CH35" s="33"/>
      <c r="CI35" s="33"/>
      <c r="CJ35" s="33"/>
      <c r="CK35" s="790"/>
      <c r="CL35" s="791"/>
      <c r="CM35" s="33"/>
      <c r="CN35" s="33"/>
      <c r="CO35" s="33"/>
      <c r="CP35" s="33"/>
      <c r="CQ35" s="33"/>
      <c r="CR35" s="33"/>
      <c r="CS35" s="33"/>
      <c r="CT35" s="33"/>
      <c r="CU35" s="790"/>
      <c r="CV35" s="791"/>
      <c r="CW35" s="33"/>
      <c r="CX35" s="33"/>
      <c r="CY35" s="33"/>
      <c r="CZ35" s="33"/>
      <c r="DA35" s="33"/>
      <c r="DB35" s="33"/>
      <c r="DC35" s="33"/>
      <c r="DD35" s="33"/>
      <c r="DE35" s="790"/>
      <c r="DF35" s="791"/>
      <c r="DG35" s="33"/>
      <c r="DH35" s="33"/>
      <c r="DI35" s="33"/>
      <c r="DJ35" s="33"/>
      <c r="DK35" s="33"/>
      <c r="DL35" s="33"/>
      <c r="DM35" s="33"/>
      <c r="DN35" s="33"/>
      <c r="DO35" s="790"/>
      <c r="DP35" s="791"/>
      <c r="DQ35" s="33"/>
      <c r="DR35" s="33"/>
      <c r="DS35" s="33"/>
      <c r="DT35" s="33"/>
      <c r="DU35" s="33"/>
      <c r="DV35" s="33"/>
      <c r="DW35" s="33"/>
      <c r="DX35" s="33"/>
      <c r="DY35" s="790"/>
      <c r="DZ35" s="791"/>
      <c r="EA35" s="33"/>
      <c r="EB35" s="33"/>
      <c r="EC35" s="33"/>
      <c r="ED35" s="33"/>
      <c r="EE35" s="33"/>
      <c r="EF35" s="33"/>
      <c r="EG35" s="33"/>
      <c r="EH35" s="33"/>
      <c r="EI35" s="790"/>
      <c r="EJ35" s="791"/>
      <c r="EK35" s="33"/>
      <c r="EL35" s="33"/>
      <c r="EM35" s="33"/>
      <c r="EN35" s="33"/>
      <c r="EO35" s="33"/>
      <c r="EP35" s="33"/>
      <c r="EQ35" s="33"/>
      <c r="ER35" s="33"/>
      <c r="ES35" s="790"/>
      <c r="ET35" s="791"/>
      <c r="EU35" s="33"/>
      <c r="EV35" s="33"/>
      <c r="EW35" s="33"/>
      <c r="EX35" s="33"/>
      <c r="EY35" s="33"/>
      <c r="EZ35" s="33"/>
      <c r="FA35" s="33"/>
      <c r="FB35" s="33"/>
      <c r="FC35" s="790"/>
      <c r="FD35" s="791"/>
      <c r="FE35" s="33"/>
      <c r="FF35" s="33"/>
      <c r="FG35" s="33"/>
      <c r="FH35" s="33"/>
      <c r="FI35" s="33"/>
      <c r="FJ35" s="33"/>
      <c r="FK35" s="33"/>
      <c r="FL35" s="33"/>
      <c r="FM35" s="790"/>
      <c r="FN35" s="791"/>
      <c r="FO35" s="791"/>
      <c r="FP35" s="33"/>
      <c r="FQ35" s="33"/>
      <c r="FR35" s="33"/>
      <c r="FS35" s="33"/>
      <c r="FT35" s="33"/>
      <c r="FU35" s="33"/>
      <c r="FV35" s="791"/>
      <c r="FW35" s="791"/>
      <c r="FX35" s="791"/>
      <c r="FY35" s="791"/>
      <c r="FZ35" s="791"/>
      <c r="GA35" s="791"/>
      <c r="GB35" s="791"/>
      <c r="GC35" s="791"/>
      <c r="GD35" s="791"/>
      <c r="GE35" s="791"/>
      <c r="GF35" s="791"/>
      <c r="GG35" s="791"/>
      <c r="GH35" s="791"/>
      <c r="GI35" s="791"/>
      <c r="GJ35" s="33"/>
      <c r="GK35" s="33"/>
      <c r="GL35" s="33"/>
      <c r="GM35" s="33"/>
      <c r="GN35" s="791"/>
      <c r="GO35" s="791"/>
      <c r="GP35" s="791"/>
      <c r="GQ35" s="791"/>
      <c r="GR35" s="791"/>
      <c r="GS35" s="791"/>
      <c r="GT35" s="791"/>
      <c r="GU35" s="791"/>
      <c r="GV35" s="791"/>
      <c r="GW35" s="791"/>
      <c r="GX35" s="791"/>
      <c r="GY35" s="791"/>
      <c r="GZ35" s="791"/>
      <c r="HA35" s="791"/>
      <c r="HB35" s="791"/>
      <c r="HC35" s="791"/>
      <c r="HD35" s="791"/>
      <c r="HE35" s="791"/>
      <c r="HF35" s="791"/>
      <c r="HG35" s="791"/>
      <c r="HH35" s="791"/>
      <c r="HI35" s="791"/>
      <c r="HJ35" s="791"/>
      <c r="HK35" s="791"/>
      <c r="HL35" s="791"/>
      <c r="HM35" s="791"/>
      <c r="HN35" s="33"/>
      <c r="HO35" s="33"/>
      <c r="HP35" s="33"/>
      <c r="HQ35" s="33"/>
      <c r="HR35" s="33"/>
      <c r="HS35" s="33"/>
      <c r="HT35" s="33"/>
      <c r="HU35" s="33"/>
      <c r="HV35" s="33"/>
      <c r="HW35" s="33"/>
      <c r="HX35" s="33"/>
      <c r="HY35" s="33"/>
      <c r="HZ35" s="33"/>
      <c r="IA35" s="33"/>
      <c r="IB35" s="33"/>
      <c r="IC35" s="33"/>
      <c r="ID35" s="33"/>
      <c r="IE35" s="33"/>
      <c r="IF35" s="791"/>
      <c r="IG35" s="791"/>
      <c r="IH35" s="33"/>
      <c r="II35" s="33"/>
      <c r="IJ35" s="33"/>
      <c r="IK35" s="33"/>
      <c r="IL35" s="33"/>
      <c r="IM35" s="33"/>
      <c r="IN35" s="792"/>
      <c r="IO35" s="792"/>
      <c r="IP35" s="792"/>
      <c r="IQ35" s="788"/>
      <c r="IR35" s="792"/>
      <c r="IS35" s="792"/>
      <c r="IT35" s="792"/>
      <c r="IU35" s="792"/>
      <c r="IV35" s="792"/>
      <c r="IW35" s="792"/>
      <c r="IX35" s="507"/>
      <c r="IY35" s="193"/>
    </row>
    <row r="36" spans="2:259" ht="15.75" thickBot="1" x14ac:dyDescent="0.3">
      <c r="B36" s="805"/>
      <c r="C36" s="809"/>
      <c r="D36" s="692"/>
      <c r="E36" s="692"/>
      <c r="F36" s="692"/>
      <c r="G36" s="692"/>
      <c r="H36" s="692"/>
      <c r="I36" s="692"/>
      <c r="J36" s="692"/>
      <c r="K36" s="692"/>
      <c r="L36" s="692"/>
      <c r="M36" s="692"/>
      <c r="N36" s="692"/>
      <c r="O36" s="692"/>
      <c r="P36" s="692"/>
      <c r="Q36" s="692"/>
      <c r="R36" s="692"/>
      <c r="S36" s="692"/>
      <c r="T36" s="692"/>
      <c r="U36" s="692"/>
      <c r="V36" s="692"/>
      <c r="W36" s="692"/>
      <c r="X36" s="807"/>
      <c r="Y36" s="46"/>
      <c r="AC36" s="71"/>
      <c r="AD36" s="71"/>
      <c r="AE36" s="71"/>
      <c r="AF36" s="71"/>
      <c r="AG36" s="71"/>
      <c r="AH36" s="71"/>
      <c r="AS36" s="193"/>
      <c r="AT36" s="507"/>
      <c r="AU36" s="789"/>
      <c r="AV36" s="789"/>
      <c r="AW36" s="789"/>
      <c r="AX36" s="791"/>
      <c r="AY36" s="33"/>
      <c r="AZ36" s="33"/>
      <c r="BA36" s="33"/>
      <c r="BB36" s="33"/>
      <c r="BC36" s="33"/>
      <c r="BD36" s="33"/>
      <c r="BE36" s="33"/>
      <c r="BF36" s="33"/>
      <c r="BG36" s="790"/>
      <c r="BH36" s="791"/>
      <c r="BI36" s="33"/>
      <c r="BJ36" s="33"/>
      <c r="BK36" s="33"/>
      <c r="BL36" s="33"/>
      <c r="BM36" s="33"/>
      <c r="BN36" s="33"/>
      <c r="BO36" s="33"/>
      <c r="BP36" s="33"/>
      <c r="BQ36" s="790"/>
      <c r="BR36" s="791"/>
      <c r="BS36" s="33"/>
      <c r="BT36" s="33"/>
      <c r="BU36" s="33"/>
      <c r="BV36" s="33"/>
      <c r="BW36" s="33"/>
      <c r="BX36" s="33"/>
      <c r="BY36" s="33"/>
      <c r="BZ36" s="33"/>
      <c r="CA36" s="790"/>
      <c r="CB36" s="791"/>
      <c r="CC36" s="33"/>
      <c r="CD36" s="33"/>
      <c r="CE36" s="33"/>
      <c r="CF36" s="33"/>
      <c r="CG36" s="33"/>
      <c r="CH36" s="33"/>
      <c r="CI36" s="33"/>
      <c r="CJ36" s="33"/>
      <c r="CK36" s="790"/>
      <c r="CL36" s="791"/>
      <c r="CM36" s="33"/>
      <c r="CN36" s="33"/>
      <c r="CO36" s="33"/>
      <c r="CP36" s="33"/>
      <c r="CQ36" s="33"/>
      <c r="CR36" s="33"/>
      <c r="CS36" s="33"/>
      <c r="CT36" s="33"/>
      <c r="CU36" s="790"/>
      <c r="CV36" s="791"/>
      <c r="CW36" s="33"/>
      <c r="CX36" s="33"/>
      <c r="CY36" s="33"/>
      <c r="CZ36" s="33"/>
      <c r="DA36" s="33"/>
      <c r="DB36" s="33"/>
      <c r="DC36" s="33"/>
      <c r="DD36" s="33"/>
      <c r="DE36" s="790"/>
      <c r="DF36" s="791"/>
      <c r="DG36" s="33"/>
      <c r="DH36" s="33"/>
      <c r="DI36" s="33"/>
      <c r="DJ36" s="33"/>
      <c r="DK36" s="33"/>
      <c r="DL36" s="33"/>
      <c r="DM36" s="33"/>
      <c r="DN36" s="33"/>
      <c r="DO36" s="790"/>
      <c r="DP36" s="791"/>
      <c r="DQ36" s="33"/>
      <c r="DR36" s="33"/>
      <c r="DS36" s="33"/>
      <c r="DT36" s="33"/>
      <c r="DU36" s="33"/>
      <c r="DV36" s="33"/>
      <c r="DW36" s="33"/>
      <c r="DX36" s="33"/>
      <c r="DY36" s="790"/>
      <c r="DZ36" s="791"/>
      <c r="EA36" s="33"/>
      <c r="EB36" s="33"/>
      <c r="EC36" s="33"/>
      <c r="ED36" s="33"/>
      <c r="EE36" s="33"/>
      <c r="EF36" s="33"/>
      <c r="EG36" s="33"/>
      <c r="EH36" s="33"/>
      <c r="EI36" s="790"/>
      <c r="EJ36" s="791"/>
      <c r="EK36" s="33"/>
      <c r="EL36" s="33"/>
      <c r="EM36" s="33"/>
      <c r="EN36" s="33"/>
      <c r="EO36" s="33"/>
      <c r="EP36" s="33"/>
      <c r="EQ36" s="33"/>
      <c r="ER36" s="33"/>
      <c r="ES36" s="790"/>
      <c r="ET36" s="791"/>
      <c r="EU36" s="33"/>
      <c r="EV36" s="33"/>
      <c r="EW36" s="33"/>
      <c r="EX36" s="33"/>
      <c r="EY36" s="33"/>
      <c r="EZ36" s="33"/>
      <c r="FA36" s="33"/>
      <c r="FB36" s="33"/>
      <c r="FC36" s="790"/>
      <c r="FD36" s="791"/>
      <c r="FE36" s="33"/>
      <c r="FF36" s="33"/>
      <c r="FG36" s="33"/>
      <c r="FH36" s="33"/>
      <c r="FI36" s="33"/>
      <c r="FJ36" s="33"/>
      <c r="FK36" s="33"/>
      <c r="FL36" s="33"/>
      <c r="FM36" s="790"/>
      <c r="FN36" s="791"/>
      <c r="FO36" s="791"/>
      <c r="FP36" s="33"/>
      <c r="FQ36" s="33"/>
      <c r="FR36" s="33"/>
      <c r="FS36" s="33"/>
      <c r="FT36" s="33"/>
      <c r="FU36" s="33"/>
      <c r="FV36" s="791"/>
      <c r="FW36" s="791"/>
      <c r="FX36" s="791"/>
      <c r="FY36" s="791"/>
      <c r="FZ36" s="791"/>
      <c r="GA36" s="791"/>
      <c r="GB36" s="791"/>
      <c r="GC36" s="791"/>
      <c r="GD36" s="791"/>
      <c r="GE36" s="791"/>
      <c r="GF36" s="791"/>
      <c r="GG36" s="791"/>
      <c r="GH36" s="791"/>
      <c r="GI36" s="791"/>
      <c r="GJ36" s="33"/>
      <c r="GK36" s="33"/>
      <c r="GL36" s="33"/>
      <c r="GM36" s="33"/>
      <c r="GN36" s="791"/>
      <c r="GO36" s="791"/>
      <c r="GP36" s="791"/>
      <c r="GQ36" s="791"/>
      <c r="GR36" s="791"/>
      <c r="GS36" s="791"/>
      <c r="GT36" s="791"/>
      <c r="GU36" s="791"/>
      <c r="GV36" s="791"/>
      <c r="GW36" s="791"/>
      <c r="GX36" s="791"/>
      <c r="GY36" s="791"/>
      <c r="GZ36" s="791"/>
      <c r="HA36" s="791"/>
      <c r="HB36" s="791"/>
      <c r="HC36" s="791"/>
      <c r="HD36" s="791"/>
      <c r="HE36" s="791"/>
      <c r="HF36" s="791"/>
      <c r="HG36" s="791"/>
      <c r="HH36" s="791"/>
      <c r="HI36" s="791"/>
      <c r="HJ36" s="791"/>
      <c r="HK36" s="791"/>
      <c r="HL36" s="791"/>
      <c r="HM36" s="791"/>
      <c r="HN36" s="33"/>
      <c r="HO36" s="33"/>
      <c r="HP36" s="33"/>
      <c r="HQ36" s="33"/>
      <c r="HR36" s="33"/>
      <c r="HS36" s="33"/>
      <c r="HT36" s="33"/>
      <c r="HU36" s="33"/>
      <c r="HV36" s="33"/>
      <c r="HW36" s="33"/>
      <c r="HX36" s="33"/>
      <c r="HY36" s="33"/>
      <c r="HZ36" s="33"/>
      <c r="IA36" s="33"/>
      <c r="IB36" s="33"/>
      <c r="IC36" s="33"/>
      <c r="ID36" s="33"/>
      <c r="IE36" s="33"/>
      <c r="IF36" s="791"/>
      <c r="IG36" s="791"/>
      <c r="IH36" s="33"/>
      <c r="II36" s="33"/>
      <c r="IJ36" s="33"/>
      <c r="IK36" s="33"/>
      <c r="IL36" s="33"/>
      <c r="IM36" s="33"/>
      <c r="IN36" s="792"/>
      <c r="IO36" s="792"/>
      <c r="IP36" s="792"/>
      <c r="IQ36" s="788"/>
      <c r="IR36" s="792"/>
      <c r="IS36" s="792"/>
      <c r="IT36" s="792"/>
      <c r="IU36" s="792"/>
      <c r="IV36" s="792"/>
      <c r="IW36" s="792"/>
      <c r="IX36" s="507"/>
      <c r="IY36" s="193"/>
    </row>
    <row r="37" spans="2:259" ht="15.75" thickBot="1" x14ac:dyDescent="0.3">
      <c r="B37" s="805"/>
      <c r="C37" s="809"/>
      <c r="D37" s="692"/>
      <c r="E37" s="692"/>
      <c r="F37" s="692"/>
      <c r="G37" s="692"/>
      <c r="H37" s="692"/>
      <c r="I37" s="692"/>
      <c r="J37" s="692"/>
      <c r="K37" s="692"/>
      <c r="L37" s="692"/>
      <c r="M37" s="692"/>
      <c r="N37" s="692"/>
      <c r="O37" s="692"/>
      <c r="P37" s="692"/>
      <c r="Q37" s="692"/>
      <c r="R37" s="692"/>
      <c r="S37" s="692"/>
      <c r="T37" s="692"/>
      <c r="U37" s="692"/>
      <c r="V37" s="692"/>
      <c r="W37" s="692"/>
      <c r="X37" s="807"/>
      <c r="Y37" s="46"/>
      <c r="AC37" s="71"/>
      <c r="AD37" s="71"/>
      <c r="AE37" s="71"/>
      <c r="AF37" s="71"/>
      <c r="AG37" s="71"/>
      <c r="AH37" s="71"/>
      <c r="AS37" s="193"/>
      <c r="AT37" s="507"/>
      <c r="AU37" s="789"/>
      <c r="AV37" s="789"/>
      <c r="AW37" s="789"/>
      <c r="AX37" s="791"/>
      <c r="AY37" s="33"/>
      <c r="AZ37" s="33"/>
      <c r="BA37" s="33"/>
      <c r="BB37" s="33"/>
      <c r="BC37" s="33"/>
      <c r="BD37" s="33"/>
      <c r="BE37" s="33"/>
      <c r="BF37" s="33"/>
      <c r="BG37" s="790"/>
      <c r="BH37" s="791"/>
      <c r="BI37" s="33"/>
      <c r="BJ37" s="33"/>
      <c r="BK37" s="33"/>
      <c r="BL37" s="33"/>
      <c r="BM37" s="33"/>
      <c r="BN37" s="33"/>
      <c r="BO37" s="33"/>
      <c r="BP37" s="33"/>
      <c r="BQ37" s="790"/>
      <c r="BR37" s="791"/>
      <c r="BS37" s="33"/>
      <c r="BT37" s="33"/>
      <c r="BU37" s="33"/>
      <c r="BV37" s="33"/>
      <c r="BW37" s="33"/>
      <c r="BX37" s="33"/>
      <c r="BY37" s="33"/>
      <c r="BZ37" s="33"/>
      <c r="CA37" s="790"/>
      <c r="CB37" s="791"/>
      <c r="CC37" s="33"/>
      <c r="CD37" s="33"/>
      <c r="CE37" s="33"/>
      <c r="CF37" s="33"/>
      <c r="CG37" s="33"/>
      <c r="CH37" s="33"/>
      <c r="CI37" s="33"/>
      <c r="CJ37" s="33"/>
      <c r="CK37" s="790"/>
      <c r="CL37" s="791"/>
      <c r="CM37" s="33"/>
      <c r="CN37" s="33"/>
      <c r="CO37" s="33"/>
      <c r="CP37" s="33"/>
      <c r="CQ37" s="33"/>
      <c r="CR37" s="33"/>
      <c r="CS37" s="33"/>
      <c r="CT37" s="33"/>
      <c r="CU37" s="790"/>
      <c r="CV37" s="791"/>
      <c r="CW37" s="33"/>
      <c r="CX37" s="33"/>
      <c r="CY37" s="33"/>
      <c r="CZ37" s="33"/>
      <c r="DA37" s="33"/>
      <c r="DB37" s="33"/>
      <c r="DC37" s="33"/>
      <c r="DD37" s="33"/>
      <c r="DE37" s="790"/>
      <c r="DF37" s="791"/>
      <c r="DG37" s="33"/>
      <c r="DH37" s="33"/>
      <c r="DI37" s="33"/>
      <c r="DJ37" s="33"/>
      <c r="DK37" s="33"/>
      <c r="DL37" s="33"/>
      <c r="DM37" s="33"/>
      <c r="DN37" s="33"/>
      <c r="DO37" s="790"/>
      <c r="DP37" s="791"/>
      <c r="DQ37" s="33"/>
      <c r="DR37" s="33"/>
      <c r="DS37" s="33"/>
      <c r="DT37" s="33"/>
      <c r="DU37" s="33"/>
      <c r="DV37" s="33"/>
      <c r="DW37" s="33"/>
      <c r="DX37" s="33"/>
      <c r="DY37" s="790"/>
      <c r="DZ37" s="791"/>
      <c r="EA37" s="33"/>
      <c r="EB37" s="33"/>
      <c r="EC37" s="33"/>
      <c r="ED37" s="33"/>
      <c r="EE37" s="33"/>
      <c r="EF37" s="33"/>
      <c r="EG37" s="33"/>
      <c r="EH37" s="33"/>
      <c r="EI37" s="790"/>
      <c r="EJ37" s="791"/>
      <c r="EK37" s="33"/>
      <c r="EL37" s="33"/>
      <c r="EM37" s="33"/>
      <c r="EN37" s="33"/>
      <c r="EO37" s="33"/>
      <c r="EP37" s="33"/>
      <c r="EQ37" s="33"/>
      <c r="ER37" s="33"/>
      <c r="ES37" s="790"/>
      <c r="ET37" s="791"/>
      <c r="EU37" s="33"/>
      <c r="EV37" s="33"/>
      <c r="EW37" s="33"/>
      <c r="EX37" s="33"/>
      <c r="EY37" s="33"/>
      <c r="EZ37" s="33"/>
      <c r="FA37" s="33"/>
      <c r="FB37" s="33"/>
      <c r="FC37" s="790"/>
      <c r="FD37" s="791"/>
      <c r="FE37" s="33"/>
      <c r="FF37" s="33"/>
      <c r="FG37" s="33"/>
      <c r="FH37" s="33"/>
      <c r="FI37" s="33"/>
      <c r="FJ37" s="33"/>
      <c r="FK37" s="33"/>
      <c r="FL37" s="33"/>
      <c r="FM37" s="790"/>
      <c r="FN37" s="791"/>
      <c r="FO37" s="791"/>
      <c r="FP37" s="33"/>
      <c r="FQ37" s="33"/>
      <c r="FR37" s="33"/>
      <c r="FS37" s="33"/>
      <c r="FT37" s="33"/>
      <c r="FU37" s="33"/>
      <c r="FV37" s="791"/>
      <c r="FW37" s="791"/>
      <c r="FX37" s="791"/>
      <c r="FY37" s="791"/>
      <c r="FZ37" s="791"/>
      <c r="GA37" s="791"/>
      <c r="GB37" s="791"/>
      <c r="GC37" s="791"/>
      <c r="GD37" s="791"/>
      <c r="GE37" s="791"/>
      <c r="GF37" s="791"/>
      <c r="GG37" s="791"/>
      <c r="GH37" s="791"/>
      <c r="GI37" s="791"/>
      <c r="GJ37" s="33"/>
      <c r="GK37" s="33"/>
      <c r="GL37" s="33"/>
      <c r="GM37" s="33"/>
      <c r="GN37" s="791"/>
      <c r="GO37" s="791"/>
      <c r="GP37" s="791"/>
      <c r="GQ37" s="791"/>
      <c r="GR37" s="791"/>
      <c r="GS37" s="791"/>
      <c r="GT37" s="791"/>
      <c r="GU37" s="791"/>
      <c r="GV37" s="791"/>
      <c r="GW37" s="791"/>
      <c r="GX37" s="791"/>
      <c r="GY37" s="791"/>
      <c r="GZ37" s="791"/>
      <c r="HA37" s="791"/>
      <c r="HB37" s="791"/>
      <c r="HC37" s="791"/>
      <c r="HD37" s="791"/>
      <c r="HE37" s="791"/>
      <c r="HF37" s="791"/>
      <c r="HG37" s="791"/>
      <c r="HH37" s="791"/>
      <c r="HI37" s="791"/>
      <c r="HJ37" s="791"/>
      <c r="HK37" s="791"/>
      <c r="HL37" s="791"/>
      <c r="HM37" s="791"/>
      <c r="HN37" s="33"/>
      <c r="HO37" s="33"/>
      <c r="HP37" s="33"/>
      <c r="HQ37" s="33"/>
      <c r="HR37" s="33"/>
      <c r="HS37" s="33"/>
      <c r="HT37" s="33"/>
      <c r="HU37" s="33"/>
      <c r="HV37" s="33"/>
      <c r="HW37" s="33"/>
      <c r="HX37" s="33"/>
      <c r="HY37" s="33"/>
      <c r="HZ37" s="33"/>
      <c r="IA37" s="33"/>
      <c r="IB37" s="33"/>
      <c r="IC37" s="33"/>
      <c r="ID37" s="33"/>
      <c r="IE37" s="33"/>
      <c r="IF37" s="791"/>
      <c r="IG37" s="791"/>
      <c r="IH37" s="33"/>
      <c r="II37" s="33"/>
      <c r="IJ37" s="33"/>
      <c r="IK37" s="33"/>
      <c r="IL37" s="33"/>
      <c r="IM37" s="33"/>
      <c r="IN37" s="792"/>
      <c r="IO37" s="792"/>
      <c r="IP37" s="792"/>
      <c r="IQ37" s="788"/>
      <c r="IR37" s="792"/>
      <c r="IS37" s="792"/>
      <c r="IT37" s="792"/>
      <c r="IU37" s="792"/>
      <c r="IV37" s="792"/>
      <c r="IW37" s="792"/>
      <c r="IX37" s="507"/>
      <c r="IY37" s="193"/>
    </row>
    <row r="38" spans="2:259" ht="15.75" thickBot="1" x14ac:dyDescent="0.3">
      <c r="B38" s="47"/>
      <c r="C38" s="808"/>
      <c r="D38" s="808"/>
      <c r="E38" s="808"/>
      <c r="F38" s="808"/>
      <c r="G38" s="808"/>
      <c r="H38" s="808"/>
      <c r="I38" s="808"/>
      <c r="J38" s="808"/>
      <c r="K38" s="808"/>
      <c r="L38" s="808"/>
      <c r="M38" s="808"/>
      <c r="N38" s="808"/>
      <c r="O38" s="808"/>
      <c r="P38" s="808"/>
      <c r="Q38" s="808"/>
      <c r="R38" s="808"/>
      <c r="S38" s="808"/>
      <c r="T38" s="808"/>
      <c r="U38" s="808"/>
      <c r="V38" s="808"/>
      <c r="W38" s="808"/>
      <c r="X38" s="76"/>
      <c r="Y38" s="46"/>
      <c r="AC38" s="71"/>
      <c r="AD38" s="71"/>
      <c r="AE38" s="71"/>
      <c r="AF38" s="71"/>
      <c r="AG38" s="71"/>
      <c r="AH38" s="71"/>
      <c r="AS38" s="193"/>
      <c r="AT38" s="507"/>
      <c r="AU38" s="789"/>
      <c r="AV38" s="789"/>
      <c r="AW38" s="789"/>
      <c r="AX38" s="791"/>
      <c r="AY38" s="33"/>
      <c r="AZ38" s="33"/>
      <c r="BA38" s="33"/>
      <c r="BB38" s="33"/>
      <c r="BC38" s="33"/>
      <c r="BD38" s="33"/>
      <c r="BE38" s="33"/>
      <c r="BF38" s="33"/>
      <c r="BG38" s="790"/>
      <c r="BH38" s="791"/>
      <c r="BI38" s="33"/>
      <c r="BJ38" s="33"/>
      <c r="BK38" s="33"/>
      <c r="BL38" s="33"/>
      <c r="BM38" s="33"/>
      <c r="BN38" s="33"/>
      <c r="BO38" s="33"/>
      <c r="BP38" s="33"/>
      <c r="BQ38" s="790"/>
      <c r="BR38" s="791"/>
      <c r="BS38" s="33"/>
      <c r="BT38" s="33"/>
      <c r="BU38" s="33"/>
      <c r="BV38" s="33"/>
      <c r="BW38" s="33"/>
      <c r="BX38" s="33"/>
      <c r="BY38" s="33"/>
      <c r="BZ38" s="33"/>
      <c r="CA38" s="790"/>
      <c r="CB38" s="791"/>
      <c r="CC38" s="33"/>
      <c r="CD38" s="33"/>
      <c r="CE38" s="33"/>
      <c r="CF38" s="33"/>
      <c r="CG38" s="33"/>
      <c r="CH38" s="33"/>
      <c r="CI38" s="33"/>
      <c r="CJ38" s="33"/>
      <c r="CK38" s="790"/>
      <c r="CL38" s="791"/>
      <c r="CM38" s="33"/>
      <c r="CN38" s="33"/>
      <c r="CO38" s="33"/>
      <c r="CP38" s="33"/>
      <c r="CQ38" s="33"/>
      <c r="CR38" s="33"/>
      <c r="CS38" s="33"/>
      <c r="CT38" s="33"/>
      <c r="CU38" s="790"/>
      <c r="CV38" s="791"/>
      <c r="CW38" s="33"/>
      <c r="CX38" s="33"/>
      <c r="CY38" s="33"/>
      <c r="CZ38" s="33"/>
      <c r="DA38" s="33"/>
      <c r="DB38" s="33"/>
      <c r="DC38" s="33"/>
      <c r="DD38" s="33"/>
      <c r="DE38" s="790"/>
      <c r="DF38" s="791"/>
      <c r="DG38" s="33"/>
      <c r="DH38" s="33"/>
      <c r="DI38" s="33"/>
      <c r="DJ38" s="33"/>
      <c r="DK38" s="33"/>
      <c r="DL38" s="33"/>
      <c r="DM38" s="33"/>
      <c r="DN38" s="33"/>
      <c r="DO38" s="790"/>
      <c r="DP38" s="791"/>
      <c r="DQ38" s="33"/>
      <c r="DR38" s="33"/>
      <c r="DS38" s="33"/>
      <c r="DT38" s="33"/>
      <c r="DU38" s="33"/>
      <c r="DV38" s="33"/>
      <c r="DW38" s="33"/>
      <c r="DX38" s="33"/>
      <c r="DY38" s="790"/>
      <c r="DZ38" s="791"/>
      <c r="EA38" s="33"/>
      <c r="EB38" s="33"/>
      <c r="EC38" s="33"/>
      <c r="ED38" s="33"/>
      <c r="EE38" s="33"/>
      <c r="EF38" s="33"/>
      <c r="EG38" s="33"/>
      <c r="EH38" s="33"/>
      <c r="EI38" s="790"/>
      <c r="EJ38" s="791"/>
      <c r="EK38" s="33"/>
      <c r="EL38" s="33"/>
      <c r="EM38" s="33"/>
      <c r="EN38" s="33"/>
      <c r="EO38" s="33"/>
      <c r="EP38" s="33"/>
      <c r="EQ38" s="33"/>
      <c r="ER38" s="33"/>
      <c r="ES38" s="790"/>
      <c r="ET38" s="791"/>
      <c r="EU38" s="33"/>
      <c r="EV38" s="33"/>
      <c r="EW38" s="33"/>
      <c r="EX38" s="33"/>
      <c r="EY38" s="33"/>
      <c r="EZ38" s="33"/>
      <c r="FA38" s="33"/>
      <c r="FB38" s="33"/>
      <c r="FC38" s="790"/>
      <c r="FD38" s="791"/>
      <c r="FE38" s="33"/>
      <c r="FF38" s="33"/>
      <c r="FG38" s="33"/>
      <c r="FH38" s="33"/>
      <c r="FI38" s="33"/>
      <c r="FJ38" s="33"/>
      <c r="FK38" s="33"/>
      <c r="FL38" s="33"/>
      <c r="FM38" s="790"/>
      <c r="FN38" s="791"/>
      <c r="FO38" s="791"/>
      <c r="FP38" s="33"/>
      <c r="FQ38" s="33"/>
      <c r="FR38" s="33"/>
      <c r="FS38" s="33"/>
      <c r="FT38" s="33"/>
      <c r="FU38" s="33"/>
      <c r="FV38" s="791"/>
      <c r="FW38" s="791"/>
      <c r="FX38" s="791"/>
      <c r="FY38" s="791"/>
      <c r="FZ38" s="791"/>
      <c r="GA38" s="791"/>
      <c r="GB38" s="791"/>
      <c r="GC38" s="791"/>
      <c r="GD38" s="791"/>
      <c r="GE38" s="791"/>
      <c r="GF38" s="791"/>
      <c r="GG38" s="791"/>
      <c r="GH38" s="791"/>
      <c r="GI38" s="791"/>
      <c r="GJ38" s="33"/>
      <c r="GK38" s="33"/>
      <c r="GL38" s="33"/>
      <c r="GM38" s="33"/>
      <c r="GN38" s="791"/>
      <c r="GO38" s="791"/>
      <c r="GP38" s="791"/>
      <c r="GQ38" s="791"/>
      <c r="GR38" s="791"/>
      <c r="GS38" s="791"/>
      <c r="GT38" s="791"/>
      <c r="GU38" s="791"/>
      <c r="GV38" s="791"/>
      <c r="GW38" s="791"/>
      <c r="GX38" s="791"/>
      <c r="GY38" s="791"/>
      <c r="GZ38" s="791"/>
      <c r="HA38" s="791"/>
      <c r="HB38" s="791"/>
      <c r="HC38" s="791"/>
      <c r="HD38" s="791"/>
      <c r="HE38" s="791"/>
      <c r="HF38" s="791"/>
      <c r="HG38" s="791"/>
      <c r="HH38" s="791"/>
      <c r="HI38" s="791"/>
      <c r="HJ38" s="791"/>
      <c r="HK38" s="791"/>
      <c r="HL38" s="791"/>
      <c r="HM38" s="791"/>
      <c r="HN38" s="33"/>
      <c r="HO38" s="33"/>
      <c r="HP38" s="33"/>
      <c r="HQ38" s="33"/>
      <c r="HR38" s="33"/>
      <c r="HS38" s="33"/>
      <c r="HT38" s="33"/>
      <c r="HU38" s="33"/>
      <c r="HV38" s="33"/>
      <c r="HW38" s="33"/>
      <c r="HX38" s="33"/>
      <c r="HY38" s="33"/>
      <c r="HZ38" s="33"/>
      <c r="IA38" s="33"/>
      <c r="IB38" s="33"/>
      <c r="IC38" s="33"/>
      <c r="ID38" s="33"/>
      <c r="IE38" s="33"/>
      <c r="IF38" s="791"/>
      <c r="IG38" s="791"/>
      <c r="IH38" s="33"/>
      <c r="II38" s="33"/>
      <c r="IJ38" s="33"/>
      <c r="IK38" s="33"/>
      <c r="IL38" s="33"/>
      <c r="IM38" s="33"/>
      <c r="IN38" s="792"/>
      <c r="IO38" s="792"/>
      <c r="IP38" s="792"/>
      <c r="IQ38" s="788"/>
      <c r="IR38" s="792"/>
      <c r="IS38" s="792"/>
      <c r="IT38" s="792"/>
      <c r="IU38" s="792"/>
      <c r="IV38" s="792"/>
      <c r="IW38" s="792"/>
      <c r="IX38" s="507"/>
      <c r="IY38" s="193"/>
    </row>
    <row r="39" spans="2:259"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S39" s="193"/>
      <c r="AT39" s="507"/>
      <c r="AU39" s="789"/>
      <c r="AV39" s="789"/>
      <c r="AW39" s="789"/>
      <c r="AX39" s="791"/>
      <c r="AY39" s="33"/>
      <c r="AZ39" s="33"/>
      <c r="BA39" s="33"/>
      <c r="BB39" s="33"/>
      <c r="BC39" s="33"/>
      <c r="BD39" s="33"/>
      <c r="BE39" s="33"/>
      <c r="BF39" s="33"/>
      <c r="BG39" s="790"/>
      <c r="BH39" s="791"/>
      <c r="BI39" s="33"/>
      <c r="BJ39" s="33"/>
      <c r="BK39" s="33"/>
      <c r="BL39" s="33"/>
      <c r="BM39" s="33"/>
      <c r="BN39" s="33"/>
      <c r="BO39" s="33"/>
      <c r="BP39" s="33"/>
      <c r="BQ39" s="790"/>
      <c r="BR39" s="791"/>
      <c r="BS39" s="33"/>
      <c r="BT39" s="33"/>
      <c r="BU39" s="33"/>
      <c r="BV39" s="33"/>
      <c r="BW39" s="33"/>
      <c r="BX39" s="33"/>
      <c r="BY39" s="33"/>
      <c r="BZ39" s="33"/>
      <c r="CA39" s="790"/>
      <c r="CB39" s="791"/>
      <c r="CC39" s="33"/>
      <c r="CD39" s="33"/>
      <c r="CE39" s="33"/>
      <c r="CF39" s="33"/>
      <c r="CG39" s="33"/>
      <c r="CH39" s="33"/>
      <c r="CI39" s="33"/>
      <c r="CJ39" s="33"/>
      <c r="CK39" s="790"/>
      <c r="CL39" s="791"/>
      <c r="CM39" s="33"/>
      <c r="CN39" s="33"/>
      <c r="CO39" s="33"/>
      <c r="CP39" s="33"/>
      <c r="CQ39" s="33"/>
      <c r="CR39" s="33"/>
      <c r="CS39" s="33"/>
      <c r="CT39" s="33"/>
      <c r="CU39" s="790"/>
      <c r="CV39" s="791"/>
      <c r="CW39" s="33"/>
      <c r="CX39" s="33"/>
      <c r="CY39" s="33"/>
      <c r="CZ39" s="33"/>
      <c r="DA39" s="33"/>
      <c r="DB39" s="33"/>
      <c r="DC39" s="33"/>
      <c r="DD39" s="33"/>
      <c r="DE39" s="790"/>
      <c r="DF39" s="791"/>
      <c r="DG39" s="33"/>
      <c r="DH39" s="33"/>
      <c r="DI39" s="33"/>
      <c r="DJ39" s="33"/>
      <c r="DK39" s="33"/>
      <c r="DL39" s="33"/>
      <c r="DM39" s="33"/>
      <c r="DN39" s="33"/>
      <c r="DO39" s="790"/>
      <c r="DP39" s="791"/>
      <c r="DQ39" s="33"/>
      <c r="DR39" s="33"/>
      <c r="DS39" s="33"/>
      <c r="DT39" s="33"/>
      <c r="DU39" s="33"/>
      <c r="DV39" s="33"/>
      <c r="DW39" s="33"/>
      <c r="DX39" s="33"/>
      <c r="DY39" s="790"/>
      <c r="DZ39" s="791"/>
      <c r="EA39" s="33"/>
      <c r="EB39" s="33"/>
      <c r="EC39" s="33"/>
      <c r="ED39" s="33"/>
      <c r="EE39" s="33"/>
      <c r="EF39" s="33"/>
      <c r="EG39" s="33"/>
      <c r="EH39" s="33"/>
      <c r="EI39" s="790"/>
      <c r="EJ39" s="791"/>
      <c r="EK39" s="33"/>
      <c r="EL39" s="33"/>
      <c r="EM39" s="33"/>
      <c r="EN39" s="33"/>
      <c r="EO39" s="33"/>
      <c r="EP39" s="33"/>
      <c r="EQ39" s="33"/>
      <c r="ER39" s="33"/>
      <c r="ES39" s="790"/>
      <c r="ET39" s="791"/>
      <c r="EU39" s="33"/>
      <c r="EV39" s="33"/>
      <c r="EW39" s="33"/>
      <c r="EX39" s="33"/>
      <c r="EY39" s="33"/>
      <c r="EZ39" s="33"/>
      <c r="FA39" s="33"/>
      <c r="FB39" s="33"/>
      <c r="FC39" s="790"/>
      <c r="FD39" s="791"/>
      <c r="FE39" s="33"/>
      <c r="FF39" s="33"/>
      <c r="FG39" s="33"/>
      <c r="FH39" s="33"/>
      <c r="FI39" s="33"/>
      <c r="FJ39" s="33"/>
      <c r="FK39" s="33"/>
      <c r="FL39" s="33"/>
      <c r="FM39" s="790"/>
      <c r="FN39" s="791"/>
      <c r="FO39" s="791"/>
      <c r="FP39" s="33"/>
      <c r="FQ39" s="33"/>
      <c r="FR39" s="33"/>
      <c r="FS39" s="33"/>
      <c r="FT39" s="33"/>
      <c r="FU39" s="33"/>
      <c r="FV39" s="786"/>
      <c r="FW39" s="786"/>
      <c r="FX39" s="786"/>
      <c r="FY39" s="786"/>
      <c r="FZ39" s="786"/>
      <c r="GA39" s="786"/>
      <c r="GB39" s="786"/>
      <c r="GC39" s="786"/>
      <c r="GD39" s="786"/>
      <c r="GE39" s="786"/>
      <c r="GF39" s="786"/>
      <c r="GG39" s="786"/>
      <c r="GH39" s="791"/>
      <c r="GI39" s="791"/>
      <c r="GJ39" s="33"/>
      <c r="GK39" s="33"/>
      <c r="GL39" s="33"/>
      <c r="GM39" s="33"/>
      <c r="GN39" s="791"/>
      <c r="GO39" s="791"/>
      <c r="GP39" s="791"/>
      <c r="GQ39" s="791"/>
      <c r="GR39" s="791"/>
      <c r="GS39" s="791"/>
      <c r="GT39" s="791"/>
      <c r="GU39" s="791"/>
      <c r="GV39" s="791"/>
      <c r="GW39" s="791"/>
      <c r="GX39" s="791"/>
      <c r="GY39" s="791"/>
      <c r="GZ39" s="791"/>
      <c r="HA39" s="791"/>
      <c r="HB39" s="791"/>
      <c r="HC39" s="791"/>
      <c r="HD39" s="791"/>
      <c r="HE39" s="791"/>
      <c r="HF39" s="791"/>
      <c r="HG39" s="791"/>
      <c r="HH39" s="791"/>
      <c r="HI39" s="791"/>
      <c r="HJ39" s="791"/>
      <c r="HK39" s="791"/>
      <c r="HL39" s="791"/>
      <c r="HM39" s="791"/>
      <c r="HN39" s="33"/>
      <c r="HO39" s="33"/>
      <c r="HP39" s="33"/>
      <c r="HQ39" s="33"/>
      <c r="HR39" s="33"/>
      <c r="HS39" s="33"/>
      <c r="HT39" s="33"/>
      <c r="HU39" s="33"/>
      <c r="HV39" s="33"/>
      <c r="HW39" s="33"/>
      <c r="HX39" s="33"/>
      <c r="HY39" s="33"/>
      <c r="HZ39" s="33"/>
      <c r="IA39" s="33"/>
      <c r="IB39" s="33"/>
      <c r="IC39" s="33"/>
      <c r="ID39" s="33"/>
      <c r="IE39" s="33"/>
      <c r="IF39" s="791"/>
      <c r="IG39" s="791"/>
      <c r="IH39" s="33"/>
      <c r="II39" s="33"/>
      <c r="IJ39" s="33"/>
      <c r="IK39" s="33"/>
      <c r="IL39" s="33"/>
      <c r="IM39" s="33"/>
      <c r="IN39" s="792"/>
      <c r="IO39" s="792"/>
      <c r="IP39" s="792"/>
      <c r="IQ39" s="788"/>
      <c r="IR39" s="792"/>
      <c r="IS39" s="792"/>
      <c r="IT39" s="792"/>
      <c r="IU39" s="792"/>
      <c r="IV39" s="792"/>
      <c r="IW39" s="792"/>
      <c r="IX39" s="507"/>
      <c r="IY39" s="193"/>
    </row>
    <row r="40" spans="2:259"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S40" s="193"/>
      <c r="AT40" s="507"/>
      <c r="AU40" s="789"/>
      <c r="AV40" s="789"/>
      <c r="AW40" s="789"/>
      <c r="AX40" s="791"/>
      <c r="AY40" s="33"/>
      <c r="AZ40" s="33"/>
      <c r="BA40" s="33"/>
      <c r="BB40" s="33"/>
      <c r="BC40" s="33"/>
      <c r="BD40" s="33"/>
      <c r="BE40" s="33"/>
      <c r="BF40" s="33"/>
      <c r="BG40" s="790"/>
      <c r="BH40" s="791"/>
      <c r="BI40" s="33"/>
      <c r="BJ40" s="33"/>
      <c r="BK40" s="33"/>
      <c r="BL40" s="33"/>
      <c r="BM40" s="33"/>
      <c r="BN40" s="33"/>
      <c r="BO40" s="33"/>
      <c r="BP40" s="33"/>
      <c r="BQ40" s="790"/>
      <c r="BR40" s="791"/>
      <c r="BS40" s="33"/>
      <c r="BT40" s="33"/>
      <c r="BU40" s="33"/>
      <c r="BV40" s="33"/>
      <c r="BW40" s="33"/>
      <c r="BX40" s="33"/>
      <c r="BY40" s="33"/>
      <c r="BZ40" s="33"/>
      <c r="CA40" s="790"/>
      <c r="CB40" s="791"/>
      <c r="CC40" s="33"/>
      <c r="CD40" s="33"/>
      <c r="CE40" s="33"/>
      <c r="CF40" s="33"/>
      <c r="CG40" s="33"/>
      <c r="CH40" s="33"/>
      <c r="CI40" s="33"/>
      <c r="CJ40" s="33"/>
      <c r="CK40" s="790"/>
      <c r="CL40" s="791"/>
      <c r="CM40" s="33"/>
      <c r="CN40" s="33"/>
      <c r="CO40" s="33"/>
      <c r="CP40" s="33"/>
      <c r="CQ40" s="33"/>
      <c r="CR40" s="33"/>
      <c r="CS40" s="33"/>
      <c r="CT40" s="33"/>
      <c r="CU40" s="790"/>
      <c r="CV40" s="791"/>
      <c r="CW40" s="33"/>
      <c r="CX40" s="33"/>
      <c r="CY40" s="33"/>
      <c r="CZ40" s="33"/>
      <c r="DA40" s="33"/>
      <c r="DB40" s="33"/>
      <c r="DC40" s="33"/>
      <c r="DD40" s="33"/>
      <c r="DE40" s="790"/>
      <c r="DF40" s="791"/>
      <c r="DG40" s="33"/>
      <c r="DH40" s="33"/>
      <c r="DI40" s="33"/>
      <c r="DJ40" s="33"/>
      <c r="DK40" s="33"/>
      <c r="DL40" s="33"/>
      <c r="DM40" s="33"/>
      <c r="DN40" s="33"/>
      <c r="DO40" s="790"/>
      <c r="DP40" s="791"/>
      <c r="DQ40" s="33"/>
      <c r="DR40" s="33"/>
      <c r="DS40" s="33"/>
      <c r="DT40" s="33"/>
      <c r="DU40" s="33"/>
      <c r="DV40" s="33"/>
      <c r="DW40" s="33"/>
      <c r="DX40" s="33"/>
      <c r="DY40" s="790"/>
      <c r="DZ40" s="791"/>
      <c r="EA40" s="33"/>
      <c r="EB40" s="33"/>
      <c r="EC40" s="33"/>
      <c r="ED40" s="33"/>
      <c r="EE40" s="33"/>
      <c r="EF40" s="33"/>
      <c r="EG40" s="33"/>
      <c r="EH40" s="33"/>
      <c r="EI40" s="790"/>
      <c r="EJ40" s="791"/>
      <c r="EK40" s="33"/>
      <c r="EL40" s="33"/>
      <c r="EM40" s="33"/>
      <c r="EN40" s="33"/>
      <c r="EO40" s="33"/>
      <c r="EP40" s="33"/>
      <c r="EQ40" s="33"/>
      <c r="ER40" s="33"/>
      <c r="ES40" s="790"/>
      <c r="ET40" s="791"/>
      <c r="EU40" s="33"/>
      <c r="EV40" s="33"/>
      <c r="EW40" s="33"/>
      <c r="EX40" s="33"/>
      <c r="EY40" s="33"/>
      <c r="EZ40" s="33"/>
      <c r="FA40" s="33"/>
      <c r="FB40" s="33"/>
      <c r="FC40" s="790"/>
      <c r="FD40" s="791"/>
      <c r="FE40" s="33"/>
      <c r="FF40" s="33"/>
      <c r="FG40" s="33"/>
      <c r="FH40" s="33"/>
      <c r="FI40" s="33"/>
      <c r="FJ40" s="33"/>
      <c r="FK40" s="33"/>
      <c r="FL40" s="33"/>
      <c r="FM40" s="790"/>
      <c r="FN40" s="791"/>
      <c r="FO40" s="791"/>
      <c r="FP40" s="33"/>
      <c r="FQ40" s="33"/>
      <c r="FR40" s="33"/>
      <c r="FS40" s="33"/>
      <c r="FT40" s="33"/>
      <c r="FU40" s="33"/>
      <c r="FV40" s="791"/>
      <c r="FW40" s="791"/>
      <c r="FX40" s="791"/>
      <c r="FY40" s="791"/>
      <c r="FZ40" s="791"/>
      <c r="GA40" s="791"/>
      <c r="GB40" s="791"/>
      <c r="GC40" s="791"/>
      <c r="GD40" s="791"/>
      <c r="GE40" s="791"/>
      <c r="GF40" s="791"/>
      <c r="GG40" s="791"/>
      <c r="GH40" s="791"/>
      <c r="GI40" s="791"/>
      <c r="GJ40" s="33"/>
      <c r="GK40" s="33"/>
      <c r="GL40" s="33"/>
      <c r="GM40" s="33"/>
      <c r="GN40" s="791"/>
      <c r="GO40" s="791"/>
      <c r="GP40" s="791"/>
      <c r="GQ40" s="791"/>
      <c r="GR40" s="791"/>
      <c r="GS40" s="791"/>
      <c r="GT40" s="791"/>
      <c r="GU40" s="791"/>
      <c r="GV40" s="791"/>
      <c r="GW40" s="791"/>
      <c r="GX40" s="791"/>
      <c r="GY40" s="791"/>
      <c r="GZ40" s="791"/>
      <c r="HA40" s="791"/>
      <c r="HB40" s="791"/>
      <c r="HC40" s="791"/>
      <c r="HD40" s="791"/>
      <c r="HE40" s="791"/>
      <c r="HF40" s="791"/>
      <c r="HG40" s="791"/>
      <c r="HH40" s="791"/>
      <c r="HI40" s="791"/>
      <c r="HJ40" s="791"/>
      <c r="HK40" s="791"/>
      <c r="HL40" s="791"/>
      <c r="HM40" s="791"/>
      <c r="HN40" s="33"/>
      <c r="HO40" s="33"/>
      <c r="HP40" s="33"/>
      <c r="HQ40" s="33"/>
      <c r="HR40" s="33"/>
      <c r="HS40" s="33"/>
      <c r="HT40" s="33"/>
      <c r="HU40" s="33"/>
      <c r="HV40" s="33"/>
      <c r="HW40" s="33"/>
      <c r="HX40" s="33"/>
      <c r="HY40" s="33"/>
      <c r="HZ40" s="33"/>
      <c r="IA40" s="33"/>
      <c r="IB40" s="33"/>
      <c r="IC40" s="33"/>
      <c r="ID40" s="33"/>
      <c r="IE40" s="33"/>
      <c r="IF40" s="791"/>
      <c r="IG40" s="791"/>
      <c r="IH40" s="33"/>
      <c r="II40" s="33"/>
      <c r="IJ40" s="33"/>
      <c r="IK40" s="33"/>
      <c r="IL40" s="33"/>
      <c r="IM40" s="33"/>
      <c r="IN40" s="792"/>
      <c r="IO40" s="792"/>
      <c r="IP40" s="792"/>
      <c r="IQ40" s="788"/>
      <c r="IR40" s="792"/>
      <c r="IS40" s="792"/>
      <c r="IT40" s="792"/>
      <c r="IU40" s="792"/>
      <c r="IV40" s="792"/>
      <c r="IW40" s="792"/>
      <c r="IX40" s="507"/>
      <c r="IY40" s="193"/>
    </row>
    <row r="41" spans="2:259" x14ac:dyDescent="0.25">
      <c r="B41" s="2"/>
      <c r="C41" s="2"/>
      <c r="D41" s="2"/>
      <c r="E41" s="2"/>
      <c r="F41" s="2"/>
      <c r="G41" s="2"/>
      <c r="H41" s="2"/>
      <c r="I41" s="2"/>
      <c r="J41" s="2"/>
      <c r="K41" s="2"/>
      <c r="L41" s="2"/>
      <c r="M41" s="2"/>
      <c r="N41" s="2"/>
      <c r="O41" s="2"/>
      <c r="P41" s="2"/>
      <c r="Q41" s="2"/>
      <c r="R41" s="2"/>
      <c r="S41" s="2"/>
      <c r="T41" s="2"/>
      <c r="U41" s="2"/>
      <c r="V41" s="2"/>
      <c r="W41" s="2"/>
      <c r="X41" s="2"/>
      <c r="AS41" s="193"/>
      <c r="AT41" s="507"/>
      <c r="AU41" s="507"/>
      <c r="AV41" s="507"/>
      <c r="AW41" s="507"/>
      <c r="AX41" s="507"/>
      <c r="AY41" s="507"/>
      <c r="AZ41" s="507"/>
      <c r="BA41" s="507"/>
      <c r="BB41" s="507"/>
      <c r="BC41" s="507"/>
      <c r="BD41" s="507"/>
      <c r="BE41" s="507"/>
      <c r="BF41" s="507"/>
      <c r="BG41" s="507"/>
      <c r="BH41" s="786"/>
      <c r="BI41" s="787"/>
      <c r="BJ41" s="787"/>
      <c r="BK41" s="787"/>
      <c r="BL41" s="787"/>
      <c r="BM41" s="787"/>
      <c r="BN41" s="787"/>
      <c r="BO41" s="787"/>
      <c r="BP41" s="787"/>
      <c r="BQ41" s="787"/>
      <c r="BR41" s="786"/>
      <c r="BS41" s="787"/>
      <c r="BT41" s="787"/>
      <c r="BU41" s="787"/>
      <c r="BV41" s="787"/>
      <c r="BW41" s="787"/>
      <c r="BX41" s="787"/>
      <c r="BY41" s="787"/>
      <c r="BZ41" s="787"/>
      <c r="CA41" s="787"/>
      <c r="CB41" s="786"/>
      <c r="CC41" s="787"/>
      <c r="CD41" s="787"/>
      <c r="CE41" s="787"/>
      <c r="CF41" s="787"/>
      <c r="CG41" s="787"/>
      <c r="CH41" s="787"/>
      <c r="CI41" s="787"/>
      <c r="CJ41" s="787"/>
      <c r="CK41" s="787"/>
      <c r="CL41" s="786"/>
      <c r="CM41" s="787"/>
      <c r="CN41" s="787"/>
      <c r="CO41" s="787"/>
      <c r="CP41" s="787"/>
      <c r="CQ41" s="787"/>
      <c r="CR41" s="787"/>
      <c r="CS41" s="787"/>
      <c r="CT41" s="787"/>
      <c r="CU41" s="787"/>
      <c r="CV41" s="786"/>
      <c r="CW41" s="787"/>
      <c r="CX41" s="787"/>
      <c r="CY41" s="787"/>
      <c r="CZ41" s="787"/>
      <c r="DA41" s="787"/>
      <c r="DB41" s="787"/>
      <c r="DC41" s="787"/>
      <c r="DD41" s="787"/>
      <c r="DE41" s="787"/>
      <c r="DF41" s="786"/>
      <c r="DG41" s="787"/>
      <c r="DH41" s="787"/>
      <c r="DI41" s="787"/>
      <c r="DJ41" s="787"/>
      <c r="DK41" s="787"/>
      <c r="DL41" s="787"/>
      <c r="DM41" s="787"/>
      <c r="DN41" s="787"/>
      <c r="DO41" s="787"/>
      <c r="DP41" s="786"/>
      <c r="DQ41" s="787"/>
      <c r="DR41" s="787"/>
      <c r="DS41" s="787"/>
      <c r="DT41" s="787"/>
      <c r="DU41" s="787"/>
      <c r="DV41" s="787"/>
      <c r="DW41" s="787"/>
      <c r="DX41" s="787"/>
      <c r="DY41" s="787"/>
      <c r="DZ41" s="786"/>
      <c r="EA41" s="787"/>
      <c r="EB41" s="787"/>
      <c r="EC41" s="787"/>
      <c r="ED41" s="787"/>
      <c r="EE41" s="787"/>
      <c r="EF41" s="787"/>
      <c r="EG41" s="787"/>
      <c r="EH41" s="787"/>
      <c r="EI41" s="787"/>
      <c r="EJ41" s="786"/>
      <c r="EK41" s="787"/>
      <c r="EL41" s="787"/>
      <c r="EM41" s="787"/>
      <c r="EN41" s="787"/>
      <c r="EO41" s="787"/>
      <c r="EP41" s="787"/>
      <c r="EQ41" s="787"/>
      <c r="ER41" s="787"/>
      <c r="ES41" s="787"/>
      <c r="ET41" s="786"/>
      <c r="EU41" s="787"/>
      <c r="EV41" s="787"/>
      <c r="EW41" s="787"/>
      <c r="EX41" s="787"/>
      <c r="EY41" s="787"/>
      <c r="EZ41" s="787"/>
      <c r="FA41" s="787"/>
      <c r="FB41" s="787"/>
      <c r="FC41" s="787"/>
      <c r="FD41" s="786"/>
      <c r="FE41" s="787"/>
      <c r="FF41" s="787"/>
      <c r="FG41" s="787"/>
      <c r="FH41" s="787"/>
      <c r="FI41" s="787"/>
      <c r="FJ41" s="787"/>
      <c r="FK41" s="787"/>
      <c r="FL41" s="787"/>
      <c r="FM41" s="787"/>
      <c r="FN41" s="786"/>
      <c r="FO41" s="787"/>
      <c r="FP41" s="787"/>
      <c r="FQ41" s="787"/>
      <c r="FR41" s="787"/>
      <c r="FS41" s="787"/>
      <c r="FT41" s="787"/>
      <c r="FU41" s="787"/>
      <c r="FV41" s="791"/>
      <c r="FW41" s="791"/>
      <c r="FX41" s="791"/>
      <c r="FY41" s="791"/>
      <c r="FZ41" s="791"/>
      <c r="GA41" s="791"/>
      <c r="GB41" s="791"/>
      <c r="GC41" s="791"/>
      <c r="GD41" s="791"/>
      <c r="GE41" s="791"/>
      <c r="GF41" s="791"/>
      <c r="GG41" s="791"/>
      <c r="GH41" s="786"/>
      <c r="GI41" s="787"/>
      <c r="GJ41" s="787"/>
      <c r="GK41" s="787"/>
      <c r="GL41" s="787"/>
      <c r="GM41" s="787"/>
      <c r="GN41" s="791"/>
      <c r="GO41" s="791"/>
      <c r="GP41" s="791"/>
      <c r="GQ41" s="791"/>
      <c r="GR41" s="791"/>
      <c r="GS41" s="791"/>
      <c r="GT41" s="791"/>
      <c r="GU41" s="791"/>
      <c r="GV41" s="791"/>
      <c r="GW41" s="791"/>
      <c r="GX41" s="791"/>
      <c r="GY41" s="791"/>
      <c r="GZ41" s="791"/>
      <c r="HA41" s="791"/>
      <c r="HB41" s="791"/>
      <c r="HC41" s="791"/>
      <c r="HD41" s="791"/>
      <c r="HE41" s="791"/>
      <c r="HF41" s="791"/>
      <c r="HG41" s="791"/>
      <c r="HH41" s="791"/>
      <c r="HI41" s="791"/>
      <c r="HJ41" s="791"/>
      <c r="HK41" s="791"/>
      <c r="HL41" s="786"/>
      <c r="HM41" s="787"/>
      <c r="HN41" s="787"/>
      <c r="HO41" s="787"/>
      <c r="HP41" s="787"/>
      <c r="HQ41" s="787"/>
      <c r="HR41" s="787"/>
      <c r="HS41" s="787"/>
      <c r="HT41" s="33"/>
      <c r="HU41" s="33"/>
      <c r="HV41" s="33"/>
      <c r="HW41" s="33"/>
      <c r="HX41" s="33"/>
      <c r="HY41" s="33"/>
      <c r="HZ41" s="33"/>
      <c r="IA41" s="33"/>
      <c r="IB41" s="33"/>
      <c r="IC41" s="33"/>
      <c r="ID41" s="33"/>
      <c r="IE41" s="33"/>
      <c r="IF41" s="786"/>
      <c r="IG41" s="787"/>
      <c r="IH41" s="787"/>
      <c r="II41" s="787"/>
      <c r="IJ41" s="787"/>
      <c r="IK41" s="787"/>
      <c r="IL41" s="787"/>
      <c r="IM41" s="787"/>
      <c r="IN41" s="507"/>
      <c r="IO41" s="507"/>
      <c r="IP41" s="507"/>
      <c r="IQ41" s="507"/>
      <c r="IR41" s="507"/>
      <c r="IS41" s="507"/>
      <c r="IT41" s="507"/>
      <c r="IU41" s="507"/>
      <c r="IV41" s="507"/>
      <c r="IW41" s="507"/>
      <c r="IX41" s="507"/>
      <c r="IY41" s="193"/>
    </row>
    <row r="42" spans="2:259" ht="15.75" thickBot="1" x14ac:dyDescent="0.3">
      <c r="B42" s="2"/>
      <c r="C42" s="2"/>
      <c r="D42" s="2"/>
      <c r="E42" s="2"/>
      <c r="F42" s="2"/>
      <c r="G42" s="2"/>
      <c r="H42" s="2"/>
      <c r="I42" s="2"/>
      <c r="J42" s="2"/>
      <c r="K42" s="2"/>
      <c r="L42" s="2"/>
      <c r="M42" s="2"/>
      <c r="N42" s="2"/>
      <c r="O42" s="2"/>
      <c r="P42" s="2"/>
      <c r="Q42" s="2"/>
      <c r="R42" s="2"/>
      <c r="S42" s="2"/>
      <c r="T42" s="2"/>
      <c r="U42" s="2"/>
      <c r="V42" s="2"/>
      <c r="W42" s="2"/>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row>
    <row r="43" spans="2:259" ht="24" thickBot="1" x14ac:dyDescent="0.4">
      <c r="B43" s="635" t="s">
        <v>339</v>
      </c>
      <c r="C43" s="460"/>
      <c r="D43" s="460"/>
      <c r="E43" s="460"/>
      <c r="F43" s="461"/>
      <c r="G43" s="193"/>
      <c r="H43" s="193"/>
      <c r="I43" s="193"/>
      <c r="J43" s="193"/>
      <c r="K43" s="193"/>
      <c r="L43" s="193"/>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AW43" s="193"/>
      <c r="AX43" s="193"/>
      <c r="AY43" s="193"/>
      <c r="AZ43" s="193"/>
      <c r="BA43" s="193"/>
      <c r="BB43" s="193"/>
      <c r="BC43" s="193"/>
      <c r="BD43" s="193"/>
      <c r="BE43" s="193"/>
      <c r="BF43" s="787"/>
      <c r="BG43" s="787"/>
      <c r="BH43" s="787"/>
      <c r="BI43" s="787"/>
      <c r="BJ43" s="787"/>
      <c r="BK43" s="787"/>
      <c r="BL43" s="787"/>
      <c r="BM43" s="787"/>
      <c r="BN43" s="786"/>
      <c r="BO43" s="787"/>
      <c r="BP43" s="787"/>
      <c r="BQ43" s="787"/>
      <c r="BR43" s="787"/>
      <c r="BS43" s="787"/>
      <c r="BT43" s="787"/>
      <c r="BU43" s="787"/>
      <c r="BV43" s="787"/>
      <c r="BW43" s="787"/>
      <c r="BX43" s="786"/>
      <c r="BY43" s="787"/>
      <c r="BZ43" s="787"/>
      <c r="CA43" s="787"/>
      <c r="CB43" s="787"/>
      <c r="CC43" s="787"/>
      <c r="CD43" s="787"/>
      <c r="CE43" s="787"/>
      <c r="CF43" s="787"/>
      <c r="CG43" s="787"/>
      <c r="CH43" s="786"/>
      <c r="CI43" s="787"/>
      <c r="CJ43" s="787"/>
      <c r="CK43" s="787"/>
      <c r="CL43" s="787"/>
      <c r="CM43" s="787"/>
      <c r="CN43" s="787"/>
      <c r="CO43" s="787"/>
      <c r="CP43" s="787"/>
      <c r="CQ43" s="787"/>
      <c r="CR43" s="786"/>
      <c r="CS43" s="787"/>
      <c r="CT43" s="787"/>
      <c r="CU43" s="787"/>
      <c r="CV43" s="787"/>
      <c r="CW43" s="787"/>
      <c r="CX43" s="787"/>
      <c r="CY43" s="787"/>
      <c r="CZ43" s="787"/>
      <c r="DA43" s="787"/>
      <c r="DB43" s="786"/>
      <c r="DC43" s="787"/>
      <c r="DD43" s="787"/>
      <c r="DE43" s="787"/>
      <c r="DF43" s="787"/>
      <c r="DG43" s="787"/>
      <c r="DH43" s="787"/>
      <c r="DI43" s="787"/>
      <c r="DJ43" s="787"/>
      <c r="DK43" s="787"/>
      <c r="DL43" s="786"/>
      <c r="DM43" s="787"/>
      <c r="DN43" s="787"/>
      <c r="DO43" s="787"/>
      <c r="DP43" s="787"/>
      <c r="DQ43" s="787"/>
      <c r="DR43" s="787"/>
      <c r="DS43" s="787"/>
      <c r="DT43" s="787"/>
      <c r="DU43" s="787"/>
      <c r="DV43" s="786"/>
      <c r="DW43" s="787"/>
      <c r="DX43" s="787"/>
      <c r="DY43" s="787"/>
      <c r="DZ43" s="787"/>
      <c r="EA43" s="787"/>
      <c r="EB43" s="787"/>
      <c r="EC43" s="787"/>
      <c r="ED43" s="787"/>
      <c r="EE43" s="787"/>
      <c r="EF43" s="786"/>
      <c r="EG43" s="787"/>
      <c r="EH43" s="787"/>
      <c r="EI43" s="787"/>
      <c r="EJ43" s="787"/>
      <c r="EK43" s="787"/>
      <c r="EL43" s="787"/>
      <c r="EM43" s="787"/>
      <c r="EN43" s="787"/>
      <c r="EO43" s="787"/>
      <c r="EP43" s="786"/>
      <c r="EQ43" s="787"/>
      <c r="ER43" s="787"/>
      <c r="ES43" s="787"/>
      <c r="ET43" s="787"/>
      <c r="EU43" s="787"/>
      <c r="EV43" s="787"/>
      <c r="EW43" s="787"/>
      <c r="EX43" s="787"/>
      <c r="EY43" s="787"/>
      <c r="EZ43" s="786"/>
      <c r="FA43" s="787"/>
      <c r="FB43" s="787"/>
      <c r="FC43" s="787"/>
      <c r="FD43" s="787"/>
      <c r="FE43" s="787"/>
      <c r="FF43" s="787"/>
      <c r="FG43" s="787"/>
      <c r="FH43" s="787"/>
      <c r="FI43" s="787"/>
      <c r="FJ43" s="786"/>
      <c r="FK43" s="787"/>
      <c r="FL43" s="787"/>
      <c r="FM43" s="787"/>
      <c r="FN43" s="787"/>
      <c r="FO43" s="787"/>
      <c r="FP43" s="787"/>
      <c r="FQ43" s="787"/>
      <c r="FR43" s="787"/>
      <c r="FS43" s="787"/>
      <c r="FT43" s="786"/>
      <c r="FU43" s="787"/>
      <c r="FV43" s="787"/>
      <c r="FW43" s="787"/>
      <c r="FX43" s="787"/>
      <c r="FY43" s="787"/>
      <c r="FZ43" s="787"/>
      <c r="GA43" s="787"/>
      <c r="GB43" s="787"/>
      <c r="GC43" s="787"/>
      <c r="GD43" s="786"/>
      <c r="GE43" s="787"/>
      <c r="GF43" s="787"/>
      <c r="GG43" s="787"/>
      <c r="GH43" s="787"/>
      <c r="GI43" s="787"/>
      <c r="GJ43" s="787"/>
      <c r="GK43" s="787"/>
      <c r="GL43" s="787"/>
      <c r="GM43" s="787"/>
      <c r="GN43" s="786"/>
      <c r="GO43" s="787"/>
      <c r="GP43" s="787"/>
      <c r="GQ43" s="787"/>
      <c r="GR43" s="787"/>
      <c r="GS43" s="787"/>
      <c r="GT43" s="787"/>
      <c r="GU43" s="787"/>
      <c r="GV43" s="507"/>
      <c r="GW43" s="507"/>
      <c r="GX43" s="507"/>
      <c r="GY43" s="507"/>
      <c r="GZ43" s="507"/>
      <c r="HA43" s="507"/>
      <c r="HB43" s="507"/>
      <c r="HC43" s="507"/>
      <c r="HD43" s="507"/>
      <c r="HE43" s="507"/>
      <c r="HF43" s="507"/>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row>
    <row r="44" spans="2:259" ht="19.5" thickBot="1" x14ac:dyDescent="0.35">
      <c r="B44" s="636" t="s">
        <v>181</v>
      </c>
      <c r="C44" s="637" t="e">
        <f>C3+7.955+2</f>
        <v>#VALUE!</v>
      </c>
      <c r="D44" s="515"/>
      <c r="E44" s="515"/>
      <c r="F44" s="638"/>
      <c r="G44" s="193"/>
      <c r="H44" s="193"/>
      <c r="I44" s="193"/>
      <c r="J44" s="193"/>
      <c r="K44" s="193"/>
      <c r="L44" s="193"/>
      <c r="N44" s="994"/>
      <c r="O44" s="155"/>
      <c r="P44" s="75"/>
      <c r="Q44" s="156"/>
      <c r="R44" s="157">
        <v>12</v>
      </c>
      <c r="S44" s="157">
        <f t="shared" ref="S44:AJ44" si="0">R44+6</f>
        <v>18</v>
      </c>
      <c r="T44" s="157">
        <f t="shared" si="0"/>
        <v>24</v>
      </c>
      <c r="U44" s="157">
        <f t="shared" si="0"/>
        <v>30</v>
      </c>
      <c r="V44" s="157">
        <f t="shared" si="0"/>
        <v>36</v>
      </c>
      <c r="W44" s="157">
        <f t="shared" si="0"/>
        <v>42</v>
      </c>
      <c r="X44" s="158">
        <f t="shared" si="0"/>
        <v>48</v>
      </c>
      <c r="Y44" s="157">
        <f t="shared" si="0"/>
        <v>54</v>
      </c>
      <c r="Z44" s="157">
        <f t="shared" si="0"/>
        <v>60</v>
      </c>
      <c r="AA44" s="157">
        <f t="shared" si="0"/>
        <v>66</v>
      </c>
      <c r="AB44" s="157">
        <f t="shared" si="0"/>
        <v>72</v>
      </c>
      <c r="AC44" s="157">
        <f t="shared" si="0"/>
        <v>78</v>
      </c>
      <c r="AD44" s="158">
        <f t="shared" si="0"/>
        <v>84</v>
      </c>
      <c r="AE44" s="157">
        <f t="shared" si="0"/>
        <v>90</v>
      </c>
      <c r="AF44" s="157">
        <f t="shared" si="0"/>
        <v>96</v>
      </c>
      <c r="AG44" s="157">
        <f t="shared" si="0"/>
        <v>102</v>
      </c>
      <c r="AH44" s="157">
        <f t="shared" si="0"/>
        <v>108</v>
      </c>
      <c r="AI44" s="157">
        <f t="shared" si="0"/>
        <v>114</v>
      </c>
      <c r="AJ44" s="158">
        <f t="shared" si="0"/>
        <v>120</v>
      </c>
      <c r="AK44" s="74"/>
      <c r="AL44" s="74"/>
      <c r="AM44" s="74"/>
      <c r="AN44" s="74"/>
      <c r="AO44" s="74"/>
      <c r="AP44" s="74"/>
      <c r="AQ44" s="75"/>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c r="DT44" s="193"/>
      <c r="DU44" s="193"/>
      <c r="DV44" s="193"/>
      <c r="DW44" s="193"/>
      <c r="DX44" s="193"/>
      <c r="DY44" s="193"/>
      <c r="DZ44" s="193"/>
      <c r="EA44" s="193"/>
      <c r="EB44" s="193"/>
      <c r="EC44" s="193"/>
      <c r="ED44" s="193"/>
      <c r="EE44" s="193"/>
      <c r="EF44" s="193"/>
      <c r="EG44" s="193"/>
      <c r="EH44" s="193"/>
      <c r="EI44" s="193"/>
      <c r="EJ44" s="193"/>
      <c r="EK44" s="193"/>
      <c r="EL44" s="193"/>
      <c r="EM44" s="193"/>
      <c r="EN44" s="193"/>
      <c r="EO44" s="193"/>
      <c r="EP44" s="193"/>
      <c r="EQ44" s="193"/>
      <c r="ER44" s="193"/>
      <c r="ES44" s="193"/>
      <c r="ET44" s="193"/>
      <c r="EU44" s="193"/>
      <c r="EV44" s="193"/>
      <c r="EW44" s="193"/>
      <c r="EX44" s="193"/>
      <c r="EY44" s="193"/>
      <c r="EZ44" s="193"/>
      <c r="FA44" s="193"/>
      <c r="FB44" s="193"/>
      <c r="FC44" s="193"/>
      <c r="FD44" s="193"/>
      <c r="FE44" s="193"/>
      <c r="FF44" s="193"/>
      <c r="FG44" s="193"/>
      <c r="FH44" s="193"/>
      <c r="FI44" s="193"/>
      <c r="FJ44" s="193"/>
      <c r="FK44" s="193"/>
      <c r="FL44" s="193"/>
      <c r="FM44" s="193"/>
      <c r="FN44" s="193"/>
      <c r="FO44" s="193"/>
      <c r="FP44" s="193"/>
      <c r="FQ44" s="193"/>
      <c r="FR44" s="193"/>
      <c r="FS44" s="193"/>
      <c r="FT44" s="193"/>
      <c r="FU44" s="193"/>
      <c r="FV44" s="193"/>
      <c r="FW44" s="193"/>
      <c r="FX44" s="193"/>
      <c r="FY44" s="193"/>
      <c r="FZ44" s="193"/>
      <c r="GA44" s="193"/>
      <c r="GB44" s="193"/>
      <c r="GC44" s="193"/>
      <c r="GD44" s="193"/>
      <c r="GE44" s="193"/>
      <c r="GF44" s="193"/>
      <c r="GG44" s="193"/>
      <c r="GH44" s="193"/>
      <c r="GI44" s="193"/>
      <c r="GJ44" s="193"/>
      <c r="GK44" s="193"/>
      <c r="GL44" s="193"/>
      <c r="GM44" s="193"/>
      <c r="GN44" s="193"/>
      <c r="GO44" s="193"/>
      <c r="GP44" s="193"/>
      <c r="GQ44" s="193"/>
      <c r="GR44" s="193"/>
      <c r="GS44" s="193"/>
      <c r="GT44" s="193"/>
      <c r="GU44" s="193"/>
      <c r="GV44" s="193"/>
      <c r="GW44" s="193"/>
      <c r="GX44" s="193"/>
      <c r="GY44" s="193"/>
      <c r="GZ44" s="193"/>
      <c r="HA44" s="193"/>
      <c r="HB44" s="193"/>
      <c r="HC44" s="193"/>
      <c r="HD44" s="193"/>
      <c r="HE44" s="193"/>
      <c r="HF44" s="193"/>
      <c r="HG44" s="193"/>
      <c r="HH44" s="193"/>
      <c r="HI44" s="193"/>
      <c r="HJ44" s="193"/>
      <c r="HK44" s="193"/>
      <c r="HL44" s="193"/>
      <c r="HM44" s="193"/>
      <c r="HN44" s="193"/>
      <c r="HO44" s="193"/>
      <c r="HP44" s="193"/>
      <c r="HQ44" s="193"/>
      <c r="HR44" s="193"/>
      <c r="HS44" s="193"/>
      <c r="HT44" s="193"/>
      <c r="HU44" s="193"/>
      <c r="HV44" s="193"/>
      <c r="HW44" s="193"/>
      <c r="HX44" s="193"/>
      <c r="HY44" s="193"/>
      <c r="HZ44" s="193"/>
      <c r="IA44" s="193"/>
      <c r="IB44" s="193"/>
      <c r="IC44" s="193"/>
      <c r="ID44" s="193"/>
      <c r="IE44" s="193"/>
      <c r="IF44" s="193"/>
      <c r="IG44" s="193"/>
      <c r="IH44" s="193"/>
      <c r="II44" s="193"/>
      <c r="IJ44" s="193"/>
      <c r="IK44" s="193"/>
      <c r="IL44" s="193"/>
      <c r="IM44" s="193"/>
      <c r="IN44" s="193"/>
      <c r="IO44" s="193"/>
      <c r="IP44" s="193"/>
      <c r="IQ44" s="193"/>
      <c r="IR44" s="193"/>
      <c r="IS44" s="193"/>
      <c r="IT44" s="193"/>
      <c r="IU44" s="193"/>
      <c r="IV44" s="193"/>
    </row>
    <row r="45" spans="2:259" ht="18.75" customHeight="1" thickBot="1" x14ac:dyDescent="0.35">
      <c r="B45" s="639" t="s">
        <v>39</v>
      </c>
      <c r="C45" s="716" t="e">
        <f>VALUE(FIXED(C5,2))</f>
        <v>#VALUE!</v>
      </c>
      <c r="D45" s="40"/>
      <c r="E45" s="471"/>
      <c r="F45" s="641"/>
      <c r="G45" s="193"/>
      <c r="H45" s="193"/>
      <c r="I45" s="193"/>
      <c r="J45" s="193"/>
      <c r="K45" s="193"/>
      <c r="L45" s="193"/>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H45" s="193"/>
      <c r="CI45" s="193"/>
      <c r="CJ45" s="193"/>
      <c r="CK45" s="193"/>
      <c r="CL45" s="193"/>
      <c r="CM45" s="193"/>
      <c r="CN45" s="193"/>
      <c r="CO45" s="193"/>
      <c r="CP45" s="193"/>
      <c r="CQ45" s="193"/>
      <c r="CR45" s="193"/>
      <c r="CS45" s="193"/>
      <c r="CT45" s="193"/>
      <c r="CU45" s="193"/>
      <c r="CV45" s="193"/>
      <c r="CW45" s="193"/>
      <c r="CX45" s="193"/>
      <c r="CY45" s="193"/>
      <c r="CZ45" s="193"/>
      <c r="DA45" s="193"/>
      <c r="DB45" s="193"/>
      <c r="DC45" s="193"/>
      <c r="DD45" s="193"/>
      <c r="DE45" s="193"/>
      <c r="DF45" s="193"/>
      <c r="DG45" s="193"/>
      <c r="DH45" s="193"/>
      <c r="DI45" s="193"/>
      <c r="DJ45" s="193"/>
      <c r="DK45" s="193"/>
      <c r="DL45" s="193"/>
      <c r="DM45" s="193"/>
      <c r="DN45" s="193"/>
      <c r="DO45" s="193"/>
      <c r="DP45" s="193"/>
      <c r="DQ45" s="193"/>
      <c r="DR45" s="193"/>
      <c r="DS45" s="193"/>
      <c r="DT45" s="193"/>
      <c r="DU45" s="193"/>
      <c r="DV45" s="193"/>
      <c r="DW45" s="193"/>
      <c r="DX45" s="193"/>
      <c r="DY45" s="193"/>
      <c r="DZ45" s="193"/>
      <c r="EA45" s="193"/>
      <c r="EB45" s="193"/>
      <c r="EC45" s="193"/>
      <c r="ED45" s="193"/>
      <c r="EE45" s="193"/>
      <c r="EF45" s="193"/>
      <c r="EG45" s="193"/>
      <c r="EH45" s="193"/>
      <c r="EI45" s="193"/>
      <c r="EJ45" s="193"/>
      <c r="EK45" s="193"/>
      <c r="EL45" s="193"/>
      <c r="EM45" s="193"/>
      <c r="EN45" s="193"/>
      <c r="EO45" s="193"/>
      <c r="EP45" s="193"/>
      <c r="EQ45" s="193"/>
      <c r="ER45" s="193"/>
      <c r="ES45" s="193"/>
      <c r="ET45" s="193"/>
      <c r="EU45" s="193"/>
      <c r="EV45" s="193"/>
      <c r="EW45" s="193"/>
      <c r="EX45" s="193"/>
      <c r="EY45" s="193"/>
      <c r="EZ45" s="193"/>
      <c r="FA45" s="193"/>
      <c r="FB45" s="193"/>
      <c r="FC45" s="193"/>
      <c r="FD45" s="193"/>
      <c r="FE45" s="193"/>
      <c r="FF45" s="193"/>
      <c r="FG45" s="193"/>
      <c r="FH45" s="424"/>
      <c r="FI45" s="193"/>
      <c r="FJ45" s="193"/>
      <c r="FK45" s="193"/>
      <c r="FL45" s="193"/>
      <c r="FM45" s="193"/>
      <c r="FN45" s="193"/>
      <c r="FO45" s="193"/>
      <c r="FP45" s="193"/>
      <c r="FQ45" s="193"/>
      <c r="FR45" s="193"/>
      <c r="FS45" s="193"/>
      <c r="FT45" s="193"/>
      <c r="FU45" s="193"/>
      <c r="FV45" s="193"/>
      <c r="FW45" s="193"/>
      <c r="FX45" s="193"/>
      <c r="FY45" s="193"/>
      <c r="FZ45" s="193"/>
      <c r="GA45" s="193"/>
      <c r="GB45" s="193"/>
      <c r="GC45" s="193"/>
      <c r="GD45" s="193"/>
      <c r="GE45" s="193"/>
      <c r="GF45" s="193"/>
      <c r="GG45" s="193"/>
      <c r="GH45" s="193"/>
      <c r="GI45" s="193"/>
      <c r="GJ45" s="193"/>
      <c r="GK45" s="193"/>
      <c r="GL45" s="193"/>
      <c r="GM45" s="193"/>
      <c r="GN45" s="193"/>
      <c r="GO45" s="193"/>
      <c r="GP45" s="193"/>
      <c r="GQ45" s="193"/>
      <c r="GR45" s="193"/>
      <c r="GS45" s="193"/>
      <c r="GT45" s="193"/>
      <c r="GU45" s="193"/>
      <c r="GV45" s="193"/>
      <c r="GW45" s="193"/>
      <c r="GX45" s="193"/>
      <c r="GY45" s="193"/>
      <c r="GZ45" s="193"/>
      <c r="HA45" s="193"/>
      <c r="HB45" s="193"/>
      <c r="HC45" s="193"/>
      <c r="HD45" s="193"/>
      <c r="HE45" s="193"/>
      <c r="HF45" s="193"/>
      <c r="HG45" s="193"/>
      <c r="HH45" s="193"/>
      <c r="HI45" s="193"/>
      <c r="HJ45" s="193"/>
      <c r="HK45" s="193"/>
      <c r="HL45" s="193"/>
      <c r="HM45" s="193"/>
      <c r="HN45" s="193"/>
      <c r="HO45" s="193"/>
      <c r="HP45" s="193"/>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193"/>
      <c r="IN45" s="193"/>
      <c r="IO45" s="193"/>
      <c r="IP45" s="193"/>
      <c r="IQ45" s="193"/>
      <c r="IR45" s="193"/>
      <c r="IS45" s="193"/>
      <c r="IT45" s="193"/>
      <c r="IU45" s="193"/>
      <c r="IV45" s="193"/>
    </row>
    <row r="46" spans="2:259" ht="15.75" customHeight="1" thickBot="1" x14ac:dyDescent="0.4">
      <c r="B46" s="642" t="s">
        <v>63</v>
      </c>
      <c r="C46" s="471"/>
      <c r="D46" s="471"/>
      <c r="E46" s="471"/>
      <c r="F46" s="641"/>
      <c r="G46" s="193"/>
      <c r="H46" s="193"/>
      <c r="I46" s="193"/>
      <c r="J46" s="193"/>
      <c r="K46" s="193"/>
      <c r="L46" s="193"/>
      <c r="N46" s="484"/>
      <c r="O46" s="423">
        <v>15.93</v>
      </c>
      <c r="P46" s="183">
        <v>2</v>
      </c>
      <c r="Q46" s="490"/>
      <c r="R46" s="661">
        <v>3.41</v>
      </c>
      <c r="S46" s="661">
        <v>5.48</v>
      </c>
      <c r="T46" s="661">
        <v>7.55</v>
      </c>
      <c r="U46" s="661">
        <f>T46+2.07</f>
        <v>9.6199999999999992</v>
      </c>
      <c r="V46" s="661">
        <f t="shared" ref="V46:AE46" si="1">U46+2.07</f>
        <v>11.69</v>
      </c>
      <c r="W46" s="661">
        <f t="shared" si="1"/>
        <v>13.76</v>
      </c>
      <c r="X46" s="661">
        <f t="shared" si="1"/>
        <v>15.83</v>
      </c>
      <c r="Y46" s="661">
        <f t="shared" si="1"/>
        <v>17.899999999999999</v>
      </c>
      <c r="Z46" s="661">
        <f t="shared" si="1"/>
        <v>19.97</v>
      </c>
      <c r="AA46" s="661">
        <f t="shared" si="1"/>
        <v>22.04</v>
      </c>
      <c r="AB46" s="661">
        <f t="shared" si="1"/>
        <v>24.11</v>
      </c>
      <c r="AC46" s="661">
        <v>26.2</v>
      </c>
      <c r="AD46" s="661">
        <f t="shared" si="1"/>
        <v>28.27</v>
      </c>
      <c r="AE46" s="661">
        <f t="shared" si="1"/>
        <v>30.34</v>
      </c>
      <c r="AF46" s="661">
        <v>32.42</v>
      </c>
      <c r="AG46" s="670">
        <f>AF46+2.07</f>
        <v>34.49</v>
      </c>
      <c r="AH46" s="670">
        <f>AG46+2.07</f>
        <v>36.56</v>
      </c>
      <c r="AI46" s="670">
        <f>AH46+2.07</f>
        <v>38.630000000000003</v>
      </c>
      <c r="AJ46" s="670">
        <v>40.71</v>
      </c>
      <c r="AK46" s="114"/>
      <c r="AL46" s="114"/>
      <c r="AM46" s="114"/>
      <c r="AN46" s="114"/>
      <c r="AO46" s="114"/>
      <c r="AP46" s="114"/>
      <c r="AQ46" s="120"/>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431"/>
      <c r="IT46" s="193"/>
      <c r="IU46" s="193"/>
      <c r="IV46" s="193"/>
    </row>
    <row r="47" spans="2:259" ht="15" customHeight="1" thickBot="1" x14ac:dyDescent="0.3">
      <c r="B47" s="643"/>
      <c r="C47" s="40"/>
      <c r="D47" s="471"/>
      <c r="E47" s="471"/>
      <c r="F47" s="654"/>
      <c r="G47" s="193"/>
      <c r="H47" s="193"/>
      <c r="I47" s="193"/>
      <c r="J47" s="193"/>
      <c r="K47" s="193"/>
      <c r="L47" s="193"/>
      <c r="N47" s="136"/>
      <c r="O47" s="423">
        <v>20.43</v>
      </c>
      <c r="P47" s="184">
        <v>3</v>
      </c>
      <c r="Q47" s="631"/>
      <c r="R47" s="78">
        <v>4.3600000000000003</v>
      </c>
      <c r="S47" s="78">
        <v>6.91</v>
      </c>
      <c r="T47" s="78">
        <v>9.4600000000000009</v>
      </c>
      <c r="U47" s="78">
        <f>T47+2.55</f>
        <v>12.010000000000002</v>
      </c>
      <c r="V47" s="78">
        <f t="shared" ref="V47:AI47" si="2">U47+2.55</f>
        <v>14.560000000000002</v>
      </c>
      <c r="W47" s="78">
        <f t="shared" si="2"/>
        <v>17.110000000000003</v>
      </c>
      <c r="X47" s="78">
        <f t="shared" si="2"/>
        <v>19.660000000000004</v>
      </c>
      <c r="Y47" s="78">
        <f t="shared" si="2"/>
        <v>22.210000000000004</v>
      </c>
      <c r="Z47" s="78">
        <f t="shared" si="2"/>
        <v>24.760000000000005</v>
      </c>
      <c r="AA47" s="78">
        <f t="shared" si="2"/>
        <v>27.310000000000006</v>
      </c>
      <c r="AB47" s="78">
        <f t="shared" si="2"/>
        <v>29.860000000000007</v>
      </c>
      <c r="AC47" s="78">
        <v>32.4</v>
      </c>
      <c r="AD47" s="78">
        <f t="shared" si="2"/>
        <v>34.949999999999996</v>
      </c>
      <c r="AE47" s="78">
        <f t="shared" si="2"/>
        <v>37.499999999999993</v>
      </c>
      <c r="AF47" s="78">
        <v>40.04</v>
      </c>
      <c r="AG47" s="78">
        <f>AF47+2.55</f>
        <v>42.589999999999996</v>
      </c>
      <c r="AH47" s="78">
        <f t="shared" si="2"/>
        <v>45.139999999999993</v>
      </c>
      <c r="AI47" s="78">
        <f t="shared" si="2"/>
        <v>47.689999999999991</v>
      </c>
      <c r="AJ47" s="78">
        <v>50.24</v>
      </c>
      <c r="AK47" s="45"/>
      <c r="AL47" s="117"/>
      <c r="AM47" s="117" t="e">
        <f>D50</f>
        <v>#VALUE!</v>
      </c>
      <c r="AN47" s="118" t="e">
        <f>C44</f>
        <v>#VALUE!</v>
      </c>
      <c r="AO47" s="117" t="e">
        <f>E50</f>
        <v>#VALUE!</v>
      </c>
      <c r="AP47" s="45"/>
      <c r="AQ47" s="46"/>
      <c r="AW47" s="193"/>
      <c r="AX47" s="193"/>
      <c r="AY47" s="193"/>
      <c r="AZ47" s="193"/>
      <c r="BA47" s="193"/>
      <c r="BB47" s="193"/>
      <c r="BC47" s="193"/>
      <c r="BD47" s="193"/>
      <c r="BE47" s="193"/>
      <c r="BF47" s="193"/>
      <c r="BG47" s="193"/>
      <c r="BH47" s="193"/>
      <c r="BI47" s="193"/>
      <c r="BJ47" s="193"/>
      <c r="BK47" s="193"/>
      <c r="BL47" s="193"/>
      <c r="BM47" s="193"/>
      <c r="BN47" s="193"/>
      <c r="BO47" s="193"/>
      <c r="BP47" s="193"/>
      <c r="BQ47" s="193"/>
      <c r="BR47" s="193"/>
      <c r="BS47" s="193"/>
      <c r="BT47" s="193"/>
      <c r="BU47" s="193"/>
      <c r="BV47" s="193"/>
      <c r="BW47" s="193"/>
      <c r="BX47" s="193"/>
      <c r="BY47" s="193"/>
      <c r="BZ47" s="193"/>
      <c r="CA47" s="193"/>
      <c r="CB47" s="193"/>
      <c r="CC47" s="193"/>
      <c r="CD47" s="193"/>
      <c r="CE47" s="193"/>
      <c r="CF47" s="193"/>
      <c r="CG47" s="193"/>
      <c r="CH47" s="193"/>
      <c r="CI47" s="193"/>
      <c r="CJ47" s="193"/>
      <c r="CK47" s="193"/>
      <c r="CL47" s="804"/>
      <c r="CM47" s="804"/>
      <c r="CN47" s="804"/>
      <c r="CO47" s="804"/>
      <c r="CP47" s="804"/>
      <c r="CQ47" s="804"/>
      <c r="CR47" s="804"/>
      <c r="CS47" s="804"/>
      <c r="CT47" s="193"/>
      <c r="CU47" s="193"/>
      <c r="CV47" s="193"/>
      <c r="CW47" s="193"/>
      <c r="CX47" s="193"/>
      <c r="CY47" s="193"/>
      <c r="CZ47" s="193"/>
      <c r="DA47" s="193"/>
      <c r="DB47" s="193"/>
      <c r="DC47" s="193"/>
      <c r="DD47" s="193"/>
      <c r="DE47" s="193"/>
      <c r="DF47" s="193"/>
      <c r="DG47" s="193"/>
      <c r="DH47" s="193"/>
      <c r="DI47" s="193"/>
      <c r="DJ47" s="193"/>
      <c r="DK47" s="193"/>
      <c r="DL47" s="193"/>
      <c r="DM47" s="193"/>
      <c r="DN47" s="193"/>
      <c r="DO47" s="193"/>
      <c r="DP47" s="193"/>
      <c r="DQ47" s="193"/>
      <c r="DR47" s="193"/>
      <c r="DS47" s="193"/>
      <c r="DT47" s="193"/>
      <c r="DU47" s="193"/>
      <c r="DV47" s="193"/>
      <c r="DW47" s="193"/>
      <c r="DX47" s="193"/>
      <c r="DY47" s="193"/>
      <c r="DZ47" s="193"/>
      <c r="EA47" s="193"/>
      <c r="EB47" s="193"/>
      <c r="EC47" s="193"/>
      <c r="ED47" s="193"/>
      <c r="EE47" s="193"/>
      <c r="EF47" s="193"/>
      <c r="EG47" s="193"/>
      <c r="EH47" s="193"/>
      <c r="EI47" s="193"/>
      <c r="EJ47" s="193"/>
      <c r="EK47" s="193"/>
      <c r="EL47" s="193"/>
      <c r="EM47" s="193"/>
      <c r="EN47" s="193"/>
      <c r="EO47" s="193"/>
      <c r="EP47" s="193"/>
      <c r="EQ47" s="193"/>
      <c r="ER47" s="193"/>
      <c r="ES47" s="193"/>
      <c r="ET47" s="193"/>
      <c r="EU47" s="193"/>
      <c r="EV47" s="193"/>
      <c r="EW47" s="193"/>
      <c r="EX47" s="193"/>
      <c r="EY47" s="193"/>
      <c r="EZ47" s="193"/>
      <c r="FA47" s="193"/>
      <c r="FB47" s="193"/>
      <c r="FC47" s="193"/>
      <c r="FD47" s="193"/>
      <c r="FE47" s="193"/>
      <c r="FF47" s="193"/>
      <c r="FG47" s="193"/>
      <c r="FH47" s="193"/>
      <c r="FI47" s="193"/>
      <c r="FJ47" s="193"/>
      <c r="FK47" s="193"/>
      <c r="FL47" s="193"/>
      <c r="FM47" s="193"/>
      <c r="FN47" s="193"/>
      <c r="FO47" s="193"/>
      <c r="FP47" s="193"/>
      <c r="FQ47" s="193"/>
      <c r="FR47" s="193"/>
      <c r="FS47" s="193"/>
      <c r="FT47" s="193"/>
      <c r="FU47" s="193"/>
      <c r="FV47" s="193"/>
      <c r="FW47" s="193"/>
      <c r="FX47" s="193"/>
      <c r="FY47" s="193"/>
      <c r="FZ47" s="193"/>
      <c r="GA47" s="193"/>
      <c r="GB47" s="193"/>
      <c r="GC47" s="193"/>
      <c r="GD47" s="193"/>
      <c r="GE47" s="193"/>
      <c r="GF47" s="193"/>
      <c r="GG47" s="193"/>
      <c r="GH47" s="193"/>
      <c r="GI47" s="193"/>
      <c r="GJ47" s="193"/>
      <c r="GK47" s="193"/>
      <c r="GL47" s="193"/>
      <c r="GM47" s="193"/>
      <c r="GN47" s="193"/>
      <c r="GO47" s="193"/>
      <c r="GP47" s="193"/>
      <c r="GQ47" s="193"/>
      <c r="GR47" s="193"/>
      <c r="GS47" s="193"/>
      <c r="GT47" s="193"/>
      <c r="GU47" s="193"/>
      <c r="GV47" s="193"/>
      <c r="GW47" s="193"/>
      <c r="GX47" s="193"/>
      <c r="GY47" s="193"/>
      <c r="GZ47" s="193"/>
      <c r="HA47" s="193"/>
      <c r="HB47" s="193"/>
      <c r="HC47" s="193"/>
      <c r="HD47" s="193"/>
      <c r="HE47" s="193"/>
      <c r="HF47" s="193"/>
      <c r="HG47" s="193"/>
      <c r="HH47" s="193"/>
      <c r="HI47" s="193"/>
      <c r="HJ47" s="193"/>
      <c r="HK47" s="193"/>
      <c r="HL47" s="193"/>
      <c r="HM47" s="193"/>
      <c r="HN47" s="193"/>
      <c r="HO47" s="193"/>
      <c r="HP47" s="193"/>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193"/>
      <c r="IN47" s="193"/>
      <c r="IO47" s="193"/>
      <c r="IP47" s="193"/>
      <c r="IQ47" s="193"/>
      <c r="IR47" s="193"/>
      <c r="IS47" s="193"/>
      <c r="IT47" s="193"/>
      <c r="IU47" s="193"/>
      <c r="IV47" s="193"/>
    </row>
    <row r="48" spans="2:259" ht="15" customHeight="1" thickBot="1" x14ac:dyDescent="0.3">
      <c r="B48" s="643"/>
      <c r="C48" s="644"/>
      <c r="D48" s="645" t="s">
        <v>215</v>
      </c>
      <c r="E48" s="662"/>
      <c r="F48" s="668"/>
      <c r="G48" s="436"/>
      <c r="H48" s="436"/>
      <c r="I48" s="436"/>
      <c r="J48" s="193"/>
      <c r="K48" s="193"/>
      <c r="L48" s="193"/>
      <c r="N48" s="79"/>
      <c r="O48" s="423">
        <v>24.93</v>
      </c>
      <c r="P48" s="184">
        <v>4</v>
      </c>
      <c r="Q48" s="631"/>
      <c r="R48" s="78">
        <v>5.31</v>
      </c>
      <c r="S48" s="78">
        <v>8.34</v>
      </c>
      <c r="T48" s="78">
        <v>11.36</v>
      </c>
      <c r="U48" s="78">
        <f>T48+3.03</f>
        <v>14.389999999999999</v>
      </c>
      <c r="V48" s="78">
        <f t="shared" ref="V48:AI48" si="3">U48+3.03</f>
        <v>17.419999999999998</v>
      </c>
      <c r="W48" s="78">
        <f t="shared" si="3"/>
        <v>20.45</v>
      </c>
      <c r="X48" s="78">
        <v>23.46</v>
      </c>
      <c r="Y48" s="78">
        <f t="shared" si="3"/>
        <v>26.490000000000002</v>
      </c>
      <c r="Z48" s="78">
        <f t="shared" si="3"/>
        <v>29.520000000000003</v>
      </c>
      <c r="AA48" s="78">
        <f t="shared" si="3"/>
        <v>32.550000000000004</v>
      </c>
      <c r="AB48" s="78">
        <f t="shared" si="3"/>
        <v>35.580000000000005</v>
      </c>
      <c r="AC48" s="78">
        <f t="shared" si="3"/>
        <v>38.610000000000007</v>
      </c>
      <c r="AD48" s="78">
        <f t="shared" si="3"/>
        <v>41.640000000000008</v>
      </c>
      <c r="AE48" s="78">
        <f t="shared" si="3"/>
        <v>44.670000000000009</v>
      </c>
      <c r="AF48" s="78">
        <v>47.67</v>
      </c>
      <c r="AG48" s="78">
        <f t="shared" si="3"/>
        <v>50.7</v>
      </c>
      <c r="AH48" s="78">
        <f t="shared" si="3"/>
        <v>53.730000000000004</v>
      </c>
      <c r="AI48" s="78">
        <f t="shared" si="3"/>
        <v>56.760000000000005</v>
      </c>
      <c r="AJ48" s="78">
        <v>59.77</v>
      </c>
      <c r="AK48" s="76"/>
      <c r="AL48" s="118" t="e">
        <f>C45</f>
        <v>#VALUE!</v>
      </c>
      <c r="AM48" s="118" t="e">
        <f>INDEX(P46:AJ65,MATCH(AL48,O46:O61,0),D51)</f>
        <v>#VALUE!</v>
      </c>
      <c r="AN48" s="118" t="e">
        <f>(((AN47-AM47)/(AO47-AM47))*(AO48-AM48))+AM48</f>
        <v>#VALUE!</v>
      </c>
      <c r="AO48" s="118" t="e">
        <f>INDEX(P46:AJ65,MATCH(AL48,O46:O61,0),E51)</f>
        <v>#VALUE!</v>
      </c>
      <c r="AP48" s="45"/>
      <c r="AQ48" s="46"/>
      <c r="AW48" s="193"/>
      <c r="AX48" s="193"/>
      <c r="AY48" s="193"/>
      <c r="AZ48" s="193"/>
      <c r="BA48" s="193"/>
      <c r="BB48" s="193"/>
      <c r="BC48" s="193"/>
      <c r="BD48" s="193"/>
      <c r="BE48" s="193"/>
      <c r="BF48" s="193"/>
      <c r="BG48" s="193"/>
      <c r="BH48" s="193"/>
      <c r="BI48" s="193"/>
      <c r="BJ48" s="193"/>
      <c r="BK48" s="193"/>
      <c r="BL48" s="193"/>
      <c r="BM48" s="193"/>
      <c r="BN48" s="193"/>
      <c r="BO48" s="193"/>
      <c r="BP48" s="193"/>
      <c r="BQ48" s="193"/>
      <c r="BR48" s="193"/>
      <c r="BS48" s="193"/>
      <c r="BT48" s="193"/>
      <c r="BU48" s="193"/>
      <c r="BV48" s="193"/>
      <c r="BW48" s="193"/>
      <c r="BX48" s="193"/>
      <c r="BY48" s="193"/>
      <c r="BZ48" s="193"/>
      <c r="CA48" s="193"/>
      <c r="CB48" s="193"/>
      <c r="CC48" s="193"/>
      <c r="CD48" s="193"/>
      <c r="CE48" s="193"/>
      <c r="CF48" s="193"/>
      <c r="CG48" s="193"/>
      <c r="CH48" s="193"/>
      <c r="CI48" s="193"/>
      <c r="CJ48" s="193"/>
      <c r="CK48" s="193"/>
      <c r="CL48" s="193"/>
      <c r="CM48" s="193"/>
      <c r="CN48" s="193"/>
      <c r="CO48" s="193"/>
      <c r="CP48" s="193"/>
      <c r="CQ48" s="193"/>
      <c r="CR48" s="193"/>
      <c r="CS48" s="193"/>
      <c r="CT48" s="193"/>
      <c r="CU48" s="193"/>
      <c r="CV48" s="193"/>
      <c r="CW48" s="193"/>
      <c r="CX48" s="193"/>
      <c r="CY48" s="193"/>
      <c r="CZ48" s="193"/>
      <c r="DA48" s="193"/>
      <c r="DB48" s="193"/>
      <c r="DC48" s="193"/>
      <c r="DD48" s="193"/>
      <c r="DE48" s="193"/>
      <c r="DF48" s="193"/>
      <c r="DG48" s="193"/>
      <c r="DH48" s="193"/>
      <c r="DI48" s="193"/>
      <c r="DJ48" s="193"/>
      <c r="DK48" s="193"/>
      <c r="DL48" s="193"/>
      <c r="DM48" s="193"/>
      <c r="DN48" s="193"/>
      <c r="DO48" s="193"/>
      <c r="DP48" s="193"/>
      <c r="DQ48" s="193"/>
      <c r="DR48" s="193"/>
      <c r="DS48" s="193"/>
      <c r="DT48" s="193"/>
      <c r="DU48" s="193"/>
      <c r="DV48" s="193"/>
      <c r="DW48" s="193"/>
      <c r="DX48" s="193"/>
      <c r="DY48" s="193"/>
      <c r="DZ48" s="193"/>
      <c r="EA48" s="193"/>
      <c r="EB48" s="193"/>
      <c r="EC48" s="193"/>
      <c r="ED48" s="193"/>
      <c r="EE48" s="193"/>
      <c r="EF48" s="193"/>
      <c r="EG48" s="193"/>
      <c r="EH48" s="193"/>
      <c r="EI48" s="193"/>
      <c r="EJ48" s="193"/>
      <c r="EK48" s="193"/>
      <c r="EL48" s="193"/>
      <c r="EM48" s="193"/>
      <c r="EN48" s="193"/>
      <c r="EO48" s="193"/>
      <c r="EP48" s="193"/>
      <c r="EQ48" s="193"/>
      <c r="ER48" s="193"/>
      <c r="ES48" s="193"/>
      <c r="ET48" s="193"/>
      <c r="EU48" s="193"/>
      <c r="EV48" s="193"/>
      <c r="EW48" s="193"/>
      <c r="EX48" s="193"/>
      <c r="EY48" s="193"/>
      <c r="EZ48" s="193"/>
      <c r="FA48" s="193"/>
      <c r="FB48" s="193"/>
      <c r="FC48" s="193"/>
      <c r="FD48" s="193"/>
      <c r="FE48" s="193"/>
      <c r="FF48" s="193"/>
      <c r="FG48" s="193"/>
      <c r="FH48" s="193"/>
      <c r="FI48" s="193"/>
      <c r="FJ48" s="193"/>
      <c r="FK48" s="193"/>
      <c r="FL48" s="193"/>
      <c r="FM48" s="193"/>
      <c r="FN48" s="193"/>
      <c r="FO48" s="193"/>
      <c r="FP48" s="193"/>
      <c r="FQ48" s="193"/>
      <c r="FR48" s="193"/>
      <c r="FS48" s="193"/>
      <c r="FT48" s="193"/>
      <c r="FU48" s="193"/>
      <c r="FV48" s="193"/>
      <c r="FW48" s="193"/>
      <c r="FX48" s="193"/>
      <c r="FY48" s="193"/>
      <c r="FZ48" s="193"/>
      <c r="GA48" s="193"/>
      <c r="GB48" s="193"/>
      <c r="GC48" s="193"/>
      <c r="GD48" s="193"/>
      <c r="GE48" s="193"/>
      <c r="GF48" s="193"/>
      <c r="GG48" s="193"/>
      <c r="GH48" s="193"/>
      <c r="GI48" s="193"/>
      <c r="GJ48" s="193"/>
      <c r="GK48" s="193"/>
      <c r="GL48" s="193"/>
      <c r="GM48" s="193"/>
      <c r="GN48" s="193"/>
      <c r="GO48" s="193"/>
      <c r="GP48" s="193"/>
      <c r="GQ48" s="193"/>
      <c r="GR48" s="193"/>
      <c r="GS48" s="193"/>
      <c r="GT48" s="193"/>
      <c r="GU48" s="193"/>
      <c r="GV48" s="193"/>
      <c r="GW48" s="193"/>
      <c r="GX48" s="193"/>
      <c r="GY48" s="193"/>
      <c r="GZ48" s="193"/>
      <c r="HA48" s="193"/>
      <c r="HB48" s="193"/>
      <c r="HC48" s="193"/>
      <c r="HD48" s="193"/>
      <c r="HE48" s="193"/>
      <c r="HF48" s="193"/>
      <c r="HG48" s="193"/>
      <c r="HH48" s="193"/>
      <c r="HI48" s="193"/>
      <c r="HJ48" s="193"/>
      <c r="HK48" s="193"/>
      <c r="HL48" s="193"/>
      <c r="HM48" s="193"/>
      <c r="HN48" s="193"/>
      <c r="HO48" s="193"/>
      <c r="HP48" s="193"/>
      <c r="HQ48" s="193"/>
      <c r="HR48" s="193"/>
      <c r="HS48" s="193"/>
      <c r="HT48" s="193"/>
      <c r="HU48" s="193"/>
      <c r="HV48" s="193"/>
      <c r="HW48" s="193"/>
      <c r="HX48" s="193"/>
      <c r="HY48" s="193"/>
      <c r="HZ48" s="193"/>
      <c r="IA48" s="193"/>
      <c r="IB48" s="193"/>
      <c r="IC48" s="193"/>
      <c r="ID48" s="193"/>
      <c r="IE48" s="193"/>
      <c r="IF48" s="193"/>
      <c r="IG48" s="193"/>
      <c r="IH48" s="193"/>
      <c r="II48" s="193"/>
      <c r="IJ48" s="193"/>
      <c r="IK48" s="193"/>
      <c r="IL48" s="193"/>
      <c r="IM48" s="193"/>
      <c r="IN48" s="193"/>
      <c r="IO48" s="193"/>
      <c r="IP48" s="193"/>
      <c r="IQ48" s="193"/>
      <c r="IR48" s="193"/>
      <c r="IS48" s="193"/>
      <c r="IT48" s="193"/>
      <c r="IU48" s="193"/>
      <c r="IV48" s="193"/>
    </row>
    <row r="49" spans="1:256" ht="16.5" thickBot="1" x14ac:dyDescent="0.3">
      <c r="B49" s="643"/>
      <c r="C49" s="646"/>
      <c r="D49" s="647" t="s">
        <v>64</v>
      </c>
      <c r="E49" s="663" t="s">
        <v>65</v>
      </c>
      <c r="F49" s="668"/>
      <c r="G49" s="436"/>
      <c r="H49" s="436"/>
      <c r="I49" s="436"/>
      <c r="J49" s="193"/>
      <c r="K49" s="193"/>
      <c r="L49" s="193"/>
      <c r="N49" s="79"/>
      <c r="O49" s="423">
        <v>29.43</v>
      </c>
      <c r="P49" s="184">
        <v>5</v>
      </c>
      <c r="Q49" s="631"/>
      <c r="R49" s="78">
        <v>6.27</v>
      </c>
      <c r="S49" s="78">
        <v>9.77</v>
      </c>
      <c r="T49" s="78">
        <v>13.27</v>
      </c>
      <c r="U49" s="78">
        <v>16.77</v>
      </c>
      <c r="V49" s="78">
        <v>20.27</v>
      </c>
      <c r="W49" s="78">
        <v>23.78</v>
      </c>
      <c r="X49" s="78">
        <v>27.28</v>
      </c>
      <c r="Y49" s="78">
        <v>30.78</v>
      </c>
      <c r="Z49" s="78">
        <v>34.28</v>
      </c>
      <c r="AA49" s="78">
        <v>37.78</v>
      </c>
      <c r="AB49" s="671">
        <f>AA49+3.5</f>
        <v>41.28</v>
      </c>
      <c r="AC49" s="671">
        <v>44.79</v>
      </c>
      <c r="AD49" s="671">
        <f t="shared" ref="AD49:AJ49" si="4">AC49+3.5</f>
        <v>48.29</v>
      </c>
      <c r="AE49" s="671">
        <f t="shared" si="4"/>
        <v>51.79</v>
      </c>
      <c r="AF49" s="671">
        <f t="shared" si="4"/>
        <v>55.29</v>
      </c>
      <c r="AG49" s="671">
        <f t="shared" si="4"/>
        <v>58.79</v>
      </c>
      <c r="AH49" s="671">
        <f t="shared" si="4"/>
        <v>62.29</v>
      </c>
      <c r="AI49" s="671">
        <f t="shared" si="4"/>
        <v>65.789999999999992</v>
      </c>
      <c r="AJ49" s="671">
        <f t="shared" si="4"/>
        <v>69.289999999999992</v>
      </c>
      <c r="AK49" s="45"/>
      <c r="AL49" s="413"/>
      <c r="AM49" s="118"/>
      <c r="AN49" s="119"/>
      <c r="AO49" s="118"/>
      <c r="AP49" s="45"/>
      <c r="AQ49" s="46"/>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c r="CA49" s="193"/>
      <c r="CB49" s="193"/>
      <c r="CC49" s="193"/>
      <c r="CD49" s="193"/>
      <c r="CE49" s="193"/>
      <c r="CF49" s="193"/>
      <c r="CG49" s="193"/>
      <c r="CH49" s="193"/>
      <c r="CI49" s="193"/>
      <c r="CJ49" s="193"/>
      <c r="CK49" s="193"/>
      <c r="CL49" s="193"/>
      <c r="CM49" s="193"/>
      <c r="CN49" s="193"/>
      <c r="CO49" s="193"/>
      <c r="CP49" s="193"/>
      <c r="CQ49" s="193"/>
      <c r="CR49" s="193"/>
      <c r="CS49" s="193"/>
      <c r="CT49" s="193"/>
      <c r="CU49" s="193"/>
      <c r="CV49" s="193"/>
      <c r="CW49" s="193"/>
      <c r="CX49" s="193"/>
      <c r="CY49" s="193"/>
      <c r="CZ49" s="193"/>
      <c r="DA49" s="193"/>
      <c r="DB49" s="193"/>
      <c r="DC49" s="193"/>
      <c r="DD49" s="193"/>
      <c r="DE49" s="193"/>
      <c r="DF49" s="193"/>
      <c r="DG49" s="193"/>
      <c r="DH49" s="193"/>
      <c r="DI49" s="193"/>
      <c r="DJ49" s="193"/>
      <c r="DK49" s="193"/>
      <c r="DL49" s="193"/>
      <c r="DM49" s="193"/>
      <c r="DN49" s="193"/>
      <c r="DO49" s="193"/>
      <c r="DP49" s="193"/>
      <c r="DQ49" s="193"/>
      <c r="DR49" s="193"/>
      <c r="DS49" s="193"/>
      <c r="DT49" s="193"/>
      <c r="DU49" s="193"/>
      <c r="DV49" s="193"/>
      <c r="DW49" s="193"/>
      <c r="DX49" s="193"/>
      <c r="DY49" s="193"/>
      <c r="DZ49" s="193"/>
      <c r="EA49" s="193"/>
      <c r="EB49" s="193"/>
      <c r="EC49" s="193"/>
      <c r="ED49" s="193"/>
      <c r="EE49" s="193"/>
      <c r="EF49" s="193"/>
      <c r="EG49" s="193"/>
      <c r="EH49" s="193"/>
      <c r="EI49" s="193"/>
      <c r="EJ49" s="193"/>
      <c r="EK49" s="193"/>
      <c r="EL49" s="193"/>
      <c r="EM49" s="193"/>
      <c r="EN49" s="193"/>
      <c r="EO49" s="193"/>
      <c r="EP49" s="193"/>
      <c r="EQ49" s="193"/>
      <c r="ER49" s="193"/>
      <c r="ES49" s="193"/>
      <c r="ET49" s="193"/>
      <c r="EU49" s="193"/>
      <c r="EV49" s="193"/>
      <c r="EW49" s="193"/>
      <c r="EX49" s="193"/>
      <c r="EY49" s="193"/>
      <c r="EZ49" s="193"/>
      <c r="FA49" s="193"/>
      <c r="FB49" s="193"/>
      <c r="FC49" s="193"/>
      <c r="FD49" s="193"/>
      <c r="FE49" s="193"/>
      <c r="FF49" s="193"/>
      <c r="FG49" s="193"/>
      <c r="FH49" s="193"/>
      <c r="FI49" s="193"/>
      <c r="FJ49" s="193"/>
      <c r="FK49" s="193"/>
      <c r="FL49" s="193"/>
      <c r="FM49" s="193"/>
      <c r="FN49" s="193"/>
      <c r="FO49" s="193"/>
      <c r="FP49" s="193"/>
      <c r="FQ49" s="193"/>
      <c r="FR49" s="193"/>
      <c r="FS49" s="193"/>
      <c r="FT49" s="193"/>
      <c r="FU49" s="193"/>
      <c r="FV49" s="193"/>
      <c r="FW49" s="193"/>
      <c r="FX49" s="193"/>
      <c r="FY49" s="193"/>
      <c r="FZ49" s="193"/>
      <c r="GA49" s="193"/>
      <c r="GB49" s="193"/>
      <c r="GC49" s="193"/>
      <c r="GD49" s="193"/>
      <c r="GE49" s="193"/>
      <c r="GF49" s="193"/>
      <c r="GG49" s="193"/>
      <c r="GH49" s="193"/>
      <c r="GI49" s="193"/>
      <c r="GJ49" s="193"/>
      <c r="GK49" s="193"/>
      <c r="GL49" s="193"/>
      <c r="GM49" s="193"/>
      <c r="GN49" s="193"/>
      <c r="GO49" s="193"/>
      <c r="GP49" s="193"/>
      <c r="GQ49" s="193"/>
      <c r="GR49" s="193"/>
      <c r="GS49" s="193"/>
      <c r="GT49" s="193"/>
      <c r="GU49" s="193"/>
      <c r="GV49" s="193"/>
      <c r="GW49" s="193"/>
      <c r="GX49" s="193"/>
      <c r="GY49" s="193"/>
      <c r="GZ49" s="193"/>
      <c r="HA49" s="193"/>
      <c r="HB49" s="193"/>
      <c r="HC49" s="193"/>
      <c r="HD49" s="193"/>
      <c r="HE49" s="193"/>
      <c r="HF49" s="193"/>
      <c r="HG49" s="193"/>
      <c r="HH49" s="193"/>
      <c r="HI49" s="193"/>
      <c r="HJ49" s="193"/>
      <c r="HK49" s="193"/>
      <c r="HL49" s="193"/>
      <c r="HM49" s="193"/>
      <c r="HN49" s="193"/>
      <c r="HO49" s="193"/>
      <c r="HP49" s="193"/>
      <c r="HQ49" s="193"/>
      <c r="HR49" s="193"/>
      <c r="HS49" s="193"/>
      <c r="HT49" s="193"/>
      <c r="HU49" s="193"/>
      <c r="HV49" s="193"/>
      <c r="HW49" s="193"/>
      <c r="HX49" s="193"/>
      <c r="HY49" s="193"/>
      <c r="HZ49" s="193"/>
      <c r="IA49" s="193"/>
      <c r="IB49" s="193"/>
      <c r="IC49" s="193"/>
      <c r="ID49" s="193"/>
      <c r="IE49" s="193"/>
      <c r="IF49" s="193"/>
      <c r="IG49" s="193"/>
      <c r="IH49" s="193"/>
      <c r="II49" s="193"/>
      <c r="IJ49" s="193"/>
      <c r="IK49" s="193"/>
      <c r="IL49" s="193"/>
      <c r="IM49" s="193"/>
      <c r="IN49" s="193"/>
      <c r="IO49" s="193"/>
      <c r="IP49" s="193"/>
      <c r="IQ49" s="193"/>
      <c r="IR49" s="193"/>
      <c r="IS49" s="193"/>
      <c r="IT49" s="193"/>
      <c r="IU49" s="193"/>
      <c r="IV49" s="193"/>
    </row>
    <row r="50" spans="1:256" ht="16.5" thickBot="1" x14ac:dyDescent="0.3">
      <c r="B50" s="643"/>
      <c r="C50" s="648"/>
      <c r="D50" s="649" t="e">
        <f>IF(AND(C44&lt;18,C44&gt;=H3),12,FLOOR(C44/6,1)*6)</f>
        <v>#VALUE!</v>
      </c>
      <c r="E50" s="664" t="e">
        <f>IF(D50&lt;12,12,D50+6)</f>
        <v>#VALUE!</v>
      </c>
      <c r="F50" s="668"/>
      <c r="G50" s="436"/>
      <c r="H50" s="436"/>
      <c r="I50" s="436"/>
      <c r="J50" s="193"/>
      <c r="K50" s="193"/>
      <c r="L50" s="193"/>
      <c r="N50" s="79"/>
      <c r="O50" s="423">
        <v>33.93</v>
      </c>
      <c r="P50" s="184">
        <v>6</v>
      </c>
      <c r="Q50" s="631"/>
      <c r="R50" s="78">
        <v>7.22</v>
      </c>
      <c r="S50" s="78">
        <v>11.2</v>
      </c>
      <c r="T50" s="78">
        <v>15.18</v>
      </c>
      <c r="U50" s="78">
        <v>19.149999999999999</v>
      </c>
      <c r="V50" s="78">
        <v>23.13</v>
      </c>
      <c r="W50" s="78">
        <v>27.11</v>
      </c>
      <c r="X50" s="78">
        <v>31.09</v>
      </c>
      <c r="Y50" s="78">
        <v>35.07</v>
      </c>
      <c r="Z50" s="78">
        <v>39.049999999999997</v>
      </c>
      <c r="AA50" s="78">
        <v>43.03</v>
      </c>
      <c r="AB50" s="671">
        <f>AA50+3.98</f>
        <v>47.01</v>
      </c>
      <c r="AC50" s="671">
        <f t="shared" ref="AC50:AJ50" si="5">AB50+3.98</f>
        <v>50.989999999999995</v>
      </c>
      <c r="AD50" s="671">
        <f t="shared" si="5"/>
        <v>54.969999999999992</v>
      </c>
      <c r="AE50" s="671">
        <f t="shared" si="5"/>
        <v>58.949999999999989</v>
      </c>
      <c r="AF50" s="671">
        <f t="shared" si="5"/>
        <v>62.929999999999986</v>
      </c>
      <c r="AG50" s="671">
        <f t="shared" si="5"/>
        <v>66.909999999999982</v>
      </c>
      <c r="AH50" s="671">
        <f t="shared" si="5"/>
        <v>70.889999999999986</v>
      </c>
      <c r="AI50" s="671">
        <f t="shared" si="5"/>
        <v>74.86999999999999</v>
      </c>
      <c r="AJ50" s="671">
        <f t="shared" si="5"/>
        <v>78.849999999999994</v>
      </c>
      <c r="AK50" s="45"/>
      <c r="AL50" s="117"/>
      <c r="AM50" s="118"/>
      <c r="AN50" s="118"/>
      <c r="AO50" s="118"/>
      <c r="AP50" s="45"/>
      <c r="AQ50" s="46"/>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c r="DH50" s="193"/>
      <c r="DI50" s="193"/>
      <c r="DJ50" s="193"/>
      <c r="DK50" s="193"/>
      <c r="DL50" s="193"/>
      <c r="DM50" s="193"/>
      <c r="DN50" s="193"/>
      <c r="DO50" s="193"/>
      <c r="DP50" s="193"/>
      <c r="DQ50" s="193"/>
      <c r="DR50" s="193"/>
      <c r="DS50" s="193"/>
      <c r="DT50" s="193"/>
      <c r="DU50" s="193"/>
      <c r="DV50" s="193"/>
      <c r="DW50" s="193"/>
      <c r="DX50" s="193"/>
      <c r="DY50" s="193"/>
      <c r="DZ50" s="193"/>
      <c r="EA50" s="193"/>
      <c r="EB50" s="193"/>
      <c r="EC50" s="193"/>
      <c r="ED50" s="193"/>
      <c r="EE50" s="193"/>
      <c r="EF50" s="193"/>
      <c r="EG50" s="193"/>
      <c r="EH50" s="193"/>
      <c r="EI50" s="193"/>
      <c r="EJ50" s="193"/>
      <c r="EK50" s="193"/>
      <c r="EL50" s="193"/>
      <c r="EM50" s="193"/>
      <c r="EN50" s="193"/>
      <c r="EO50" s="193"/>
      <c r="EP50" s="193"/>
      <c r="EQ50" s="193"/>
      <c r="ER50" s="193"/>
      <c r="ES50" s="193"/>
      <c r="ET50" s="193"/>
      <c r="EU50" s="193"/>
      <c r="EV50" s="193"/>
      <c r="EW50" s="193"/>
      <c r="EX50" s="193"/>
      <c r="EY50" s="193"/>
      <c r="EZ50" s="193"/>
      <c r="FA50" s="193"/>
      <c r="FB50" s="193"/>
      <c r="FC50" s="193"/>
      <c r="FD50" s="193"/>
      <c r="FE50" s="193"/>
      <c r="FF50" s="193"/>
      <c r="FG50" s="193"/>
      <c r="FH50" s="193"/>
      <c r="FI50" s="193"/>
      <c r="FJ50" s="193"/>
      <c r="FK50" s="193"/>
      <c r="FL50" s="193"/>
      <c r="FM50" s="193"/>
      <c r="FN50" s="193"/>
      <c r="FO50" s="193"/>
      <c r="FP50" s="193"/>
      <c r="FQ50" s="193"/>
      <c r="FR50" s="193"/>
      <c r="FS50" s="193"/>
      <c r="FT50" s="193"/>
      <c r="FU50" s="193"/>
      <c r="FV50" s="193"/>
      <c r="FW50" s="193"/>
      <c r="FX50" s="193"/>
      <c r="FY50" s="193"/>
      <c r="FZ50" s="193"/>
      <c r="GA50" s="193"/>
      <c r="GB50" s="193"/>
      <c r="GC50" s="193"/>
      <c r="GD50" s="193"/>
      <c r="GE50" s="193"/>
      <c r="GF50" s="193"/>
      <c r="GG50" s="193"/>
      <c r="GH50" s="193"/>
      <c r="GI50" s="193"/>
      <c r="GJ50" s="193"/>
      <c r="GK50" s="193"/>
      <c r="GL50" s="193"/>
      <c r="GM50" s="193"/>
      <c r="GN50" s="193"/>
      <c r="GO50" s="193"/>
      <c r="GP50" s="193"/>
      <c r="GQ50" s="193"/>
      <c r="GR50" s="193"/>
      <c r="GS50" s="193"/>
      <c r="GT50" s="193"/>
      <c r="GU50" s="193"/>
      <c r="GV50" s="193"/>
      <c r="GW50" s="193"/>
      <c r="GX50" s="193"/>
      <c r="GY50" s="193"/>
      <c r="GZ50" s="193"/>
      <c r="HA50" s="193"/>
      <c r="HB50" s="193"/>
      <c r="HC50" s="193"/>
      <c r="HD50" s="193"/>
      <c r="HE50" s="193"/>
      <c r="HF50" s="193"/>
      <c r="HG50" s="193"/>
      <c r="HH50" s="193"/>
      <c r="HI50" s="193"/>
      <c r="HJ50" s="193"/>
      <c r="HK50" s="193"/>
      <c r="HL50" s="193"/>
      <c r="HM50" s="193"/>
      <c r="HN50" s="193"/>
      <c r="HO50" s="193"/>
      <c r="HP50" s="193"/>
      <c r="HQ50" s="193"/>
      <c r="HR50" s="193"/>
      <c r="HS50" s="193"/>
      <c r="HT50" s="193"/>
      <c r="HU50" s="193"/>
      <c r="HV50" s="193"/>
      <c r="HW50" s="193"/>
      <c r="HX50" s="193"/>
      <c r="HY50" s="193"/>
      <c r="HZ50" s="193"/>
      <c r="IA50" s="193"/>
      <c r="IB50" s="193"/>
      <c r="IC50" s="193"/>
      <c r="ID50" s="193"/>
      <c r="IE50" s="193"/>
      <c r="IF50" s="193"/>
      <c r="IG50" s="193"/>
      <c r="IH50" s="193"/>
      <c r="II50" s="193"/>
      <c r="IJ50" s="193"/>
      <c r="IK50" s="193"/>
      <c r="IL50" s="193"/>
      <c r="IM50" s="193"/>
      <c r="IN50" s="193"/>
      <c r="IO50" s="193"/>
      <c r="IP50" s="193"/>
      <c r="IQ50" s="193"/>
      <c r="IR50" s="193"/>
      <c r="IS50" s="193"/>
      <c r="IT50" s="193"/>
      <c r="IU50" s="193"/>
      <c r="IV50" s="193"/>
    </row>
    <row r="51" spans="1:256" ht="15.75" thickBot="1" x14ac:dyDescent="0.3">
      <c r="B51" s="643"/>
      <c r="C51" s="648" t="s">
        <v>34</v>
      </c>
      <c r="D51" s="649" t="e">
        <f>HLOOKUP(D50,P44:AJ45,2)</f>
        <v>#VALUE!</v>
      </c>
      <c r="E51" s="664" t="e">
        <f>HLOOKUP(E50,P44:AJ45,2)</f>
        <v>#VALUE!</v>
      </c>
      <c r="F51" s="668"/>
      <c r="G51" s="436"/>
      <c r="H51" s="436"/>
      <c r="I51" s="436"/>
      <c r="J51" s="193"/>
      <c r="K51" s="193"/>
      <c r="L51" s="193"/>
      <c r="N51" s="79"/>
      <c r="O51" s="423">
        <v>38.43</v>
      </c>
      <c r="P51" s="184">
        <v>7</v>
      </c>
      <c r="Q51" s="631"/>
      <c r="R51" s="78">
        <v>8.17</v>
      </c>
      <c r="S51" s="78">
        <v>12.63</v>
      </c>
      <c r="T51" s="78">
        <v>17.079999999999998</v>
      </c>
      <c r="U51" s="78">
        <v>21.54</v>
      </c>
      <c r="V51" s="78">
        <v>25.99</v>
      </c>
      <c r="W51" s="78">
        <v>30.45</v>
      </c>
      <c r="X51" s="78">
        <v>34.9</v>
      </c>
      <c r="Y51" s="78">
        <v>39.36</v>
      </c>
      <c r="Z51" s="78">
        <v>43.81</v>
      </c>
      <c r="AA51" s="78">
        <v>48.27</v>
      </c>
      <c r="AB51" s="671">
        <f>AA51+4.46</f>
        <v>52.730000000000004</v>
      </c>
      <c r="AC51" s="671">
        <f t="shared" ref="AC51:AJ51" si="6">AB51+4.46</f>
        <v>57.190000000000005</v>
      </c>
      <c r="AD51" s="671">
        <f t="shared" si="6"/>
        <v>61.650000000000006</v>
      </c>
      <c r="AE51" s="671">
        <f t="shared" si="6"/>
        <v>66.11</v>
      </c>
      <c r="AF51" s="671">
        <f t="shared" si="6"/>
        <v>70.569999999999993</v>
      </c>
      <c r="AG51" s="671">
        <f t="shared" si="6"/>
        <v>75.029999999999987</v>
      </c>
      <c r="AH51" s="671">
        <f t="shared" si="6"/>
        <v>79.489999999999981</v>
      </c>
      <c r="AI51" s="671">
        <f t="shared" si="6"/>
        <v>83.949999999999974</v>
      </c>
      <c r="AJ51" s="671">
        <f t="shared" si="6"/>
        <v>88.409999999999968</v>
      </c>
      <c r="AK51" s="45"/>
      <c r="AL51" s="45"/>
      <c r="AM51" s="45"/>
      <c r="AN51" s="45"/>
      <c r="AO51" s="45"/>
      <c r="AP51" s="45"/>
      <c r="AQ51" s="46"/>
    </row>
    <row r="52" spans="1:256" ht="16.5" thickBot="1" x14ac:dyDescent="0.3">
      <c r="B52" s="643"/>
      <c r="C52" s="650"/>
      <c r="D52" s="651"/>
      <c r="E52" s="665"/>
      <c r="F52" s="668"/>
      <c r="G52" s="436"/>
      <c r="H52" s="436"/>
      <c r="I52" s="436"/>
      <c r="J52" s="193"/>
      <c r="K52" s="193"/>
      <c r="L52" s="193"/>
      <c r="N52" s="79"/>
      <c r="O52" s="423">
        <v>42.93</v>
      </c>
      <c r="P52" s="184">
        <v>8</v>
      </c>
      <c r="Q52" s="631"/>
      <c r="R52" s="78">
        <v>9.1199999999999992</v>
      </c>
      <c r="S52" s="78">
        <v>14.06</v>
      </c>
      <c r="T52" s="78">
        <v>18.989999999999998</v>
      </c>
      <c r="U52" s="78">
        <f>T52+4.94</f>
        <v>23.93</v>
      </c>
      <c r="V52" s="78">
        <f t="shared" ref="V52:AA52" si="7">U52+4.94</f>
        <v>28.87</v>
      </c>
      <c r="W52" s="78">
        <f t="shared" si="7"/>
        <v>33.81</v>
      </c>
      <c r="X52" s="78">
        <f t="shared" si="7"/>
        <v>38.75</v>
      </c>
      <c r="Y52" s="78">
        <f t="shared" si="7"/>
        <v>43.69</v>
      </c>
      <c r="Z52" s="78">
        <f t="shared" si="7"/>
        <v>48.629999999999995</v>
      </c>
      <c r="AA52" s="78">
        <f t="shared" si="7"/>
        <v>53.569999999999993</v>
      </c>
      <c r="AB52" s="671">
        <f>AA52+4.94</f>
        <v>58.509999999999991</v>
      </c>
      <c r="AC52" s="671">
        <f t="shared" ref="AC52:AJ52" si="8">AB52+4.94</f>
        <v>63.449999999999989</v>
      </c>
      <c r="AD52" s="671">
        <f t="shared" si="8"/>
        <v>68.389999999999986</v>
      </c>
      <c r="AE52" s="671">
        <f t="shared" si="8"/>
        <v>73.329999999999984</v>
      </c>
      <c r="AF52" s="671">
        <f t="shared" si="8"/>
        <v>78.269999999999982</v>
      </c>
      <c r="AG52" s="671">
        <f t="shared" si="8"/>
        <v>83.20999999999998</v>
      </c>
      <c r="AH52" s="671">
        <f t="shared" si="8"/>
        <v>88.149999999999977</v>
      </c>
      <c r="AI52" s="671">
        <f t="shared" si="8"/>
        <v>93.089999999999975</v>
      </c>
      <c r="AJ52" s="671">
        <f t="shared" si="8"/>
        <v>98.029999999999973</v>
      </c>
      <c r="AK52" s="45"/>
      <c r="AL52" s="117"/>
      <c r="AM52" s="117" t="e">
        <f>D62</f>
        <v>#VALUE!</v>
      </c>
      <c r="AN52" s="118" t="e">
        <f>C56</f>
        <v>#VALUE!</v>
      </c>
      <c r="AO52" s="117" t="e">
        <f>E62</f>
        <v>#VALUE!</v>
      </c>
      <c r="AP52" s="45"/>
      <c r="AQ52" s="46"/>
    </row>
    <row r="53" spans="1:256" ht="16.5" thickBot="1" x14ac:dyDescent="0.3">
      <c r="A53" s="71"/>
      <c r="B53" s="643"/>
      <c r="C53" s="471"/>
      <c r="D53" s="471"/>
      <c r="E53" s="666"/>
      <c r="F53" s="169"/>
      <c r="G53" s="193"/>
      <c r="H53" s="193"/>
      <c r="I53" s="193"/>
      <c r="J53" s="193"/>
      <c r="K53" s="193"/>
      <c r="L53" s="193"/>
      <c r="N53" s="79"/>
      <c r="O53" s="423">
        <v>47.43</v>
      </c>
      <c r="P53" s="184">
        <v>9</v>
      </c>
      <c r="Q53" s="631"/>
      <c r="R53" s="78">
        <v>10.08</v>
      </c>
      <c r="S53" s="78">
        <v>15.49</v>
      </c>
      <c r="T53" s="78">
        <v>20.89</v>
      </c>
      <c r="U53" s="78">
        <v>26.3</v>
      </c>
      <c r="V53" s="78">
        <v>31.71</v>
      </c>
      <c r="W53" s="78">
        <v>37.119999999999997</v>
      </c>
      <c r="X53" s="78">
        <v>42.53</v>
      </c>
      <c r="Y53" s="78">
        <v>47.93</v>
      </c>
      <c r="Z53" s="78">
        <v>53.34</v>
      </c>
      <c r="AA53" s="78">
        <v>58.75</v>
      </c>
      <c r="AB53" s="671">
        <f>AA53+5.41</f>
        <v>64.16</v>
      </c>
      <c r="AC53" s="671">
        <f t="shared" ref="AC53:AJ53" si="9">AB53+5.41</f>
        <v>69.569999999999993</v>
      </c>
      <c r="AD53" s="671">
        <f t="shared" si="9"/>
        <v>74.97999999999999</v>
      </c>
      <c r="AE53" s="671">
        <f t="shared" si="9"/>
        <v>80.389999999999986</v>
      </c>
      <c r="AF53" s="671">
        <f t="shared" si="9"/>
        <v>85.799999999999983</v>
      </c>
      <c r="AG53" s="671">
        <f t="shared" si="9"/>
        <v>91.20999999999998</v>
      </c>
      <c r="AH53" s="671">
        <f t="shared" si="9"/>
        <v>96.619999999999976</v>
      </c>
      <c r="AI53" s="671">
        <f t="shared" si="9"/>
        <v>102.02999999999997</v>
      </c>
      <c r="AJ53" s="671">
        <f t="shared" si="9"/>
        <v>107.43999999999997</v>
      </c>
      <c r="AK53" s="45"/>
      <c r="AL53" s="118" t="e">
        <f>C57</f>
        <v>#VALUE!</v>
      </c>
      <c r="AM53" s="118" t="e">
        <f>INDEX(P46:AJ65,MATCH(AL53,O46:O61,0),D63)</f>
        <v>#VALUE!</v>
      </c>
      <c r="AN53" s="118" t="e">
        <f>(((AN52-AM52)/(AO52-AM52))*(AO53-AM53))+AM53</f>
        <v>#VALUE!</v>
      </c>
      <c r="AO53" s="118" t="e">
        <f>INDEX(P46:AJ65,MATCH(AL53,O46:O61,0),E63)</f>
        <v>#VALUE!</v>
      </c>
      <c r="AP53" s="45"/>
      <c r="AQ53" s="46"/>
    </row>
    <row r="54" spans="1:256" ht="21.75" thickBot="1" x14ac:dyDescent="0.4">
      <c r="B54" s="652"/>
      <c r="C54" s="471"/>
      <c r="D54" s="40"/>
      <c r="E54" s="666"/>
      <c r="F54" s="169"/>
      <c r="G54" s="193"/>
      <c r="H54" s="193"/>
      <c r="I54" s="658"/>
      <c r="J54" s="658"/>
      <c r="K54" s="658"/>
      <c r="L54" s="193"/>
      <c r="N54" s="79"/>
      <c r="O54" s="423">
        <v>51.93</v>
      </c>
      <c r="P54" s="184">
        <v>10</v>
      </c>
      <c r="Q54" s="631"/>
      <c r="R54" s="78">
        <v>11.03</v>
      </c>
      <c r="S54" s="78">
        <v>16.920000000000002</v>
      </c>
      <c r="T54" s="78">
        <v>22.8</v>
      </c>
      <c r="U54" s="78">
        <v>28.68</v>
      </c>
      <c r="V54" s="78">
        <v>34.57</v>
      </c>
      <c r="W54" s="78">
        <v>40.450000000000003</v>
      </c>
      <c r="X54" s="78">
        <v>46.34</v>
      </c>
      <c r="Y54" s="78">
        <v>52.22</v>
      </c>
      <c r="Z54" s="78">
        <v>58.11</v>
      </c>
      <c r="AA54" s="78">
        <v>63.99</v>
      </c>
      <c r="AB54" s="671">
        <f>AA54+5.89</f>
        <v>69.88</v>
      </c>
      <c r="AC54" s="671">
        <f t="shared" ref="AC54:AI54" si="10">AB54+5.89</f>
        <v>75.77</v>
      </c>
      <c r="AD54" s="671">
        <f t="shared" si="10"/>
        <v>81.66</v>
      </c>
      <c r="AE54" s="671">
        <f t="shared" si="10"/>
        <v>87.55</v>
      </c>
      <c r="AF54" s="671">
        <f t="shared" si="10"/>
        <v>93.44</v>
      </c>
      <c r="AG54" s="671">
        <f t="shared" si="10"/>
        <v>99.33</v>
      </c>
      <c r="AH54" s="671">
        <f t="shared" si="10"/>
        <v>105.22</v>
      </c>
      <c r="AI54" s="671">
        <f t="shared" si="10"/>
        <v>111.11</v>
      </c>
      <c r="AJ54" s="671">
        <v>116.96</v>
      </c>
      <c r="AK54" s="45"/>
      <c r="AL54" s="413"/>
      <c r="AM54" s="118"/>
      <c r="AN54" s="119"/>
      <c r="AO54" s="118"/>
      <c r="AP54" s="45"/>
      <c r="AQ54" s="46"/>
    </row>
    <row r="55" spans="1:256" ht="19.5" thickBot="1" x14ac:dyDescent="0.35">
      <c r="B55" s="643"/>
      <c r="C55" s="471"/>
      <c r="D55" s="653"/>
      <c r="E55" s="667"/>
      <c r="F55" s="669"/>
      <c r="G55" s="425"/>
      <c r="H55" s="193"/>
      <c r="I55" s="658"/>
      <c r="J55" s="658"/>
      <c r="K55" s="658"/>
      <c r="L55" s="193"/>
      <c r="N55" s="79"/>
      <c r="O55" s="423">
        <v>56.43</v>
      </c>
      <c r="P55" s="184">
        <v>11</v>
      </c>
      <c r="Q55" s="631"/>
      <c r="R55" s="78">
        <v>11.98</v>
      </c>
      <c r="S55" s="78">
        <v>18.34</v>
      </c>
      <c r="T55" s="78">
        <v>24.71</v>
      </c>
      <c r="U55" s="78">
        <v>31.07</v>
      </c>
      <c r="V55" s="78">
        <v>37.43</v>
      </c>
      <c r="W55" s="78">
        <v>43.79</v>
      </c>
      <c r="X55" s="78">
        <v>50.15</v>
      </c>
      <c r="Y55" s="78">
        <v>56.51</v>
      </c>
      <c r="Z55" s="78">
        <v>62.87</v>
      </c>
      <c r="AA55" s="78">
        <v>69.239999999999995</v>
      </c>
      <c r="AB55" s="671">
        <f>AA55+6.36</f>
        <v>75.599999999999994</v>
      </c>
      <c r="AC55" s="671">
        <f t="shared" ref="AC55:AJ55" si="11">AB55+6.36</f>
        <v>81.96</v>
      </c>
      <c r="AD55" s="671">
        <f t="shared" si="11"/>
        <v>88.32</v>
      </c>
      <c r="AE55" s="671">
        <f t="shared" si="11"/>
        <v>94.679999999999993</v>
      </c>
      <c r="AF55" s="671">
        <f t="shared" si="11"/>
        <v>101.03999999999999</v>
      </c>
      <c r="AG55" s="671">
        <f t="shared" si="11"/>
        <v>107.39999999999999</v>
      </c>
      <c r="AH55" s="671">
        <f t="shared" si="11"/>
        <v>113.75999999999999</v>
      </c>
      <c r="AI55" s="671">
        <f t="shared" si="11"/>
        <v>120.11999999999999</v>
      </c>
      <c r="AJ55" s="671">
        <f t="shared" si="11"/>
        <v>126.47999999999999</v>
      </c>
      <c r="AK55" s="45"/>
      <c r="AL55" s="117"/>
      <c r="AM55" s="118"/>
      <c r="AN55" s="118"/>
      <c r="AO55" s="118"/>
      <c r="AP55" s="185"/>
      <c r="AQ55" s="46"/>
    </row>
    <row r="56" spans="1:256" ht="19.5" thickBot="1" x14ac:dyDescent="0.35">
      <c r="B56" s="639" t="s">
        <v>38</v>
      </c>
      <c r="C56" s="640" t="e">
        <f>C4+7.955+2</f>
        <v>#VALUE!</v>
      </c>
      <c r="D56" s="471"/>
      <c r="E56" s="666"/>
      <c r="F56" s="169"/>
      <c r="G56" s="656"/>
      <c r="H56" s="193"/>
      <c r="I56" s="658"/>
      <c r="J56" s="658"/>
      <c r="K56" s="658"/>
      <c r="L56" s="193"/>
      <c r="N56" s="79"/>
      <c r="O56" s="423">
        <v>60.93</v>
      </c>
      <c r="P56" s="184">
        <v>12</v>
      </c>
      <c r="Q56" s="631"/>
      <c r="R56" s="78">
        <v>12.94</v>
      </c>
      <c r="S56" s="78">
        <v>19.77</v>
      </c>
      <c r="T56" s="78">
        <v>26.61</v>
      </c>
      <c r="U56" s="78">
        <v>33.450000000000003</v>
      </c>
      <c r="V56" s="78">
        <f t="shared" ref="V56:AB56" si="12">U56+6.84</f>
        <v>40.290000000000006</v>
      </c>
      <c r="W56" s="78">
        <f t="shared" si="12"/>
        <v>47.13000000000001</v>
      </c>
      <c r="X56" s="78">
        <f t="shared" si="12"/>
        <v>53.970000000000013</v>
      </c>
      <c r="Y56" s="78">
        <f t="shared" si="12"/>
        <v>60.810000000000016</v>
      </c>
      <c r="Z56" s="78">
        <f t="shared" si="12"/>
        <v>67.65000000000002</v>
      </c>
      <c r="AA56" s="78">
        <f t="shared" si="12"/>
        <v>74.490000000000023</v>
      </c>
      <c r="AB56" s="671">
        <f t="shared" si="12"/>
        <v>81.330000000000027</v>
      </c>
      <c r="AC56" s="671">
        <f t="shared" ref="AC56:AJ56" si="13">AB56+6.84</f>
        <v>88.17000000000003</v>
      </c>
      <c r="AD56" s="671">
        <f t="shared" si="13"/>
        <v>95.010000000000034</v>
      </c>
      <c r="AE56" s="671">
        <f t="shared" si="13"/>
        <v>101.85000000000004</v>
      </c>
      <c r="AF56" s="671">
        <f t="shared" si="13"/>
        <v>108.69000000000004</v>
      </c>
      <c r="AG56" s="671">
        <f t="shared" si="13"/>
        <v>115.53000000000004</v>
      </c>
      <c r="AH56" s="671">
        <f t="shared" si="13"/>
        <v>122.37000000000005</v>
      </c>
      <c r="AI56" s="671">
        <f t="shared" si="13"/>
        <v>129.21000000000004</v>
      </c>
      <c r="AJ56" s="671">
        <f t="shared" si="13"/>
        <v>136.05000000000004</v>
      </c>
      <c r="AK56" s="45"/>
      <c r="AL56" s="327"/>
      <c r="AM56" s="327"/>
      <c r="AN56" s="327"/>
      <c r="AO56" s="327"/>
      <c r="AP56" s="327"/>
      <c r="AQ56" s="46"/>
    </row>
    <row r="57" spans="1:256" ht="19.5" thickBot="1" x14ac:dyDescent="0.35">
      <c r="B57" s="639" t="s">
        <v>39</v>
      </c>
      <c r="C57" s="906" t="e">
        <f>VALUE(FIXED(C5,2))</f>
        <v>#VALUE!</v>
      </c>
      <c r="D57" s="40"/>
      <c r="E57" s="666"/>
      <c r="F57" s="169"/>
      <c r="G57" s="656"/>
      <c r="H57" s="193"/>
      <c r="I57" s="658"/>
      <c r="J57" s="658"/>
      <c r="K57" s="658"/>
      <c r="L57" s="193"/>
      <c r="N57" s="79"/>
      <c r="O57" s="423">
        <v>65.430000000000007</v>
      </c>
      <c r="P57" s="184">
        <v>13</v>
      </c>
      <c r="Q57" s="631"/>
      <c r="R57" s="78">
        <v>13.89</v>
      </c>
      <c r="S57" s="78">
        <v>21.2</v>
      </c>
      <c r="T57" s="78">
        <v>28.52</v>
      </c>
      <c r="U57" s="78">
        <v>35.83</v>
      </c>
      <c r="V57" s="78">
        <v>43.15</v>
      </c>
      <c r="W57" s="78">
        <v>50.46</v>
      </c>
      <c r="X57" s="78">
        <v>57.78</v>
      </c>
      <c r="Y57" s="78">
        <v>65.09</v>
      </c>
      <c r="Z57" s="78">
        <v>72.41</v>
      </c>
      <c r="AA57" s="78">
        <v>79.72</v>
      </c>
      <c r="AB57" s="671">
        <f>AA57+7.31</f>
        <v>87.03</v>
      </c>
      <c r="AC57" s="671">
        <f t="shared" ref="AC57:AJ57" si="14">AB57+7.31</f>
        <v>94.34</v>
      </c>
      <c r="AD57" s="671">
        <f t="shared" si="14"/>
        <v>101.65</v>
      </c>
      <c r="AE57" s="671">
        <f t="shared" si="14"/>
        <v>108.96000000000001</v>
      </c>
      <c r="AF57" s="671">
        <f t="shared" si="14"/>
        <v>116.27000000000001</v>
      </c>
      <c r="AG57" s="671">
        <f t="shared" si="14"/>
        <v>123.58000000000001</v>
      </c>
      <c r="AH57" s="671">
        <f t="shared" si="14"/>
        <v>130.89000000000001</v>
      </c>
      <c r="AI57" s="671">
        <f t="shared" si="14"/>
        <v>138.20000000000002</v>
      </c>
      <c r="AJ57" s="671">
        <f t="shared" si="14"/>
        <v>145.51000000000002</v>
      </c>
      <c r="AK57" s="45"/>
      <c r="AL57" s="45"/>
      <c r="AM57" s="327"/>
      <c r="AN57" s="186"/>
      <c r="AO57" s="185"/>
      <c r="AP57" s="325"/>
      <c r="AQ57" s="46"/>
    </row>
    <row r="58" spans="1:256" ht="21.75" thickBot="1" x14ac:dyDescent="0.4">
      <c r="B58" s="642" t="s">
        <v>63</v>
      </c>
      <c r="C58" s="471"/>
      <c r="D58" s="471"/>
      <c r="E58" s="666"/>
      <c r="F58" s="169"/>
      <c r="G58" s="656"/>
      <c r="H58" s="193"/>
      <c r="I58" s="658"/>
      <c r="J58" s="658"/>
      <c r="K58" s="658"/>
      <c r="L58" s="193"/>
      <c r="N58" s="79"/>
      <c r="O58" s="423">
        <v>69.930000000000007</v>
      </c>
      <c r="P58" s="184">
        <v>14</v>
      </c>
      <c r="Q58" s="491"/>
      <c r="R58" s="78">
        <v>14.84</v>
      </c>
      <c r="S58" s="78">
        <v>22.63</v>
      </c>
      <c r="T58" s="78">
        <v>30.42</v>
      </c>
      <c r="U58" s="78">
        <v>38.22</v>
      </c>
      <c r="V58" s="78">
        <v>46.01</v>
      </c>
      <c r="W58" s="78">
        <v>53.8</v>
      </c>
      <c r="X58" s="78">
        <v>61.59</v>
      </c>
      <c r="Y58" s="78">
        <v>69.38</v>
      </c>
      <c r="Z58" s="78">
        <v>77.17</v>
      </c>
      <c r="AA58" s="78">
        <v>84.96</v>
      </c>
      <c r="AB58" s="633">
        <f>AA58+7.79</f>
        <v>92.75</v>
      </c>
      <c r="AC58" s="633">
        <f t="shared" ref="AC58:AJ58" si="15">AB58+7.79</f>
        <v>100.54</v>
      </c>
      <c r="AD58" s="633">
        <f t="shared" si="15"/>
        <v>108.33000000000001</v>
      </c>
      <c r="AE58" s="633">
        <f t="shared" si="15"/>
        <v>116.12000000000002</v>
      </c>
      <c r="AF58" s="633">
        <f t="shared" si="15"/>
        <v>123.91000000000003</v>
      </c>
      <c r="AG58" s="633">
        <f t="shared" si="15"/>
        <v>131.70000000000002</v>
      </c>
      <c r="AH58" s="633">
        <f t="shared" si="15"/>
        <v>139.49</v>
      </c>
      <c r="AI58" s="633">
        <f t="shared" si="15"/>
        <v>147.28</v>
      </c>
      <c r="AJ58" s="633">
        <f t="shared" si="15"/>
        <v>155.07</v>
      </c>
      <c r="AK58" s="45"/>
      <c r="AL58" s="45"/>
      <c r="AM58" s="327" t="s">
        <v>241</v>
      </c>
      <c r="AN58" s="186"/>
      <c r="AO58" s="153" t="e">
        <f>AN48</f>
        <v>#VALUE!</v>
      </c>
      <c r="AP58" s="325" t="s">
        <v>141</v>
      </c>
      <c r="AQ58" s="46"/>
    </row>
    <row r="59" spans="1:256" ht="19.5" thickBot="1" x14ac:dyDescent="0.35">
      <c r="B59" s="643"/>
      <c r="C59" s="40"/>
      <c r="D59" s="471"/>
      <c r="E59" s="666"/>
      <c r="F59" s="169"/>
      <c r="G59" s="193"/>
      <c r="H59" s="193"/>
      <c r="I59" s="658"/>
      <c r="J59" s="658"/>
      <c r="K59" s="658"/>
      <c r="L59" s="193"/>
      <c r="N59" s="79"/>
      <c r="O59" s="423">
        <v>74.430000000000007</v>
      </c>
      <c r="P59" s="184">
        <v>15</v>
      </c>
      <c r="Q59" s="491"/>
      <c r="R59" s="633">
        <v>15.8</v>
      </c>
      <c r="S59" s="633">
        <v>24.06</v>
      </c>
      <c r="T59" s="633">
        <v>32.33</v>
      </c>
      <c r="U59" s="633">
        <v>40.6</v>
      </c>
      <c r="V59" s="633">
        <f>U59+8.27</f>
        <v>48.870000000000005</v>
      </c>
      <c r="W59" s="633">
        <f t="shared" ref="W59:AJ59" si="16">V59+8.27</f>
        <v>57.14</v>
      </c>
      <c r="X59" s="633">
        <f t="shared" si="16"/>
        <v>65.41</v>
      </c>
      <c r="Y59" s="633">
        <f t="shared" si="16"/>
        <v>73.679999999999993</v>
      </c>
      <c r="Z59" s="633">
        <f t="shared" si="16"/>
        <v>81.949999999999989</v>
      </c>
      <c r="AA59" s="633">
        <f t="shared" si="16"/>
        <v>90.219999999999985</v>
      </c>
      <c r="AB59" s="633">
        <f t="shared" si="16"/>
        <v>98.489999999999981</v>
      </c>
      <c r="AC59" s="633">
        <f t="shared" si="16"/>
        <v>106.75999999999998</v>
      </c>
      <c r="AD59" s="633">
        <f t="shared" si="16"/>
        <v>115.02999999999997</v>
      </c>
      <c r="AE59" s="633">
        <f t="shared" si="16"/>
        <v>123.29999999999997</v>
      </c>
      <c r="AF59" s="633">
        <f t="shared" si="16"/>
        <v>131.56999999999996</v>
      </c>
      <c r="AG59" s="633">
        <v>139.81</v>
      </c>
      <c r="AH59" s="633">
        <f t="shared" si="16"/>
        <v>148.08000000000001</v>
      </c>
      <c r="AI59" s="633">
        <f t="shared" si="16"/>
        <v>156.35000000000002</v>
      </c>
      <c r="AJ59" s="633">
        <f t="shared" si="16"/>
        <v>164.62000000000003</v>
      </c>
      <c r="AK59" s="45"/>
      <c r="AL59" s="45"/>
      <c r="AM59" s="327" t="s">
        <v>242</v>
      </c>
      <c r="AN59" s="185"/>
      <c r="AO59" s="153" t="e">
        <f>AN53</f>
        <v>#VALUE!</v>
      </c>
      <c r="AP59" s="185" t="s">
        <v>141</v>
      </c>
      <c r="AQ59" s="77"/>
    </row>
    <row r="60" spans="1:256" ht="15.75" thickBot="1" x14ac:dyDescent="0.3">
      <c r="B60" s="643"/>
      <c r="C60" s="644"/>
      <c r="D60" s="645" t="s">
        <v>32</v>
      </c>
      <c r="E60" s="662"/>
      <c r="F60" s="668"/>
      <c r="G60" s="193"/>
      <c r="H60" s="193"/>
      <c r="I60" s="193"/>
      <c r="J60" s="193"/>
      <c r="K60" s="193"/>
      <c r="L60" s="193"/>
      <c r="N60" s="79"/>
      <c r="O60" s="124"/>
      <c r="P60" s="184"/>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256" ht="15.75" thickBot="1" x14ac:dyDescent="0.3">
      <c r="B61" s="643"/>
      <c r="C61" s="646"/>
      <c r="D61" s="647" t="s">
        <v>64</v>
      </c>
      <c r="E61" s="663" t="s">
        <v>65</v>
      </c>
      <c r="F61" s="668"/>
      <c r="G61" s="193"/>
      <c r="H61" s="193"/>
      <c r="I61" s="193"/>
      <c r="J61" s="193"/>
      <c r="K61" s="193"/>
      <c r="L61" s="193"/>
      <c r="N61" s="79"/>
      <c r="O61" s="124"/>
      <c r="P61" s="184"/>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256" ht="15.75" thickBot="1" x14ac:dyDescent="0.3">
      <c r="A62" s="2"/>
      <c r="B62" s="643"/>
      <c r="C62" s="648"/>
      <c r="D62" s="649" t="e">
        <f>IF(AND(C56&lt;18,C56&gt;=H4),12,FLOOR(C56/6,1)*6)</f>
        <v>#VALUE!</v>
      </c>
      <c r="E62" s="664" t="e">
        <f>IF(D62&lt;12,12,D62+6)</f>
        <v>#VALUE!</v>
      </c>
      <c r="F62" s="668"/>
      <c r="G62" s="193"/>
      <c r="H62" s="193"/>
      <c r="I62" s="193"/>
      <c r="J62" s="193"/>
      <c r="K62" s="193"/>
      <c r="L62" s="193"/>
      <c r="N62" s="79"/>
      <c r="O62" s="124"/>
      <c r="P62" s="184"/>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256" ht="15.75" thickBot="1" x14ac:dyDescent="0.3">
      <c r="A63" s="2"/>
      <c r="B63" s="643"/>
      <c r="C63" s="648" t="s">
        <v>34</v>
      </c>
      <c r="D63" s="649" t="e">
        <f>HLOOKUP(D62,P44:AJ45,2)</f>
        <v>#VALUE!</v>
      </c>
      <c r="E63" s="664" t="e">
        <f>HLOOKUP(E62,P44:AJ45,2)</f>
        <v>#VALUE!</v>
      </c>
      <c r="F63" s="668"/>
      <c r="G63" s="193"/>
      <c r="H63" s="193"/>
      <c r="I63" s="193"/>
      <c r="J63" s="193"/>
      <c r="K63" s="193"/>
      <c r="L63" s="193"/>
      <c r="N63" s="79"/>
      <c r="O63" s="124"/>
      <c r="P63" s="184"/>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256" ht="15.75" thickBot="1" x14ac:dyDescent="0.3">
      <c r="B64" s="643"/>
      <c r="C64" s="650"/>
      <c r="D64" s="651"/>
      <c r="E64" s="665"/>
      <c r="F64" s="668"/>
      <c r="G64" s="193"/>
      <c r="H64" s="193"/>
      <c r="I64" s="193"/>
      <c r="J64" s="193"/>
      <c r="K64" s="193"/>
      <c r="L64" s="193"/>
      <c r="N64" s="79"/>
      <c r="O64" s="124"/>
      <c r="P64" s="184"/>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15.75" thickBot="1" x14ac:dyDescent="0.3">
      <c r="B65" s="42"/>
      <c r="C65" s="43"/>
      <c r="D65" s="43"/>
      <c r="E65" s="43"/>
      <c r="F65" s="170"/>
      <c r="G65" s="193"/>
      <c r="H65" s="193"/>
      <c r="I65" s="193"/>
      <c r="J65" s="193"/>
      <c r="K65" s="193"/>
      <c r="L65" s="193"/>
      <c r="N65" s="79"/>
      <c r="O65" s="124"/>
      <c r="P65" s="184"/>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193"/>
      <c r="C66" s="193"/>
      <c r="D66" s="193"/>
      <c r="E66" s="193"/>
      <c r="F66" s="193"/>
      <c r="G66" s="193"/>
      <c r="H66" s="193"/>
      <c r="I66" s="193"/>
      <c r="J66" s="193"/>
      <c r="K66" s="193"/>
      <c r="L66" s="193"/>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193"/>
      <c r="C67" s="436"/>
      <c r="D67" s="436"/>
      <c r="E67" s="436"/>
      <c r="F67" s="436"/>
      <c r="G67" s="436"/>
      <c r="H67" s="436"/>
      <c r="I67" s="436"/>
      <c r="J67" s="193"/>
      <c r="K67" s="193"/>
      <c r="L67" s="193"/>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193"/>
      <c r="C68" s="436"/>
      <c r="D68" s="436"/>
      <c r="E68" s="436"/>
      <c r="F68" s="436"/>
      <c r="G68" s="436"/>
      <c r="H68" s="436"/>
      <c r="I68" s="436"/>
      <c r="J68" s="193"/>
      <c r="K68" s="193"/>
      <c r="L68" s="193"/>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193"/>
      <c r="C69" s="436"/>
      <c r="D69" s="436"/>
      <c r="E69" s="436"/>
      <c r="F69" s="436"/>
      <c r="G69" s="436"/>
      <c r="H69" s="436"/>
      <c r="I69" s="436"/>
      <c r="J69" s="193"/>
      <c r="K69" s="193"/>
      <c r="L69" s="193"/>
      <c r="BG69" s="2"/>
      <c r="BH69" s="2"/>
    </row>
    <row r="70" spans="1:79" ht="24" thickBot="1" x14ac:dyDescent="0.4">
      <c r="A70" s="2"/>
      <c r="B70" s="193"/>
      <c r="C70" s="436"/>
      <c r="D70" s="436"/>
      <c r="E70" s="436"/>
      <c r="F70" s="436"/>
      <c r="G70" s="436"/>
      <c r="H70" s="436"/>
      <c r="I70" s="436"/>
      <c r="J70" s="193"/>
      <c r="K70" s="193"/>
      <c r="L70" s="193"/>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193"/>
      <c r="C71" s="436"/>
      <c r="D71" s="436"/>
      <c r="E71" s="436"/>
      <c r="F71" s="436"/>
      <c r="G71" s="436"/>
      <c r="H71" s="436"/>
      <c r="I71" s="436"/>
      <c r="J71" s="193"/>
      <c r="K71" s="193"/>
      <c r="L71" s="193"/>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193"/>
      <c r="C72" s="193"/>
      <c r="D72" s="193"/>
      <c r="E72" s="193"/>
      <c r="F72" s="193"/>
      <c r="G72" s="193"/>
      <c r="H72" s="193"/>
      <c r="I72" s="193"/>
      <c r="J72" s="193"/>
      <c r="K72" s="193"/>
      <c r="L72" s="193"/>
      <c r="N72" s="997"/>
      <c r="O72" s="423" t="s">
        <v>379</v>
      </c>
      <c r="P72" s="422"/>
      <c r="Q72" s="40"/>
      <c r="R72" s="423" t="s">
        <v>378</v>
      </c>
      <c r="S72" s="40"/>
      <c r="T72" s="40"/>
      <c r="U72" s="423" t="s">
        <v>249</v>
      </c>
      <c r="V72" s="40"/>
      <c r="W72" s="169"/>
      <c r="X72" s="193"/>
      <c r="Y72" s="41"/>
      <c r="Z72" s="496" t="s">
        <v>149</v>
      </c>
      <c r="AA72" s="40"/>
      <c r="AB72" s="40" t="e">
        <f>(AO58*2)+(AO59*2)</f>
        <v>#VALUE!</v>
      </c>
      <c r="AC72" s="40" t="s">
        <v>141</v>
      </c>
      <c r="AD72" s="40"/>
      <c r="AE72" s="40"/>
      <c r="AF72" s="40"/>
      <c r="AG72" s="40"/>
      <c r="AH72" s="40"/>
      <c r="AI72" s="40"/>
      <c r="AJ72" s="169"/>
      <c r="BF72" s="2"/>
      <c r="BG72" s="2"/>
    </row>
    <row r="73" spans="1:79" ht="21" x14ac:dyDescent="0.35">
      <c r="A73" s="2"/>
      <c r="B73" s="655"/>
      <c r="C73" s="193"/>
      <c r="D73" s="193"/>
      <c r="E73" s="193"/>
      <c r="F73" s="193"/>
      <c r="G73" s="193"/>
      <c r="H73" s="193"/>
      <c r="I73" s="193"/>
      <c r="J73" s="193"/>
      <c r="K73" s="193"/>
      <c r="L73" s="193"/>
      <c r="N73" s="872"/>
      <c r="O73" s="223" t="s">
        <v>142</v>
      </c>
      <c r="P73" s="40">
        <v>0.12740000000000001</v>
      </c>
      <c r="Q73" s="40" t="s">
        <v>139</v>
      </c>
      <c r="R73" s="40" t="s">
        <v>376</v>
      </c>
      <c r="S73" s="40">
        <f>0.14</f>
        <v>0.14000000000000001</v>
      </c>
      <c r="T73" s="40" t="s">
        <v>141</v>
      </c>
      <c r="U73" s="581" t="str">
        <f>IF(C4&gt;108.977,"GA_7.088",IF(AND(C3&lt;=108.977,C4&lt;=36.977),"OP_7.088","SE_7.088"))</f>
        <v>GA_7.088</v>
      </c>
      <c r="V73" s="583" t="e">
        <f>INDEX(MC_ROOF!J2:K10, MATCH(U73,MC_ROOF!J2:J10,0),2)</f>
        <v>#VALUE!</v>
      </c>
      <c r="W73" s="169" t="s">
        <v>141</v>
      </c>
      <c r="X73" s="193"/>
      <c r="Y73" s="41"/>
      <c r="Z73" s="496" t="s">
        <v>341</v>
      </c>
      <c r="AA73" s="40"/>
      <c r="AB73" s="415" t="e">
        <f>P76</f>
        <v>#N/A</v>
      </c>
      <c r="AC73" s="40" t="s">
        <v>141</v>
      </c>
      <c r="AD73" s="40"/>
      <c r="AE73" s="40"/>
      <c r="AF73" s="40"/>
      <c r="AG73" s="40"/>
      <c r="AH73" s="40"/>
      <c r="AI73" s="40"/>
      <c r="AJ73" s="169"/>
      <c r="BF73" s="2"/>
    </row>
    <row r="74" spans="1:79" ht="15.75" x14ac:dyDescent="0.25">
      <c r="A74" s="2"/>
      <c r="B74" s="193"/>
      <c r="C74" s="193"/>
      <c r="D74" s="425"/>
      <c r="E74" s="425"/>
      <c r="F74" s="426"/>
      <c r="G74" s="425"/>
      <c r="H74" s="193"/>
      <c r="I74" s="193"/>
      <c r="J74" s="193"/>
      <c r="K74" s="193"/>
      <c r="L74" s="193"/>
      <c r="N74" s="420"/>
      <c r="O74" s="40" t="s">
        <v>231</v>
      </c>
      <c r="P74" s="40" t="str">
        <f>C5</f>
        <v>ENTER HEIGHT</v>
      </c>
      <c r="Q74" s="40" t="s">
        <v>151</v>
      </c>
      <c r="R74" s="40" t="s">
        <v>244</v>
      </c>
      <c r="S74" s="40" t="e">
        <f>P75</f>
        <v>#N/A</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193"/>
      <c r="C75" s="193"/>
      <c r="D75" s="425"/>
      <c r="E75" s="656"/>
      <c r="F75" s="656"/>
      <c r="G75" s="656"/>
      <c r="H75" s="193"/>
      <c r="I75" s="193"/>
      <c r="J75" s="193"/>
      <c r="K75" s="193"/>
      <c r="L75" s="193"/>
      <c r="N75" s="41"/>
      <c r="O75" s="40" t="s">
        <v>336</v>
      </c>
      <c r="P75" s="40" t="e">
        <f>IF(G13=1,8,IF(G13=2,12,IF(G13=3,14,IF(G13=4,24,IF(G13=5,24,"N/A")))))</f>
        <v>#N/A</v>
      </c>
      <c r="Q75" s="40"/>
      <c r="R75" s="40"/>
      <c r="S75" s="40"/>
      <c r="T75" s="40"/>
      <c r="U75" s="40"/>
      <c r="V75" s="40"/>
      <c r="W75" s="169"/>
      <c r="X75" s="193"/>
      <c r="Y75" s="41"/>
      <c r="Z75" s="496" t="s">
        <v>342</v>
      </c>
      <c r="AA75" s="40"/>
      <c r="AB75" s="40" t="e">
        <f>S76</f>
        <v>#N/A</v>
      </c>
      <c r="AC75" s="40" t="s">
        <v>141</v>
      </c>
      <c r="AD75" s="40"/>
      <c r="AE75" s="40"/>
      <c r="AF75" s="40"/>
      <c r="AG75" s="40"/>
      <c r="AH75" s="40"/>
      <c r="AI75" s="40"/>
      <c r="AJ75" s="169"/>
    </row>
    <row r="76" spans="1:79" ht="18.75" x14ac:dyDescent="0.3">
      <c r="A76" s="2"/>
      <c r="B76" s="193"/>
      <c r="C76" s="193"/>
      <c r="D76" s="425"/>
      <c r="E76" s="656"/>
      <c r="F76" s="657"/>
      <c r="G76" s="656"/>
      <c r="H76" s="193"/>
      <c r="I76" s="658"/>
      <c r="J76" s="658"/>
      <c r="K76" s="658"/>
      <c r="L76" s="193"/>
      <c r="N76" s="41"/>
      <c r="O76" s="672" t="s">
        <v>380</v>
      </c>
      <c r="P76" s="40" t="e">
        <f>P75*(P73*P74)</f>
        <v>#N/A</v>
      </c>
      <c r="Q76" s="40" t="s">
        <v>141</v>
      </c>
      <c r="R76" s="495" t="s">
        <v>248</v>
      </c>
      <c r="S76" s="40" t="e">
        <f>S74*2*S73</f>
        <v>#N/A</v>
      </c>
      <c r="T76" s="40" t="s">
        <v>141</v>
      </c>
      <c r="U76" s="582" t="s">
        <v>249</v>
      </c>
      <c r="V76" s="583" t="e">
        <f>V73</f>
        <v>#VALUE!</v>
      </c>
      <c r="W76" s="169" t="s">
        <v>141</v>
      </c>
      <c r="X76" s="193"/>
      <c r="Y76" s="41"/>
      <c r="Z76" s="496" t="s">
        <v>254</v>
      </c>
      <c r="AA76" s="40"/>
      <c r="AB76" s="40" t="e">
        <f>S83</f>
        <v>#N/A</v>
      </c>
      <c r="AC76" s="40" t="s">
        <v>141</v>
      </c>
      <c r="AD76" s="40"/>
      <c r="AE76" s="40"/>
      <c r="AF76" s="40"/>
      <c r="AG76" s="40"/>
      <c r="AH76" s="40"/>
      <c r="AI76" s="40"/>
      <c r="AJ76" s="169"/>
      <c r="BS76" s="2"/>
      <c r="BT76" s="2"/>
      <c r="BU76" s="2"/>
      <c r="BV76" s="2"/>
      <c r="BW76" s="2"/>
      <c r="BX76" s="2"/>
      <c r="BY76" s="2"/>
      <c r="BZ76" s="2"/>
      <c r="CA76" s="2"/>
    </row>
    <row r="77" spans="1:79" ht="18.75" x14ac:dyDescent="0.3">
      <c r="B77" s="193"/>
      <c r="C77" s="193"/>
      <c r="D77" s="425"/>
      <c r="E77" s="656"/>
      <c r="F77" s="656"/>
      <c r="G77" s="656"/>
      <c r="H77" s="193"/>
      <c r="I77" s="658"/>
      <c r="J77" s="658"/>
      <c r="K77" s="658"/>
      <c r="L77" s="193"/>
      <c r="N77" s="41"/>
      <c r="O77" s="423"/>
      <c r="P77" s="40"/>
      <c r="Q77" s="40"/>
      <c r="R77" s="40"/>
      <c r="S77" s="40"/>
      <c r="T77" s="40"/>
      <c r="U77" s="40"/>
      <c r="V77" s="40"/>
      <c r="W77" s="169"/>
      <c r="X77" s="193"/>
      <c r="Y77" s="41"/>
      <c r="Z77" s="496" t="s">
        <v>249</v>
      </c>
      <c r="AA77" s="40"/>
      <c r="AB77" s="40" t="e">
        <f>V76</f>
        <v>#VALUE!</v>
      </c>
      <c r="AC77" s="40" t="s">
        <v>141</v>
      </c>
      <c r="AD77" s="40"/>
      <c r="AE77" s="40"/>
      <c r="AF77" s="40"/>
      <c r="AG77" s="40"/>
      <c r="AH77" s="40"/>
      <c r="AI77" s="40"/>
      <c r="AJ77" s="169"/>
      <c r="BS77" s="2"/>
      <c r="BT77" s="2"/>
      <c r="BU77" s="2"/>
      <c r="BV77" s="2"/>
      <c r="BW77" s="2"/>
      <c r="BX77" s="2"/>
      <c r="BY77" s="2"/>
      <c r="BZ77" s="2"/>
      <c r="CA77" s="2"/>
    </row>
    <row r="78" spans="1:79" x14ac:dyDescent="0.25">
      <c r="B78" s="193"/>
      <c r="C78" s="193"/>
      <c r="D78" s="193"/>
      <c r="E78" s="193"/>
      <c r="F78" s="193"/>
      <c r="G78" s="193"/>
      <c r="H78" s="193"/>
      <c r="I78" s="193"/>
      <c r="J78" s="193"/>
      <c r="K78" s="193"/>
      <c r="L78" s="193"/>
      <c r="N78" s="41"/>
      <c r="O78" s="423"/>
      <c r="P78" s="40"/>
      <c r="Q78" s="40"/>
      <c r="R78" s="40"/>
      <c r="S78" s="40"/>
      <c r="T78" s="40"/>
      <c r="U78" s="40"/>
      <c r="V78" s="40"/>
      <c r="W78" s="169"/>
      <c r="X78" s="193"/>
      <c r="Y78" s="41"/>
      <c r="Z78" s="496"/>
      <c r="AA78" s="40"/>
      <c r="AB78" s="40"/>
      <c r="AC78" s="40"/>
      <c r="AD78" s="40"/>
      <c r="AE78" s="40"/>
      <c r="AF78" s="40"/>
      <c r="AG78" s="40"/>
      <c r="AH78" s="40"/>
      <c r="AI78" s="40"/>
      <c r="AJ78" s="169"/>
      <c r="BS78" s="2"/>
      <c r="BT78" s="2"/>
      <c r="BU78" s="2"/>
      <c r="BV78" s="2"/>
      <c r="BW78" s="2"/>
      <c r="BX78" s="2"/>
      <c r="BY78" s="2"/>
      <c r="BZ78" s="2"/>
      <c r="CA78" s="2"/>
    </row>
    <row r="79" spans="1:79" x14ac:dyDescent="0.25">
      <c r="B79" s="193"/>
      <c r="C79" s="193"/>
      <c r="D79" s="193"/>
      <c r="E79" s="193"/>
      <c r="F79" s="193"/>
      <c r="G79" s="193"/>
      <c r="H79" s="193"/>
      <c r="I79" s="193"/>
      <c r="J79" s="193"/>
      <c r="K79" s="193"/>
      <c r="L79" s="193"/>
      <c r="N79" s="41"/>
      <c r="O79" s="423" t="s">
        <v>148</v>
      </c>
      <c r="P79" s="40"/>
      <c r="Q79" s="40"/>
      <c r="R79" s="423" t="s">
        <v>253</v>
      </c>
      <c r="S79" s="40"/>
      <c r="T79" s="40"/>
      <c r="U79" s="423"/>
      <c r="V79" s="40"/>
      <c r="W79" s="169"/>
      <c r="X79" s="193"/>
      <c r="Y79" s="41"/>
      <c r="AA79" s="40"/>
      <c r="AB79" s="40"/>
      <c r="AC79" s="40"/>
      <c r="AD79" s="40"/>
      <c r="AE79" s="40"/>
      <c r="AF79" s="40"/>
      <c r="AG79" s="40"/>
      <c r="AH79" s="40"/>
      <c r="AI79" s="40"/>
      <c r="AJ79" s="169"/>
      <c r="BS79" s="2"/>
      <c r="BT79" s="2"/>
      <c r="BU79" s="2"/>
      <c r="BV79" s="2"/>
      <c r="BW79" s="2"/>
      <c r="BX79" s="2"/>
      <c r="BY79" s="2"/>
      <c r="BZ79" s="2"/>
      <c r="CA79" s="2"/>
    </row>
    <row r="80" spans="1:79" x14ac:dyDescent="0.25">
      <c r="B80" s="193"/>
      <c r="C80" s="193"/>
      <c r="D80" s="193"/>
      <c r="E80" s="193"/>
      <c r="F80" s="193"/>
      <c r="G80" s="193"/>
      <c r="H80" s="193"/>
      <c r="I80" s="193"/>
      <c r="J80" s="193"/>
      <c r="K80" s="193"/>
      <c r="L80" s="193"/>
      <c r="N80" s="41"/>
      <c r="O80" s="223" t="s">
        <v>142</v>
      </c>
      <c r="P80" s="40">
        <v>8.9999999999999998E-4</v>
      </c>
      <c r="Q80" s="40" t="s">
        <v>147</v>
      </c>
      <c r="R80" s="40" t="s">
        <v>142</v>
      </c>
      <c r="S80" s="40">
        <v>2.2602375158275841E-2</v>
      </c>
      <c r="T80" s="40" t="s">
        <v>141</v>
      </c>
      <c r="U80" s="40"/>
      <c r="V80" s="40"/>
      <c r="W80" s="169"/>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79" ht="21" x14ac:dyDescent="0.35">
      <c r="B81" s="655"/>
      <c r="C81" s="193"/>
      <c r="D81" s="193"/>
      <c r="E81" s="193"/>
      <c r="F81" s="193"/>
      <c r="G81" s="193"/>
      <c r="H81" s="193"/>
      <c r="I81" s="193"/>
      <c r="J81" s="193"/>
      <c r="K81" s="193"/>
      <c r="L81" s="193"/>
      <c r="N81" s="41"/>
      <c r="O81" s="223" t="s">
        <v>152</v>
      </c>
      <c r="P81" s="40" t="e">
        <f>(C3*C5*2)+(C4*C5*2)</f>
        <v>#VALUE!</v>
      </c>
      <c r="Q81" s="40" t="s">
        <v>153</v>
      </c>
      <c r="R81" s="40" t="s">
        <v>231</v>
      </c>
      <c r="S81" s="40" t="str">
        <f>C5</f>
        <v>ENTER HEIGHT</v>
      </c>
      <c r="T81" s="40" t="s">
        <v>151</v>
      </c>
      <c r="U81" s="40"/>
      <c r="V81" s="40"/>
      <c r="W81" s="169"/>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79" ht="18.75" x14ac:dyDescent="0.3">
      <c r="A82" s="2"/>
      <c r="B82" s="436"/>
      <c r="C82" s="193"/>
      <c r="D82" s="854"/>
      <c r="E82" s="855"/>
      <c r="F82" s="193"/>
      <c r="G82" s="193"/>
      <c r="H82" s="856"/>
      <c r="I82" s="854"/>
      <c r="J82" s="854"/>
      <c r="K82" s="193"/>
      <c r="L82" s="193"/>
      <c r="N82" s="41"/>
      <c r="O82" s="223"/>
      <c r="P82" s="40"/>
      <c r="Q82" s="40"/>
      <c r="R82" s="40" t="s">
        <v>377</v>
      </c>
      <c r="S82" s="40" t="e">
        <f>IF(G13=1,2,IF(G13=2,4,IF(G13=3,4,IF(G13=4,8,IF(G13=5,8,"N/A")))))</f>
        <v>#N/A</v>
      </c>
      <c r="T82" s="40"/>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79" ht="18.75" x14ac:dyDescent="0.3">
      <c r="A83" s="2"/>
      <c r="B83" s="436"/>
      <c r="C83" s="193"/>
      <c r="D83" s="854"/>
      <c r="E83" s="855"/>
      <c r="F83" s="193"/>
      <c r="G83" s="193"/>
      <c r="H83" s="436"/>
      <c r="I83" s="854"/>
      <c r="J83" s="854"/>
      <c r="K83" s="193"/>
      <c r="L83" s="193"/>
      <c r="N83" s="41"/>
      <c r="O83" s="435" t="s">
        <v>148</v>
      </c>
      <c r="P83" s="415" t="e">
        <f>P80*P81</f>
        <v>#VALUE!</v>
      </c>
      <c r="Q83" s="40" t="s">
        <v>141</v>
      </c>
      <c r="R83" s="495" t="s">
        <v>254</v>
      </c>
      <c r="S83" s="40" t="e">
        <f>S82*(S80*S81)</f>
        <v>#N/A</v>
      </c>
      <c r="T83" s="40" t="s">
        <v>141</v>
      </c>
      <c r="U83" s="495"/>
      <c r="V83" s="40"/>
      <c r="W83" s="169"/>
      <c r="X83" s="193"/>
      <c r="Y83" s="41"/>
      <c r="Z83" s="40"/>
      <c r="AA83" s="40"/>
      <c r="AB83" s="40"/>
      <c r="AC83" s="40"/>
      <c r="AD83" s="40"/>
      <c r="AE83" s="40"/>
      <c r="AF83" s="40"/>
      <c r="AG83" s="40"/>
      <c r="AH83" s="40"/>
      <c r="AI83" s="40"/>
      <c r="AJ83" s="169"/>
      <c r="BS83" s="2"/>
      <c r="BT83" s="2"/>
      <c r="BU83" s="2"/>
      <c r="BV83" s="2"/>
      <c r="BW83" s="2"/>
      <c r="BX83" s="2"/>
      <c r="BY83" s="2"/>
      <c r="BZ83" s="2"/>
      <c r="CA83" s="2"/>
    </row>
    <row r="84" spans="1:79" ht="18.75" x14ac:dyDescent="0.3">
      <c r="A84" s="2"/>
      <c r="B84" s="436"/>
      <c r="C84" s="193"/>
      <c r="D84" s="854"/>
      <c r="E84" s="855"/>
      <c r="F84" s="193"/>
      <c r="G84" s="193"/>
      <c r="H84" s="436"/>
      <c r="I84" s="854"/>
      <c r="J84" s="854"/>
      <c r="K84" s="193"/>
      <c r="L84" s="193"/>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79" ht="18.75" x14ac:dyDescent="0.3">
      <c r="A85" s="2"/>
      <c r="B85" s="436"/>
      <c r="C85" s="193"/>
      <c r="D85" s="854"/>
      <c r="E85" s="855"/>
      <c r="F85" s="193"/>
      <c r="G85" s="193"/>
      <c r="H85" s="436"/>
      <c r="I85" s="854"/>
      <c r="J85" s="854"/>
      <c r="K85" s="193"/>
      <c r="L85" s="193"/>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79" ht="19.5" thickBot="1" x14ac:dyDescent="0.35">
      <c r="A86" s="2"/>
      <c r="B86" s="193"/>
      <c r="C86" s="857"/>
      <c r="D86" s="193"/>
      <c r="E86" s="193"/>
      <c r="F86" s="193"/>
      <c r="G86" s="193"/>
      <c r="H86" s="436"/>
      <c r="I86" s="858"/>
      <c r="J86" s="855"/>
      <c r="K86" s="193"/>
      <c r="L86" s="193"/>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79" ht="18.75" x14ac:dyDescent="0.3">
      <c r="B87" s="436"/>
      <c r="C87" s="193"/>
      <c r="D87" s="858"/>
      <c r="E87" s="855"/>
      <c r="F87" s="193"/>
      <c r="G87" s="859"/>
      <c r="H87" s="857"/>
      <c r="I87" s="854"/>
      <c r="J87" s="855"/>
      <c r="K87" s="193"/>
      <c r="L87" s="193"/>
      <c r="BS87" s="2"/>
      <c r="BT87" s="2"/>
      <c r="BU87" s="2"/>
      <c r="BV87" s="2"/>
      <c r="BW87" s="2"/>
      <c r="BX87" s="2"/>
      <c r="BY87" s="2"/>
      <c r="BZ87" s="2"/>
      <c r="CA87" s="2"/>
    </row>
    <row r="88" spans="1:79" ht="18.75" x14ac:dyDescent="0.3">
      <c r="B88" s="859"/>
      <c r="C88" s="857"/>
      <c r="D88" s="858"/>
      <c r="E88" s="855"/>
      <c r="F88" s="193"/>
      <c r="G88" s="193"/>
      <c r="H88" s="857"/>
      <c r="I88" s="854"/>
      <c r="J88" s="855"/>
      <c r="K88" s="193"/>
      <c r="L88" s="193"/>
      <c r="BS88" s="2"/>
      <c r="BT88" s="2"/>
      <c r="BU88" s="2"/>
      <c r="BV88" s="2"/>
      <c r="BW88" s="2"/>
      <c r="BX88" s="2"/>
      <c r="BY88" s="2"/>
      <c r="BZ88" s="2"/>
      <c r="CA88" s="2"/>
    </row>
    <row r="89" spans="1:79" ht="19.5" thickBot="1" x14ac:dyDescent="0.35">
      <c r="B89" s="193"/>
      <c r="C89" s="857"/>
      <c r="D89" s="858"/>
      <c r="E89" s="855"/>
      <c r="F89" s="193"/>
      <c r="G89" s="193"/>
      <c r="H89" s="193"/>
      <c r="I89" s="193"/>
      <c r="J89" s="193"/>
      <c r="K89" s="193"/>
      <c r="L89" s="193"/>
      <c r="N89" s="918"/>
      <c r="O89" s="919" t="s">
        <v>412</v>
      </c>
      <c r="P89" s="919"/>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21"/>
      <c r="BS89" s="2"/>
      <c r="BT89" s="2"/>
      <c r="BU89" s="2"/>
      <c r="BV89" s="2"/>
      <c r="BW89" s="2"/>
      <c r="BX89" s="2"/>
      <c r="BY89" s="2"/>
      <c r="BZ89" s="2"/>
      <c r="CA89" s="2"/>
    </row>
    <row r="90" spans="1:79" ht="15.75" thickBot="1" x14ac:dyDescent="0.3">
      <c r="A90" s="2"/>
      <c r="B90" s="193"/>
      <c r="C90" s="193"/>
      <c r="D90" s="193"/>
      <c r="E90" s="193"/>
      <c r="F90" s="193"/>
      <c r="G90" s="193"/>
      <c r="H90" s="193"/>
      <c r="I90" s="193"/>
      <c r="J90" s="193"/>
      <c r="K90" s="193"/>
      <c r="L90" s="193"/>
      <c r="N90" s="922"/>
      <c r="O90" s="913"/>
      <c r="P90" s="913"/>
      <c r="Q90" s="914">
        <v>9</v>
      </c>
      <c r="R90" s="915">
        <v>12</v>
      </c>
      <c r="S90" s="915">
        <v>18</v>
      </c>
      <c r="T90" s="915">
        <v>24</v>
      </c>
      <c r="U90" s="915">
        <v>30</v>
      </c>
      <c r="V90" s="915">
        <v>36</v>
      </c>
      <c r="W90" s="915">
        <v>42</v>
      </c>
      <c r="X90" s="915">
        <v>48</v>
      </c>
      <c r="Y90" s="915">
        <v>54</v>
      </c>
      <c r="Z90" s="915">
        <v>60</v>
      </c>
      <c r="AA90" s="913" t="s">
        <v>413</v>
      </c>
      <c r="AB90" s="932"/>
      <c r="AC90" s="932"/>
      <c r="AD90" s="932"/>
      <c r="AE90" s="932"/>
      <c r="AF90" s="932"/>
      <c r="AG90" s="932"/>
      <c r="AH90" s="932"/>
      <c r="AI90" s="932"/>
      <c r="AJ90" s="932"/>
      <c r="AK90" s="932"/>
      <c r="AL90" s="932"/>
      <c r="AM90" s="932"/>
      <c r="AN90" s="913"/>
      <c r="AO90" s="913"/>
      <c r="AP90" s="913"/>
      <c r="AQ90" s="913"/>
      <c r="AR90" s="913"/>
      <c r="AS90" s="913"/>
      <c r="AT90" s="913"/>
      <c r="AU90" s="913"/>
      <c r="AV90" s="913"/>
      <c r="AW90" s="923"/>
      <c r="BS90" s="2"/>
      <c r="BT90" s="2"/>
      <c r="BU90" s="2"/>
      <c r="BV90" s="2"/>
      <c r="BW90" s="2"/>
      <c r="BX90" s="2"/>
      <c r="BY90" s="2"/>
      <c r="BZ90" s="2"/>
      <c r="CA90" s="2"/>
    </row>
    <row r="91" spans="1:79" ht="15.75" thickBot="1" x14ac:dyDescent="0.3">
      <c r="A91" s="2"/>
      <c r="B91" s="193"/>
      <c r="C91" s="193"/>
      <c r="D91" s="193"/>
      <c r="E91" s="193"/>
      <c r="F91" s="193"/>
      <c r="G91" s="193"/>
      <c r="H91" s="193"/>
      <c r="I91" s="193"/>
      <c r="J91" s="193"/>
      <c r="K91" s="193"/>
      <c r="L91" s="193"/>
      <c r="N91" s="922"/>
      <c r="O91" s="916">
        <f>O46</f>
        <v>15.93</v>
      </c>
      <c r="P91" s="913"/>
      <c r="Q91" s="924" t="s">
        <v>414</v>
      </c>
      <c r="R91" s="924" t="s">
        <v>414</v>
      </c>
      <c r="S91" s="925">
        <f t="shared" ref="S91:Z104" si="17">S46-R46</f>
        <v>2.0700000000000003</v>
      </c>
      <c r="T91" s="925">
        <f t="shared" si="17"/>
        <v>2.0699999999999994</v>
      </c>
      <c r="U91" s="925">
        <f t="shared" si="17"/>
        <v>2.0699999999999994</v>
      </c>
      <c r="V91" s="925">
        <f t="shared" si="17"/>
        <v>2.0700000000000003</v>
      </c>
      <c r="W91" s="925">
        <f t="shared" si="17"/>
        <v>2.0700000000000003</v>
      </c>
      <c r="X91" s="925">
        <f t="shared" si="17"/>
        <v>2.0700000000000003</v>
      </c>
      <c r="Y91" s="925">
        <f t="shared" si="17"/>
        <v>2.0699999999999985</v>
      </c>
      <c r="Z91" s="925">
        <f t="shared" si="17"/>
        <v>2.0700000000000003</v>
      </c>
      <c r="AA91" s="913" t="s">
        <v>415</v>
      </c>
      <c r="AB91" s="932"/>
      <c r="AC91" s="932"/>
      <c r="AD91" s="932"/>
      <c r="AE91" s="932"/>
      <c r="AF91" s="932"/>
      <c r="AG91" s="932"/>
      <c r="AH91" s="932"/>
      <c r="AI91" s="932"/>
      <c r="AJ91" s="932"/>
      <c r="AK91" s="932"/>
      <c r="AL91" s="932"/>
      <c r="AM91" s="932"/>
      <c r="AN91" s="913"/>
      <c r="AO91" s="913"/>
      <c r="AP91" s="913"/>
      <c r="AQ91" s="913"/>
      <c r="AR91" s="913"/>
      <c r="AS91" s="913"/>
      <c r="AT91" s="913"/>
      <c r="AU91" s="913"/>
      <c r="AV91" s="913"/>
      <c r="AW91" s="923"/>
      <c r="BS91" s="2"/>
      <c r="BT91" s="2"/>
      <c r="BU91" s="2"/>
      <c r="BV91" s="2"/>
      <c r="BW91" s="2"/>
      <c r="BX91" s="2"/>
      <c r="BY91" s="2"/>
      <c r="BZ91" s="2"/>
      <c r="CA91" s="2"/>
    </row>
    <row r="92" spans="1:79" ht="15.75" thickBot="1" x14ac:dyDescent="0.3">
      <c r="A92" s="2"/>
      <c r="B92" s="193"/>
      <c r="C92" s="193"/>
      <c r="D92" s="193"/>
      <c r="E92" s="193"/>
      <c r="F92" s="193"/>
      <c r="G92" s="193"/>
      <c r="H92" s="193"/>
      <c r="I92" s="193"/>
      <c r="J92" s="193"/>
      <c r="K92" s="193"/>
      <c r="L92" s="193"/>
      <c r="N92" s="922"/>
      <c r="O92" s="916">
        <f t="shared" ref="O92:O104" si="18">O47</f>
        <v>20.43</v>
      </c>
      <c r="P92" s="913"/>
      <c r="Q92" s="925" t="s">
        <v>414</v>
      </c>
      <c r="R92" s="925" t="s">
        <v>414</v>
      </c>
      <c r="S92" s="925">
        <f t="shared" si="17"/>
        <v>2.5499999999999998</v>
      </c>
      <c r="T92" s="925">
        <f t="shared" si="17"/>
        <v>2.5500000000000007</v>
      </c>
      <c r="U92" s="925">
        <f t="shared" si="17"/>
        <v>2.5500000000000007</v>
      </c>
      <c r="V92" s="925">
        <f t="shared" si="17"/>
        <v>2.5500000000000007</v>
      </c>
      <c r="W92" s="925">
        <f t="shared" si="17"/>
        <v>2.5500000000000007</v>
      </c>
      <c r="X92" s="925">
        <f t="shared" si="17"/>
        <v>2.5500000000000007</v>
      </c>
      <c r="Y92" s="925">
        <f t="shared" si="17"/>
        <v>2.5500000000000007</v>
      </c>
      <c r="Z92" s="925">
        <f t="shared" si="17"/>
        <v>2.5500000000000007</v>
      </c>
      <c r="AA92" s="913"/>
      <c r="AB92" s="932"/>
      <c r="AC92" s="932"/>
      <c r="AD92" s="932"/>
      <c r="AE92" s="932"/>
      <c r="AF92" s="932"/>
      <c r="AG92" s="932"/>
      <c r="AH92" s="932"/>
      <c r="AI92" s="932"/>
      <c r="AJ92" s="932"/>
      <c r="AK92" s="932"/>
      <c r="AL92" s="932"/>
      <c r="AM92" s="932"/>
      <c r="AN92" s="913"/>
      <c r="AO92" s="913"/>
      <c r="AP92" s="913"/>
      <c r="AQ92" s="913"/>
      <c r="AR92" s="913"/>
      <c r="AS92" s="913"/>
      <c r="AT92" s="913"/>
      <c r="AU92" s="913"/>
      <c r="AV92" s="913"/>
      <c r="AW92" s="923"/>
      <c r="BS92" s="2"/>
      <c r="BT92" s="2"/>
      <c r="BU92" s="2"/>
      <c r="BV92" s="2"/>
      <c r="BW92" s="2"/>
      <c r="BX92" s="2"/>
      <c r="BY92" s="2"/>
      <c r="BZ92" s="2"/>
      <c r="CA92" s="2"/>
    </row>
    <row r="93" spans="1:79" ht="15.75" thickBot="1" x14ac:dyDescent="0.3">
      <c r="A93" s="2"/>
      <c r="B93" s="193"/>
      <c r="C93" s="193"/>
      <c r="D93" s="193"/>
      <c r="E93" s="193"/>
      <c r="F93" s="193"/>
      <c r="G93" s="193"/>
      <c r="H93" s="193"/>
      <c r="I93" s="193"/>
      <c r="J93" s="193"/>
      <c r="K93" s="193"/>
      <c r="L93" s="193"/>
      <c r="N93" s="922"/>
      <c r="O93" s="916">
        <f t="shared" si="18"/>
        <v>24.93</v>
      </c>
      <c r="P93" s="913"/>
      <c r="Q93" s="925" t="s">
        <v>414</v>
      </c>
      <c r="R93" s="925" t="s">
        <v>414</v>
      </c>
      <c r="S93" s="925">
        <f t="shared" si="17"/>
        <v>3.0300000000000002</v>
      </c>
      <c r="T93" s="925">
        <f t="shared" si="17"/>
        <v>3.0199999999999996</v>
      </c>
      <c r="U93" s="925">
        <f t="shared" si="17"/>
        <v>3.0299999999999994</v>
      </c>
      <c r="V93" s="925">
        <f t="shared" si="17"/>
        <v>3.0299999999999994</v>
      </c>
      <c r="W93" s="925">
        <f t="shared" si="17"/>
        <v>3.0300000000000011</v>
      </c>
      <c r="X93" s="925">
        <f t="shared" si="17"/>
        <v>3.0100000000000016</v>
      </c>
      <c r="Y93" s="925">
        <f t="shared" si="17"/>
        <v>3.0300000000000011</v>
      </c>
      <c r="Z93" s="925">
        <f t="shared" si="17"/>
        <v>3.0300000000000011</v>
      </c>
      <c r="AA93" s="913"/>
      <c r="AB93" s="932"/>
      <c r="AC93" s="932"/>
      <c r="AD93" s="932"/>
      <c r="AE93" s="932"/>
      <c r="AF93" s="932"/>
      <c r="AG93" s="932"/>
      <c r="AH93" s="932"/>
      <c r="AI93" s="932"/>
      <c r="AJ93" s="932"/>
      <c r="AK93" s="932"/>
      <c r="AL93" s="932"/>
      <c r="AM93" s="932"/>
      <c r="AN93" s="913"/>
      <c r="AO93" s="913"/>
      <c r="AP93" s="913"/>
      <c r="AQ93" s="913"/>
      <c r="AR93" s="913"/>
      <c r="AS93" s="913"/>
      <c r="AT93" s="913"/>
      <c r="AU93" s="913"/>
      <c r="AV93" s="913"/>
      <c r="AW93" s="923"/>
      <c r="BS93" s="2"/>
      <c r="BT93" s="2"/>
      <c r="BU93" s="2"/>
      <c r="BV93" s="2"/>
      <c r="BW93" s="2"/>
      <c r="BX93" s="2"/>
      <c r="BY93" s="2"/>
      <c r="BZ93" s="2"/>
      <c r="CA93" s="2"/>
    </row>
    <row r="94" spans="1:79" ht="18.75" customHeight="1" thickBot="1" x14ac:dyDescent="0.3">
      <c r="A94" s="2"/>
      <c r="B94" s="193"/>
      <c r="C94" s="193"/>
      <c r="D94" s="193"/>
      <c r="E94" s="193"/>
      <c r="F94" s="193"/>
      <c r="G94" s="193"/>
      <c r="H94" s="193"/>
      <c r="I94" s="193"/>
      <c r="J94" s="193"/>
      <c r="K94" s="193"/>
      <c r="L94" s="193"/>
      <c r="N94" s="922"/>
      <c r="O94" s="916">
        <f t="shared" si="18"/>
        <v>29.43</v>
      </c>
      <c r="P94" s="913"/>
      <c r="Q94" s="925" t="s">
        <v>414</v>
      </c>
      <c r="R94" s="925" t="s">
        <v>414</v>
      </c>
      <c r="S94" s="925">
        <f t="shared" si="17"/>
        <v>3.5</v>
      </c>
      <c r="T94" s="925">
        <f t="shared" si="17"/>
        <v>3.5</v>
      </c>
      <c r="U94" s="925">
        <f t="shared" si="17"/>
        <v>3.5</v>
      </c>
      <c r="V94" s="925">
        <f t="shared" si="17"/>
        <v>3.5</v>
      </c>
      <c r="W94" s="925">
        <f t="shared" si="17"/>
        <v>3.5100000000000016</v>
      </c>
      <c r="X94" s="925">
        <f t="shared" si="17"/>
        <v>3.5</v>
      </c>
      <c r="Y94" s="925">
        <f t="shared" si="17"/>
        <v>3.5</v>
      </c>
      <c r="Z94" s="925">
        <f t="shared" si="17"/>
        <v>3.5</v>
      </c>
      <c r="AA94" s="913"/>
      <c r="AB94" s="932"/>
      <c r="AC94" s="932"/>
      <c r="AD94" s="932"/>
      <c r="AE94" s="932"/>
      <c r="AF94" s="932"/>
      <c r="AG94" s="932"/>
      <c r="AH94" s="932"/>
      <c r="AI94" s="932"/>
      <c r="AJ94" s="932"/>
      <c r="AK94" s="932"/>
      <c r="AL94" s="932"/>
      <c r="AM94" s="932"/>
      <c r="AN94" s="913"/>
      <c r="AO94" s="913"/>
      <c r="AP94" s="913"/>
      <c r="AQ94" s="913"/>
      <c r="AR94" s="913"/>
      <c r="AS94" s="913"/>
      <c r="AT94" s="913"/>
      <c r="AU94" s="913"/>
      <c r="AV94" s="913"/>
      <c r="AW94" s="923"/>
      <c r="BS94" s="2"/>
      <c r="BT94" s="2"/>
      <c r="BU94" s="2"/>
      <c r="BV94" s="2"/>
      <c r="BW94" s="2"/>
      <c r="BX94" s="2"/>
      <c r="BY94" s="2"/>
      <c r="BZ94" s="2"/>
      <c r="CA94" s="2"/>
    </row>
    <row r="95" spans="1:79" ht="18.75" customHeight="1" thickBot="1" x14ac:dyDescent="0.3">
      <c r="A95" s="2"/>
      <c r="N95" s="922"/>
      <c r="O95" s="916">
        <f t="shared" si="18"/>
        <v>33.93</v>
      </c>
      <c r="P95" s="913"/>
      <c r="Q95" s="925" t="s">
        <v>414</v>
      </c>
      <c r="R95" s="925" t="s">
        <v>414</v>
      </c>
      <c r="S95" s="925">
        <f t="shared" si="17"/>
        <v>3.9799999999999995</v>
      </c>
      <c r="T95" s="925">
        <f t="shared" si="17"/>
        <v>3.9800000000000004</v>
      </c>
      <c r="U95" s="925">
        <f t="shared" si="17"/>
        <v>3.9699999999999989</v>
      </c>
      <c r="V95" s="925">
        <f t="shared" si="17"/>
        <v>3.9800000000000004</v>
      </c>
      <c r="W95" s="925">
        <f t="shared" si="17"/>
        <v>3.9800000000000004</v>
      </c>
      <c r="X95" s="925">
        <f t="shared" si="17"/>
        <v>3.9800000000000004</v>
      </c>
      <c r="Y95" s="925">
        <f t="shared" si="17"/>
        <v>3.9800000000000004</v>
      </c>
      <c r="Z95" s="925">
        <f t="shared" si="17"/>
        <v>3.9799999999999969</v>
      </c>
      <c r="AA95" s="913"/>
      <c r="AB95" s="932"/>
      <c r="AC95" s="932"/>
      <c r="AD95" s="932"/>
      <c r="AE95" s="932"/>
      <c r="AF95" s="932"/>
      <c r="AG95" s="932"/>
      <c r="AH95" s="932"/>
      <c r="AI95" s="932"/>
      <c r="AJ95" s="932"/>
      <c r="AK95" s="932"/>
      <c r="AL95" s="932"/>
      <c r="AM95" s="932"/>
      <c r="AN95" s="913"/>
      <c r="AO95" s="913"/>
      <c r="AP95" s="913"/>
      <c r="AQ95" s="913"/>
      <c r="AR95" s="913"/>
      <c r="AS95" s="913"/>
      <c r="AT95" s="913"/>
      <c r="AU95" s="913"/>
      <c r="AV95" s="913"/>
      <c r="AW95" s="923"/>
      <c r="BS95" s="2"/>
      <c r="BT95" s="2"/>
      <c r="BU95" s="2"/>
      <c r="BV95" s="2"/>
      <c r="BW95" s="2"/>
      <c r="BX95" s="2"/>
      <c r="BY95" s="2"/>
      <c r="BZ95" s="2"/>
      <c r="CA95" s="2"/>
    </row>
    <row r="96" spans="1:79" ht="15.75" thickBot="1" x14ac:dyDescent="0.3">
      <c r="A96" s="2"/>
      <c r="G96" s="193"/>
      <c r="H96" s="193"/>
      <c r="I96" s="193"/>
      <c r="J96" s="193"/>
      <c r="K96" s="193"/>
      <c r="L96" s="193"/>
      <c r="N96" s="922"/>
      <c r="O96" s="916">
        <f t="shared" si="18"/>
        <v>38.43</v>
      </c>
      <c r="P96" s="913"/>
      <c r="Q96" s="925" t="s">
        <v>414</v>
      </c>
      <c r="R96" s="925" t="s">
        <v>414</v>
      </c>
      <c r="S96" s="925">
        <f t="shared" si="17"/>
        <v>4.4600000000000009</v>
      </c>
      <c r="T96" s="925">
        <f t="shared" si="17"/>
        <v>4.4499999999999975</v>
      </c>
      <c r="U96" s="925">
        <f t="shared" si="17"/>
        <v>4.4600000000000009</v>
      </c>
      <c r="V96" s="925">
        <f t="shared" si="17"/>
        <v>4.4499999999999993</v>
      </c>
      <c r="W96" s="925">
        <f t="shared" si="17"/>
        <v>4.4600000000000009</v>
      </c>
      <c r="X96" s="925">
        <f t="shared" si="17"/>
        <v>4.4499999999999993</v>
      </c>
      <c r="Y96" s="925">
        <f t="shared" si="17"/>
        <v>4.4600000000000009</v>
      </c>
      <c r="Z96" s="925">
        <f t="shared" si="17"/>
        <v>4.4500000000000028</v>
      </c>
      <c r="AA96" s="913"/>
      <c r="AB96" s="932"/>
      <c r="AC96" s="932"/>
      <c r="AD96" s="932"/>
      <c r="AE96" s="932"/>
      <c r="AF96" s="932"/>
      <c r="AG96" s="932"/>
      <c r="AH96" s="932"/>
      <c r="AI96" s="932"/>
      <c r="AJ96" s="932"/>
      <c r="AK96" s="932"/>
      <c r="AL96" s="932"/>
      <c r="AM96" s="932"/>
      <c r="AN96" s="913"/>
      <c r="AO96" s="913"/>
      <c r="AP96" s="913"/>
      <c r="AQ96" s="913"/>
      <c r="AR96" s="913"/>
      <c r="AS96" s="913"/>
      <c r="AT96" s="913"/>
      <c r="AU96" s="913"/>
      <c r="AV96" s="913"/>
      <c r="AW96" s="923"/>
      <c r="BS96" s="2"/>
      <c r="BT96" s="2"/>
      <c r="BU96" s="2"/>
      <c r="BV96" s="2"/>
      <c r="BW96" s="2"/>
      <c r="BX96" s="2"/>
      <c r="BY96" s="2"/>
      <c r="BZ96" s="2"/>
      <c r="CA96" s="2"/>
    </row>
    <row r="97" spans="1:79" ht="15.75" thickBot="1" x14ac:dyDescent="0.3">
      <c r="A97" s="2"/>
      <c r="G97" s="193"/>
      <c r="H97" s="193"/>
      <c r="I97" s="193"/>
      <c r="J97" s="193"/>
      <c r="K97" s="193"/>
      <c r="L97" s="193"/>
      <c r="N97" s="922"/>
      <c r="O97" s="916">
        <f t="shared" si="18"/>
        <v>42.93</v>
      </c>
      <c r="P97" s="913"/>
      <c r="Q97" s="925" t="s">
        <v>414</v>
      </c>
      <c r="R97" s="925" t="s">
        <v>414</v>
      </c>
      <c r="S97" s="925">
        <f t="shared" si="17"/>
        <v>4.9400000000000013</v>
      </c>
      <c r="T97" s="925">
        <f t="shared" si="17"/>
        <v>4.9299999999999979</v>
      </c>
      <c r="U97" s="925">
        <f t="shared" si="17"/>
        <v>4.9400000000000013</v>
      </c>
      <c r="V97" s="925">
        <f t="shared" si="17"/>
        <v>4.9400000000000013</v>
      </c>
      <c r="W97" s="925">
        <f t="shared" si="17"/>
        <v>4.9400000000000013</v>
      </c>
      <c r="X97" s="925">
        <f t="shared" si="17"/>
        <v>4.9399999999999977</v>
      </c>
      <c r="Y97" s="925">
        <f t="shared" si="17"/>
        <v>4.9399999999999977</v>
      </c>
      <c r="Z97" s="925">
        <f t="shared" si="17"/>
        <v>4.9399999999999977</v>
      </c>
      <c r="AA97" s="913"/>
      <c r="AB97" s="932"/>
      <c r="AC97" s="932"/>
      <c r="AD97" s="932"/>
      <c r="AE97" s="932"/>
      <c r="AF97" s="932"/>
      <c r="AG97" s="932"/>
      <c r="AH97" s="932"/>
      <c r="AI97" s="932"/>
      <c r="AJ97" s="932"/>
      <c r="AK97" s="932"/>
      <c r="AL97" s="932"/>
      <c r="AM97" s="932"/>
      <c r="AN97" s="913"/>
      <c r="AO97" s="913"/>
      <c r="AP97" s="913"/>
      <c r="AQ97" s="913"/>
      <c r="AR97" s="913"/>
      <c r="AS97" s="913"/>
      <c r="AT97" s="913"/>
      <c r="AU97" s="913"/>
      <c r="AV97" s="913"/>
      <c r="AW97" s="923"/>
      <c r="BS97" s="2"/>
      <c r="BT97" s="2"/>
      <c r="BU97" s="2"/>
      <c r="BV97" s="2"/>
      <c r="BW97" s="2"/>
      <c r="BX97" s="2"/>
      <c r="BY97" s="2"/>
      <c r="BZ97" s="2"/>
      <c r="CA97" s="2"/>
    </row>
    <row r="98" spans="1:79" ht="15.75" thickBot="1" x14ac:dyDescent="0.3">
      <c r="A98" s="2"/>
      <c r="G98" s="193"/>
      <c r="H98" s="193"/>
      <c r="I98" s="193"/>
      <c r="J98" s="193"/>
      <c r="K98" s="193"/>
      <c r="L98" s="193"/>
      <c r="N98" s="922"/>
      <c r="O98" s="916">
        <f t="shared" si="18"/>
        <v>47.43</v>
      </c>
      <c r="P98" s="913"/>
      <c r="Q98" s="925" t="s">
        <v>414</v>
      </c>
      <c r="R98" s="925" t="s">
        <v>414</v>
      </c>
      <c r="S98" s="925">
        <f t="shared" si="17"/>
        <v>5.41</v>
      </c>
      <c r="T98" s="925">
        <f t="shared" si="17"/>
        <v>5.4</v>
      </c>
      <c r="U98" s="925">
        <f t="shared" si="17"/>
        <v>5.41</v>
      </c>
      <c r="V98" s="925">
        <f t="shared" si="17"/>
        <v>5.41</v>
      </c>
      <c r="W98" s="925">
        <f t="shared" si="17"/>
        <v>5.4099999999999966</v>
      </c>
      <c r="X98" s="925">
        <f t="shared" si="17"/>
        <v>5.4100000000000037</v>
      </c>
      <c r="Y98" s="925">
        <f t="shared" si="17"/>
        <v>5.3999999999999986</v>
      </c>
      <c r="Z98" s="925">
        <f t="shared" si="17"/>
        <v>5.4100000000000037</v>
      </c>
      <c r="AA98" s="913"/>
      <c r="AB98" s="932"/>
      <c r="AC98" s="932"/>
      <c r="AD98" s="932"/>
      <c r="AE98" s="932"/>
      <c r="AF98" s="932"/>
      <c r="AG98" s="932"/>
      <c r="AH98" s="932"/>
      <c r="AI98" s="932"/>
      <c r="AJ98" s="932"/>
      <c r="AK98" s="932"/>
      <c r="AL98" s="932"/>
      <c r="AM98" s="932"/>
      <c r="AN98" s="913"/>
      <c r="AO98" s="913"/>
      <c r="AP98" s="913"/>
      <c r="AQ98" s="913"/>
      <c r="AR98" s="913"/>
      <c r="AS98" s="913"/>
      <c r="AT98" s="913"/>
      <c r="AU98" s="913"/>
      <c r="AV98" s="913"/>
      <c r="AW98" s="923"/>
      <c r="BS98" s="2"/>
      <c r="BT98" s="2"/>
      <c r="BU98" s="2"/>
      <c r="BV98" s="2"/>
      <c r="BW98" s="2"/>
      <c r="BX98" s="2"/>
      <c r="BY98" s="2"/>
      <c r="BZ98" s="2"/>
      <c r="CA98" s="2"/>
    </row>
    <row r="99" spans="1:79" ht="15.75" thickBot="1" x14ac:dyDescent="0.3">
      <c r="A99" s="2"/>
      <c r="G99" s="193"/>
      <c r="H99" s="193"/>
      <c r="I99" s="193"/>
      <c r="J99" s="193"/>
      <c r="K99" s="193"/>
      <c r="L99" s="193"/>
      <c r="N99" s="922"/>
      <c r="O99" s="916">
        <f t="shared" si="18"/>
        <v>51.93</v>
      </c>
      <c r="P99" s="913"/>
      <c r="Q99" s="925" t="s">
        <v>414</v>
      </c>
      <c r="R99" s="925" t="s">
        <v>414</v>
      </c>
      <c r="S99" s="925">
        <f t="shared" si="17"/>
        <v>5.8900000000000023</v>
      </c>
      <c r="T99" s="925">
        <f t="shared" si="17"/>
        <v>5.879999999999999</v>
      </c>
      <c r="U99" s="925">
        <f t="shared" si="17"/>
        <v>5.879999999999999</v>
      </c>
      <c r="V99" s="925">
        <f t="shared" si="17"/>
        <v>5.8900000000000006</v>
      </c>
      <c r="W99" s="925">
        <f t="shared" si="17"/>
        <v>5.8800000000000026</v>
      </c>
      <c r="X99" s="925">
        <f t="shared" si="17"/>
        <v>5.8900000000000006</v>
      </c>
      <c r="Y99" s="925">
        <f t="shared" si="17"/>
        <v>5.8799999999999955</v>
      </c>
      <c r="Z99" s="925">
        <f t="shared" si="17"/>
        <v>5.8900000000000006</v>
      </c>
      <c r="AA99" s="913"/>
      <c r="AB99" s="932"/>
      <c r="AC99" s="932"/>
      <c r="AD99" s="932"/>
      <c r="AE99" s="932"/>
      <c r="AF99" s="932"/>
      <c r="AG99" s="932"/>
      <c r="AH99" s="932"/>
      <c r="AI99" s="932"/>
      <c r="AJ99" s="932"/>
      <c r="AK99" s="932"/>
      <c r="AL99" s="932"/>
      <c r="AM99" s="932"/>
      <c r="AN99" s="913"/>
      <c r="AO99" s="913"/>
      <c r="AP99" s="913"/>
      <c r="AQ99" s="913"/>
      <c r="AR99" s="913"/>
      <c r="AS99" s="913"/>
      <c r="AT99" s="913"/>
      <c r="AU99" s="913"/>
      <c r="AV99" s="913"/>
      <c r="AW99" s="923"/>
      <c r="BS99" s="2"/>
      <c r="BT99" s="2"/>
      <c r="BU99" s="2"/>
      <c r="BV99" s="2"/>
      <c r="BW99" s="2"/>
      <c r="BX99" s="2"/>
      <c r="BY99" s="2"/>
      <c r="BZ99" s="2"/>
      <c r="CA99" s="2"/>
    </row>
    <row r="100" spans="1:79" ht="15.75" thickBot="1" x14ac:dyDescent="0.3">
      <c r="A100" s="2"/>
      <c r="G100" s="193"/>
      <c r="H100" s="193"/>
      <c r="I100" s="193"/>
      <c r="J100" s="193"/>
      <c r="K100" s="193"/>
      <c r="L100" s="193"/>
      <c r="N100" s="922"/>
      <c r="O100" s="916">
        <f t="shared" si="18"/>
        <v>56.43</v>
      </c>
      <c r="P100" s="913"/>
      <c r="Q100" s="925" t="s">
        <v>414</v>
      </c>
      <c r="R100" s="925" t="s">
        <v>414</v>
      </c>
      <c r="S100" s="925">
        <f t="shared" si="17"/>
        <v>6.3599999999999994</v>
      </c>
      <c r="T100" s="925">
        <f t="shared" si="17"/>
        <v>6.370000000000001</v>
      </c>
      <c r="U100" s="925">
        <f t="shared" si="17"/>
        <v>6.3599999999999994</v>
      </c>
      <c r="V100" s="925">
        <f t="shared" si="17"/>
        <v>6.3599999999999994</v>
      </c>
      <c r="W100" s="925">
        <f t="shared" si="17"/>
        <v>6.3599999999999994</v>
      </c>
      <c r="X100" s="925">
        <f t="shared" si="17"/>
        <v>6.3599999999999994</v>
      </c>
      <c r="Y100" s="925">
        <f t="shared" si="17"/>
        <v>6.3599999999999994</v>
      </c>
      <c r="Z100" s="925">
        <f t="shared" si="17"/>
        <v>6.3599999999999994</v>
      </c>
      <c r="AA100" s="913"/>
      <c r="AB100" s="932"/>
      <c r="AC100" s="932"/>
      <c r="AD100" s="932"/>
      <c r="AE100" s="932"/>
      <c r="AF100" s="932"/>
      <c r="AG100" s="932"/>
      <c r="AH100" s="932"/>
      <c r="AI100" s="932"/>
      <c r="AJ100" s="932"/>
      <c r="AK100" s="932"/>
      <c r="AL100" s="932"/>
      <c r="AM100" s="932"/>
      <c r="AN100" s="913"/>
      <c r="AO100" s="913"/>
      <c r="AP100" s="913"/>
      <c r="AQ100" s="913"/>
      <c r="AR100" s="913"/>
      <c r="AS100" s="913"/>
      <c r="AT100" s="913"/>
      <c r="AU100" s="913"/>
      <c r="AV100" s="913"/>
      <c r="AW100" s="923"/>
      <c r="BS100" s="2"/>
      <c r="BT100" s="2"/>
      <c r="BU100" s="2"/>
      <c r="BV100" s="2"/>
      <c r="BW100" s="2"/>
      <c r="BX100" s="2"/>
      <c r="BY100" s="2"/>
      <c r="BZ100" s="2"/>
      <c r="CA100" s="2"/>
    </row>
    <row r="101" spans="1:79" ht="15.75" thickBot="1" x14ac:dyDescent="0.3">
      <c r="A101" s="2"/>
      <c r="G101" s="436"/>
      <c r="H101" s="436"/>
      <c r="I101" s="436"/>
      <c r="J101" s="193"/>
      <c r="K101" s="193"/>
      <c r="L101" s="193"/>
      <c r="N101" s="922"/>
      <c r="O101" s="916">
        <f t="shared" si="18"/>
        <v>60.93</v>
      </c>
      <c r="P101" s="913"/>
      <c r="Q101" s="925" t="s">
        <v>414</v>
      </c>
      <c r="R101" s="925" t="s">
        <v>414</v>
      </c>
      <c r="S101" s="925">
        <f t="shared" si="17"/>
        <v>6.83</v>
      </c>
      <c r="T101" s="925">
        <f t="shared" si="17"/>
        <v>6.84</v>
      </c>
      <c r="U101" s="925">
        <f t="shared" si="17"/>
        <v>6.8400000000000034</v>
      </c>
      <c r="V101" s="925">
        <f t="shared" si="17"/>
        <v>6.8400000000000034</v>
      </c>
      <c r="W101" s="925">
        <f t="shared" si="17"/>
        <v>6.8400000000000034</v>
      </c>
      <c r="X101" s="925">
        <f t="shared" si="17"/>
        <v>6.8400000000000034</v>
      </c>
      <c r="Y101" s="925">
        <f t="shared" si="17"/>
        <v>6.8400000000000034</v>
      </c>
      <c r="Z101" s="925">
        <f t="shared" si="17"/>
        <v>6.8400000000000034</v>
      </c>
      <c r="AA101" s="913"/>
      <c r="AB101" s="932"/>
      <c r="AC101" s="932"/>
      <c r="AD101" s="932"/>
      <c r="AE101" s="932"/>
      <c r="AF101" s="932"/>
      <c r="AG101" s="932"/>
      <c r="AH101" s="932"/>
      <c r="AI101" s="932"/>
      <c r="AJ101" s="932"/>
      <c r="AK101" s="932"/>
      <c r="AL101" s="932"/>
      <c r="AM101" s="932"/>
      <c r="AN101" s="913"/>
      <c r="AO101" s="913"/>
      <c r="AP101" s="913"/>
      <c r="AQ101" s="913"/>
      <c r="AR101" s="913"/>
      <c r="AS101" s="913"/>
      <c r="AT101" s="913"/>
      <c r="AU101" s="913"/>
      <c r="AV101" s="913"/>
      <c r="AW101" s="923"/>
      <c r="BS101" s="2"/>
      <c r="BT101" s="2"/>
      <c r="BU101" s="2"/>
      <c r="BV101" s="2"/>
      <c r="BW101" s="2"/>
      <c r="BX101" s="2"/>
      <c r="BY101" s="2"/>
      <c r="BZ101" s="2"/>
      <c r="CA101" s="2"/>
    </row>
    <row r="102" spans="1:79" ht="15.75" thickBot="1" x14ac:dyDescent="0.3">
      <c r="A102" s="2"/>
      <c r="G102" s="436"/>
      <c r="H102" s="436"/>
      <c r="I102" s="436"/>
      <c r="J102" s="193"/>
      <c r="K102" s="193"/>
      <c r="L102" s="193"/>
      <c r="N102" s="922"/>
      <c r="O102" s="916">
        <f t="shared" si="18"/>
        <v>65.430000000000007</v>
      </c>
      <c r="P102" s="913"/>
      <c r="Q102" s="925" t="s">
        <v>414</v>
      </c>
      <c r="R102" s="925" t="s">
        <v>414</v>
      </c>
      <c r="S102" s="925">
        <f t="shared" si="17"/>
        <v>7.3099999999999987</v>
      </c>
      <c r="T102" s="925">
        <f t="shared" si="17"/>
        <v>7.32</v>
      </c>
      <c r="U102" s="925">
        <f t="shared" si="17"/>
        <v>7.3099999999999987</v>
      </c>
      <c r="V102" s="925">
        <f t="shared" si="17"/>
        <v>7.32</v>
      </c>
      <c r="W102" s="925">
        <f t="shared" si="17"/>
        <v>7.3100000000000023</v>
      </c>
      <c r="X102" s="925">
        <f t="shared" si="17"/>
        <v>7.32</v>
      </c>
      <c r="Y102" s="925">
        <f t="shared" si="17"/>
        <v>7.3100000000000023</v>
      </c>
      <c r="Z102" s="925">
        <f t="shared" si="17"/>
        <v>7.3199999999999932</v>
      </c>
      <c r="AA102" s="913"/>
      <c r="AB102" s="932"/>
      <c r="AC102" s="932"/>
      <c r="AD102" s="932"/>
      <c r="AE102" s="932"/>
      <c r="AF102" s="932"/>
      <c r="AG102" s="932"/>
      <c r="AH102" s="932"/>
      <c r="AI102" s="932"/>
      <c r="AJ102" s="932"/>
      <c r="AK102" s="932"/>
      <c r="AL102" s="932"/>
      <c r="AM102" s="932"/>
      <c r="AN102" s="913"/>
      <c r="AO102" s="913"/>
      <c r="AP102" s="913"/>
      <c r="AQ102" s="913"/>
      <c r="AR102" s="913"/>
      <c r="AS102" s="913"/>
      <c r="AT102" s="913"/>
      <c r="AU102" s="913"/>
      <c r="AV102" s="913"/>
      <c r="AW102" s="923"/>
      <c r="BS102" s="2"/>
      <c r="BT102" s="2"/>
      <c r="BU102" s="2"/>
      <c r="BV102" s="2"/>
      <c r="BW102" s="2"/>
      <c r="BX102" s="2"/>
      <c r="BY102" s="2"/>
      <c r="BZ102" s="2"/>
      <c r="CA102" s="2"/>
    </row>
    <row r="103" spans="1:79" ht="15.75" thickBot="1" x14ac:dyDescent="0.3">
      <c r="A103" s="2"/>
      <c r="G103" s="436"/>
      <c r="H103" s="436"/>
      <c r="I103" s="436"/>
      <c r="J103" s="193"/>
      <c r="K103" s="193"/>
      <c r="L103" s="193"/>
      <c r="N103" s="922"/>
      <c r="O103" s="916">
        <f t="shared" si="18"/>
        <v>69.930000000000007</v>
      </c>
      <c r="P103" s="913"/>
      <c r="Q103" s="925" t="s">
        <v>414</v>
      </c>
      <c r="R103" s="925" t="s">
        <v>414</v>
      </c>
      <c r="S103" s="925">
        <f t="shared" si="17"/>
        <v>7.7899999999999991</v>
      </c>
      <c r="T103" s="925">
        <f t="shared" si="17"/>
        <v>7.7900000000000027</v>
      </c>
      <c r="U103" s="925">
        <f t="shared" si="17"/>
        <v>7.7999999999999972</v>
      </c>
      <c r="V103" s="925">
        <f t="shared" si="17"/>
        <v>7.7899999999999991</v>
      </c>
      <c r="W103" s="925">
        <f t="shared" si="17"/>
        <v>7.7899999999999991</v>
      </c>
      <c r="X103" s="925">
        <f t="shared" si="17"/>
        <v>7.7900000000000063</v>
      </c>
      <c r="Y103" s="925">
        <f t="shared" si="17"/>
        <v>7.789999999999992</v>
      </c>
      <c r="Z103" s="925">
        <f t="shared" si="17"/>
        <v>7.7900000000000063</v>
      </c>
      <c r="AA103" s="913"/>
      <c r="AB103" s="932"/>
      <c r="AC103" s="932"/>
      <c r="AD103" s="932"/>
      <c r="AE103" s="932"/>
      <c r="AF103" s="932"/>
      <c r="AG103" s="932"/>
      <c r="AH103" s="932"/>
      <c r="AI103" s="932"/>
      <c r="AJ103" s="932"/>
      <c r="AK103" s="913"/>
      <c r="AL103" s="913"/>
      <c r="AM103" s="913"/>
      <c r="AN103" s="913"/>
      <c r="AO103" s="913"/>
      <c r="AP103" s="913"/>
      <c r="AQ103" s="913"/>
      <c r="AR103" s="913"/>
      <c r="AS103" s="913"/>
      <c r="AT103" s="913"/>
      <c r="AU103" s="913"/>
      <c r="AV103" s="913"/>
      <c r="AW103" s="923"/>
      <c r="BS103" s="2"/>
      <c r="BT103" s="2"/>
      <c r="BU103" s="2"/>
      <c r="BV103" s="2"/>
      <c r="BW103" s="2"/>
      <c r="BX103" s="2"/>
      <c r="BY103" s="2"/>
      <c r="BZ103" s="2"/>
      <c r="CA103" s="2"/>
    </row>
    <row r="104" spans="1:79" ht="15.75" thickBot="1" x14ac:dyDescent="0.3">
      <c r="G104" s="436"/>
      <c r="H104" s="436"/>
      <c r="I104" s="436"/>
      <c r="J104" s="193"/>
      <c r="K104" s="193"/>
      <c r="L104" s="193"/>
      <c r="N104" s="922"/>
      <c r="O104" s="916">
        <f t="shared" si="18"/>
        <v>74.430000000000007</v>
      </c>
      <c r="P104" s="913"/>
      <c r="Q104" s="925" t="s">
        <v>414</v>
      </c>
      <c r="R104" s="925" t="s">
        <v>414</v>
      </c>
      <c r="S104" s="925">
        <f t="shared" si="17"/>
        <v>8.259999999999998</v>
      </c>
      <c r="T104" s="925">
        <f t="shared" si="17"/>
        <v>8.27</v>
      </c>
      <c r="U104" s="925">
        <f t="shared" si="17"/>
        <v>8.2700000000000031</v>
      </c>
      <c r="V104" s="925">
        <f t="shared" si="17"/>
        <v>8.2700000000000031</v>
      </c>
      <c r="W104" s="925">
        <f t="shared" si="17"/>
        <v>8.269999999999996</v>
      </c>
      <c r="X104" s="925">
        <f t="shared" si="17"/>
        <v>8.269999999999996</v>
      </c>
      <c r="Y104" s="925">
        <f t="shared" si="17"/>
        <v>8.269999999999996</v>
      </c>
      <c r="Z104" s="925">
        <f t="shared" si="17"/>
        <v>8.269999999999996</v>
      </c>
      <c r="AA104" s="913"/>
      <c r="AB104" s="932"/>
      <c r="AC104" s="932"/>
      <c r="AD104" s="932"/>
      <c r="AE104" s="932"/>
      <c r="AF104" s="932"/>
      <c r="AG104" s="932"/>
      <c r="AH104" s="932"/>
      <c r="AI104" s="932"/>
      <c r="AJ104" s="932"/>
      <c r="AK104" s="913"/>
      <c r="AL104" s="913"/>
      <c r="AM104" s="913"/>
      <c r="AN104" s="913"/>
      <c r="AO104" s="913"/>
      <c r="AP104" s="913"/>
      <c r="AQ104" s="913"/>
      <c r="AR104" s="913"/>
      <c r="AS104" s="913"/>
      <c r="AT104" s="913"/>
      <c r="AU104" s="913"/>
      <c r="AV104" s="913"/>
      <c r="AW104" s="923"/>
      <c r="BS104" s="2"/>
      <c r="BT104" s="2"/>
      <c r="BU104" s="2"/>
      <c r="BV104" s="2"/>
      <c r="BW104" s="2"/>
      <c r="BX104" s="2"/>
      <c r="BY104" s="2"/>
      <c r="BZ104" s="2"/>
      <c r="CA104" s="2"/>
    </row>
    <row r="105" spans="1:79" ht="15.75" thickBot="1" x14ac:dyDescent="0.3">
      <c r="G105" s="436"/>
      <c r="H105" s="436"/>
      <c r="I105" s="436"/>
      <c r="J105" s="193"/>
      <c r="K105" s="193"/>
      <c r="L105" s="193"/>
      <c r="N105" s="922"/>
      <c r="O105" s="916"/>
      <c r="P105" s="913"/>
      <c r="Q105" s="925"/>
      <c r="R105" s="925"/>
      <c r="S105" s="925"/>
      <c r="T105" s="925"/>
      <c r="U105" s="925"/>
      <c r="V105" s="925"/>
      <c r="W105" s="925"/>
      <c r="X105" s="925"/>
      <c r="Y105" s="925"/>
      <c r="Z105" s="925"/>
      <c r="AA105" s="913"/>
      <c r="AB105" s="932"/>
      <c r="AC105" s="932"/>
      <c r="AD105" s="932"/>
      <c r="AE105" s="932"/>
      <c r="AF105" s="932"/>
      <c r="AG105" s="932"/>
      <c r="AH105" s="932"/>
      <c r="AI105" s="932"/>
      <c r="AJ105" s="932"/>
      <c r="AK105" s="913"/>
      <c r="AL105" s="913"/>
      <c r="AM105" s="913"/>
      <c r="AN105" s="913"/>
      <c r="AO105" s="913"/>
      <c r="AP105" s="913"/>
      <c r="AQ105" s="913"/>
      <c r="AR105" s="913"/>
      <c r="AS105" s="913"/>
      <c r="AT105" s="913"/>
      <c r="AU105" s="913"/>
      <c r="AV105" s="913"/>
      <c r="AW105" s="923"/>
      <c r="BS105" s="2"/>
      <c r="BT105" s="2"/>
      <c r="BU105" s="2"/>
      <c r="BV105" s="2"/>
      <c r="BW105" s="2"/>
      <c r="BX105" s="2"/>
      <c r="BY105" s="2"/>
      <c r="BZ105" s="2"/>
      <c r="CA105" s="2"/>
    </row>
    <row r="106" spans="1:79" ht="15.75" thickBot="1" x14ac:dyDescent="0.3">
      <c r="G106" s="193"/>
      <c r="H106" s="193"/>
      <c r="I106" s="193"/>
      <c r="J106" s="193"/>
      <c r="K106" s="193"/>
      <c r="L106" s="193"/>
      <c r="N106" s="922"/>
      <c r="O106" s="916"/>
      <c r="P106" s="913"/>
      <c r="Q106" s="925"/>
      <c r="R106" s="925"/>
      <c r="S106" s="925"/>
      <c r="T106" s="925"/>
      <c r="U106" s="925"/>
      <c r="V106" s="925"/>
      <c r="W106" s="925"/>
      <c r="X106" s="925"/>
      <c r="Y106" s="925"/>
      <c r="Z106" s="925"/>
      <c r="AA106" s="913"/>
      <c r="AB106" s="932"/>
      <c r="AC106" s="932"/>
      <c r="AD106" s="932"/>
      <c r="AE106" s="932"/>
      <c r="AF106" s="932"/>
      <c r="AG106" s="932"/>
      <c r="AH106" s="932"/>
      <c r="AI106" s="932"/>
      <c r="AJ106" s="932"/>
      <c r="AK106" s="913"/>
      <c r="AL106" s="913"/>
      <c r="AM106" s="913"/>
      <c r="AN106" s="913"/>
      <c r="AO106" s="913"/>
      <c r="AP106" s="913"/>
      <c r="AQ106" s="913"/>
      <c r="AR106" s="913"/>
      <c r="AS106" s="913"/>
      <c r="AT106" s="913"/>
      <c r="AU106" s="913"/>
      <c r="AV106" s="913"/>
      <c r="AW106" s="923"/>
      <c r="BS106" s="2"/>
      <c r="BT106" s="2"/>
      <c r="BU106" s="2"/>
      <c r="BV106" s="2"/>
      <c r="BW106" s="2"/>
      <c r="BX106" s="2"/>
      <c r="BY106" s="2"/>
      <c r="BZ106" s="2"/>
      <c r="CA106" s="2"/>
    </row>
    <row r="107" spans="1:79" ht="18.75" x14ac:dyDescent="0.3">
      <c r="G107" s="193"/>
      <c r="H107" s="193"/>
      <c r="I107" s="658"/>
      <c r="J107" s="658"/>
      <c r="K107" s="658"/>
      <c r="L107" s="193"/>
      <c r="N107" s="922"/>
      <c r="O107" s="913"/>
      <c r="P107" s="913"/>
      <c r="Q107" s="913"/>
      <c r="R107" s="913"/>
      <c r="S107" s="913"/>
      <c r="T107" s="913"/>
      <c r="U107" s="913"/>
      <c r="V107" s="913"/>
      <c r="W107" s="913"/>
      <c r="X107" s="913"/>
      <c r="Y107" s="913"/>
      <c r="Z107" s="913"/>
      <c r="AA107" s="913"/>
      <c r="AB107" s="932"/>
      <c r="AC107" s="932"/>
      <c r="AD107" s="932"/>
      <c r="AE107" s="932"/>
      <c r="AF107" s="932"/>
      <c r="AG107" s="932"/>
      <c r="AH107" s="932"/>
      <c r="AI107" s="932"/>
      <c r="AJ107" s="932"/>
      <c r="AK107" s="913"/>
      <c r="AL107" s="913"/>
      <c r="AM107" s="913"/>
      <c r="AN107" s="913"/>
      <c r="AO107" s="913"/>
      <c r="AP107" s="913"/>
      <c r="AQ107" s="913"/>
      <c r="AR107" s="913"/>
      <c r="AS107" s="913"/>
      <c r="AT107" s="913"/>
      <c r="AU107" s="913"/>
      <c r="AV107" s="913"/>
      <c r="AW107" s="923"/>
    </row>
    <row r="108" spans="1:79" ht="19.5" thickBot="1" x14ac:dyDescent="0.35">
      <c r="G108" s="425"/>
      <c r="H108" s="193"/>
      <c r="I108" s="658"/>
      <c r="J108" s="658"/>
      <c r="K108" s="658"/>
      <c r="L108" s="193"/>
      <c r="N108" s="922"/>
      <c r="O108" s="913" t="s">
        <v>416</v>
      </c>
      <c r="P108" s="913"/>
      <c r="Q108" s="924"/>
      <c r="R108" s="924"/>
      <c r="S108" s="924"/>
      <c r="T108" s="924"/>
      <c r="U108" s="924"/>
      <c r="V108" s="924"/>
      <c r="W108" s="924"/>
      <c r="X108" s="924"/>
      <c r="Y108" s="924"/>
      <c r="Z108" s="924"/>
      <c r="AA108" s="913"/>
      <c r="AB108" s="932"/>
      <c r="AC108" s="932"/>
      <c r="AD108" s="932"/>
      <c r="AE108" s="932"/>
      <c r="AF108" s="932"/>
      <c r="AG108" s="932"/>
      <c r="AH108" s="932"/>
      <c r="AI108" s="932"/>
      <c r="AJ108" s="932"/>
      <c r="AK108" s="913"/>
      <c r="AL108" s="913"/>
      <c r="AM108" s="913"/>
      <c r="AN108" s="913"/>
      <c r="AO108" s="913"/>
      <c r="AP108" s="913"/>
      <c r="AQ108" s="913"/>
      <c r="AR108" s="913"/>
      <c r="AS108" s="913"/>
      <c r="AT108" s="913"/>
      <c r="AU108" s="913"/>
      <c r="AV108" s="913"/>
      <c r="AW108" s="923"/>
    </row>
    <row r="109" spans="1:79" ht="19.5" thickBot="1" x14ac:dyDescent="0.35">
      <c r="G109" s="193"/>
      <c r="H109" s="193"/>
      <c r="I109" s="193"/>
      <c r="J109" s="658"/>
      <c r="K109" s="658"/>
      <c r="L109" s="193"/>
      <c r="N109" s="922"/>
      <c r="O109" s="913"/>
      <c r="P109" s="913"/>
      <c r="Q109" s="914">
        <v>9</v>
      </c>
      <c r="R109" s="915">
        <v>12</v>
      </c>
      <c r="S109" s="915">
        <f t="shared" ref="S109:Z109" si="19">R109+6</f>
        <v>18</v>
      </c>
      <c r="T109" s="915">
        <f t="shared" si="19"/>
        <v>24</v>
      </c>
      <c r="U109" s="915">
        <f t="shared" si="19"/>
        <v>30</v>
      </c>
      <c r="V109" s="915">
        <f t="shared" si="19"/>
        <v>36</v>
      </c>
      <c r="W109" s="915">
        <f t="shared" si="19"/>
        <v>42</v>
      </c>
      <c r="X109" s="915">
        <f t="shared" si="19"/>
        <v>48</v>
      </c>
      <c r="Y109" s="915">
        <f t="shared" si="19"/>
        <v>54</v>
      </c>
      <c r="Z109" s="915">
        <f t="shared" si="19"/>
        <v>60</v>
      </c>
      <c r="AA109" s="913" t="s">
        <v>413</v>
      </c>
      <c r="AB109" s="932"/>
      <c r="AC109" s="932"/>
      <c r="AD109" s="932"/>
      <c r="AE109" s="932"/>
      <c r="AF109" s="932"/>
      <c r="AG109" s="932"/>
      <c r="AH109" s="932"/>
      <c r="AI109" s="932"/>
      <c r="AJ109" s="932"/>
      <c r="AK109" s="913"/>
      <c r="AL109" s="913"/>
      <c r="AM109" s="913"/>
      <c r="AN109" s="913"/>
      <c r="AO109" s="913"/>
      <c r="AP109" s="913"/>
      <c r="AQ109" s="913"/>
      <c r="AR109" s="913"/>
      <c r="AS109" s="913"/>
      <c r="AT109" s="913"/>
      <c r="AU109" s="913"/>
      <c r="AV109" s="913"/>
      <c r="AW109" s="923"/>
    </row>
    <row r="110" spans="1:79" ht="19.5" thickBot="1" x14ac:dyDescent="0.35">
      <c r="G110" s="193"/>
      <c r="H110" s="193"/>
      <c r="I110" s="193"/>
      <c r="J110" s="658"/>
      <c r="K110" s="658"/>
      <c r="L110" s="193"/>
      <c r="N110" s="922"/>
      <c r="O110" s="916">
        <f>O46</f>
        <v>15.93</v>
      </c>
      <c r="P110" s="913"/>
      <c r="Q110" s="924" t="s">
        <v>414</v>
      </c>
      <c r="R110" s="924" t="s">
        <v>414</v>
      </c>
      <c r="S110" s="924" t="s">
        <v>414</v>
      </c>
      <c r="T110" s="924" t="s">
        <v>414</v>
      </c>
      <c r="U110" s="924" t="s">
        <v>414</v>
      </c>
      <c r="V110" s="924" t="s">
        <v>414</v>
      </c>
      <c r="W110" s="924" t="s">
        <v>414</v>
      </c>
      <c r="X110" s="924" t="s">
        <v>414</v>
      </c>
      <c r="Y110" s="924" t="s">
        <v>414</v>
      </c>
      <c r="Z110" s="924" t="s">
        <v>414</v>
      </c>
      <c r="AA110" s="913" t="s">
        <v>424</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23"/>
    </row>
    <row r="111" spans="1:79" ht="19.5" thickBot="1" x14ac:dyDescent="0.35">
      <c r="G111" s="193"/>
      <c r="H111" s="193"/>
      <c r="I111" s="193"/>
      <c r="J111" s="658"/>
      <c r="K111" s="658"/>
      <c r="L111" s="193"/>
      <c r="N111" s="922"/>
      <c r="O111" s="916">
        <f t="shared" ref="O111:O123" si="20">O47</f>
        <v>20.43</v>
      </c>
      <c r="P111" s="913"/>
      <c r="Q111" s="925"/>
      <c r="R111" s="932">
        <f t="shared" ref="R111:Z123" si="21">R47-R46</f>
        <v>0.95000000000000018</v>
      </c>
      <c r="S111" s="932">
        <f t="shared" si="21"/>
        <v>1.4299999999999997</v>
      </c>
      <c r="T111" s="932">
        <f t="shared" si="21"/>
        <v>1.910000000000001</v>
      </c>
      <c r="U111" s="932">
        <f t="shared" si="21"/>
        <v>2.3900000000000023</v>
      </c>
      <c r="V111" s="932">
        <f t="shared" si="21"/>
        <v>2.8700000000000028</v>
      </c>
      <c r="W111" s="932">
        <f t="shared" si="21"/>
        <v>3.3500000000000032</v>
      </c>
      <c r="X111" s="932">
        <f t="shared" si="21"/>
        <v>3.8300000000000036</v>
      </c>
      <c r="Y111" s="932">
        <f t="shared" si="21"/>
        <v>4.3100000000000058</v>
      </c>
      <c r="Z111" s="932">
        <f t="shared" si="21"/>
        <v>4.7900000000000063</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23"/>
    </row>
    <row r="112" spans="1:79" ht="19.5" thickBot="1" x14ac:dyDescent="0.35">
      <c r="G112" s="193"/>
      <c r="H112" s="193"/>
      <c r="I112" s="193"/>
      <c r="J112" s="658"/>
      <c r="K112" s="658"/>
      <c r="L112" s="193"/>
      <c r="N112" s="922"/>
      <c r="O112" s="916">
        <f t="shared" si="20"/>
        <v>24.93</v>
      </c>
      <c r="P112" s="913"/>
      <c r="Q112" s="925"/>
      <c r="R112" s="932">
        <f t="shared" si="21"/>
        <v>0.94999999999999929</v>
      </c>
      <c r="S112" s="932">
        <f t="shared" si="21"/>
        <v>1.4299999999999997</v>
      </c>
      <c r="T112" s="932">
        <f t="shared" si="21"/>
        <v>1.8999999999999986</v>
      </c>
      <c r="U112" s="932">
        <f t="shared" si="21"/>
        <v>2.3799999999999972</v>
      </c>
      <c r="V112" s="932">
        <f t="shared" si="21"/>
        <v>2.8599999999999959</v>
      </c>
      <c r="W112" s="932">
        <f t="shared" si="21"/>
        <v>3.3399999999999963</v>
      </c>
      <c r="X112" s="932">
        <f t="shared" si="21"/>
        <v>3.7999999999999972</v>
      </c>
      <c r="Y112" s="932">
        <f t="shared" si="21"/>
        <v>4.2799999999999976</v>
      </c>
      <c r="Z112" s="932">
        <f t="shared" si="21"/>
        <v>4.759999999999998</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23"/>
    </row>
    <row r="113" spans="2:49" ht="15.75" thickBot="1" x14ac:dyDescent="0.3">
      <c r="G113" s="436"/>
      <c r="H113" s="436"/>
      <c r="I113" s="436"/>
      <c r="J113" s="193"/>
      <c r="K113" s="193"/>
      <c r="L113" s="193"/>
      <c r="N113" s="922"/>
      <c r="O113" s="916">
        <f t="shared" si="20"/>
        <v>29.43</v>
      </c>
      <c r="P113" s="913"/>
      <c r="Q113" s="925"/>
      <c r="R113" s="932">
        <f t="shared" si="21"/>
        <v>0.96</v>
      </c>
      <c r="S113" s="932">
        <f t="shared" si="21"/>
        <v>1.4299999999999997</v>
      </c>
      <c r="T113" s="932">
        <f t="shared" si="21"/>
        <v>1.9100000000000001</v>
      </c>
      <c r="U113" s="932">
        <f t="shared" si="21"/>
        <v>2.3800000000000008</v>
      </c>
      <c r="V113" s="932">
        <f t="shared" si="21"/>
        <v>2.8500000000000014</v>
      </c>
      <c r="W113" s="932">
        <f t="shared" si="21"/>
        <v>3.3300000000000018</v>
      </c>
      <c r="X113" s="932">
        <f t="shared" si="21"/>
        <v>3.8200000000000003</v>
      </c>
      <c r="Y113" s="932">
        <f t="shared" si="21"/>
        <v>4.2899999999999991</v>
      </c>
      <c r="Z113" s="932">
        <f t="shared" si="21"/>
        <v>4.759999999999998</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23"/>
    </row>
    <row r="114" spans="2:49" ht="15.75" thickBot="1" x14ac:dyDescent="0.3">
      <c r="G114" s="436"/>
      <c r="H114" s="436"/>
      <c r="I114" s="436"/>
      <c r="J114" s="193"/>
      <c r="K114" s="193"/>
      <c r="L114" s="193"/>
      <c r="N114" s="922"/>
      <c r="O114" s="916">
        <f t="shared" si="20"/>
        <v>33.93</v>
      </c>
      <c r="P114" s="913"/>
      <c r="Q114" s="925"/>
      <c r="R114" s="932">
        <f t="shared" si="21"/>
        <v>0.95000000000000018</v>
      </c>
      <c r="S114" s="932">
        <f t="shared" si="21"/>
        <v>1.4299999999999997</v>
      </c>
      <c r="T114" s="932">
        <f t="shared" si="21"/>
        <v>1.9100000000000001</v>
      </c>
      <c r="U114" s="932">
        <f t="shared" si="21"/>
        <v>2.379999999999999</v>
      </c>
      <c r="V114" s="932">
        <f t="shared" si="21"/>
        <v>2.8599999999999994</v>
      </c>
      <c r="W114" s="932">
        <f t="shared" si="21"/>
        <v>3.3299999999999983</v>
      </c>
      <c r="X114" s="932">
        <f t="shared" si="21"/>
        <v>3.8099999999999987</v>
      </c>
      <c r="Y114" s="932">
        <f t="shared" si="21"/>
        <v>4.2899999999999991</v>
      </c>
      <c r="Z114" s="932">
        <f t="shared" si="21"/>
        <v>4.769999999999996</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23"/>
    </row>
    <row r="115" spans="2:49" ht="15.75" thickBot="1" x14ac:dyDescent="0.3">
      <c r="G115" s="436"/>
      <c r="H115" s="436"/>
      <c r="I115" s="436"/>
      <c r="J115" s="193"/>
      <c r="K115" s="193"/>
      <c r="L115" s="193"/>
      <c r="N115" s="922"/>
      <c r="O115" s="916">
        <f t="shared" si="20"/>
        <v>38.43</v>
      </c>
      <c r="P115" s="913"/>
      <c r="Q115" s="925"/>
      <c r="R115" s="932">
        <f t="shared" si="21"/>
        <v>0.95000000000000018</v>
      </c>
      <c r="S115" s="932">
        <f t="shared" si="21"/>
        <v>1.4300000000000015</v>
      </c>
      <c r="T115" s="932">
        <f t="shared" si="21"/>
        <v>1.8999999999999986</v>
      </c>
      <c r="U115" s="932">
        <f t="shared" si="21"/>
        <v>2.3900000000000006</v>
      </c>
      <c r="V115" s="932">
        <f t="shared" si="21"/>
        <v>2.8599999999999994</v>
      </c>
      <c r="W115" s="932">
        <f t="shared" si="21"/>
        <v>3.34</v>
      </c>
      <c r="X115" s="932">
        <f t="shared" si="21"/>
        <v>3.8099999999999987</v>
      </c>
      <c r="Y115" s="932">
        <f t="shared" si="21"/>
        <v>4.2899999999999991</v>
      </c>
      <c r="Z115" s="932">
        <f t="shared" si="21"/>
        <v>4.7600000000000051</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23"/>
    </row>
    <row r="116" spans="2:49" ht="15.75" thickBot="1" x14ac:dyDescent="0.3">
      <c r="G116" s="436"/>
      <c r="H116" s="436"/>
      <c r="I116" s="436"/>
      <c r="J116" s="193"/>
      <c r="K116" s="193"/>
      <c r="L116" s="193"/>
      <c r="N116" s="922"/>
      <c r="O116" s="916">
        <f t="shared" si="20"/>
        <v>42.93</v>
      </c>
      <c r="P116" s="913"/>
      <c r="Q116" s="925"/>
      <c r="R116" s="932">
        <f t="shared" si="21"/>
        <v>0.94999999999999929</v>
      </c>
      <c r="S116" s="932">
        <f t="shared" si="21"/>
        <v>1.4299999999999997</v>
      </c>
      <c r="T116" s="932">
        <f t="shared" si="21"/>
        <v>1.9100000000000001</v>
      </c>
      <c r="U116" s="932">
        <f t="shared" si="21"/>
        <v>2.3900000000000006</v>
      </c>
      <c r="V116" s="932">
        <f t="shared" si="21"/>
        <v>2.8800000000000026</v>
      </c>
      <c r="W116" s="932">
        <f t="shared" si="21"/>
        <v>3.360000000000003</v>
      </c>
      <c r="X116" s="932">
        <f t="shared" si="21"/>
        <v>3.8500000000000014</v>
      </c>
      <c r="Y116" s="932">
        <f t="shared" si="21"/>
        <v>4.3299999999999983</v>
      </c>
      <c r="Z116" s="932">
        <f t="shared" si="21"/>
        <v>4.8199999999999932</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23"/>
    </row>
    <row r="117" spans="2:49" ht="15.75" thickBot="1" x14ac:dyDescent="0.3">
      <c r="G117" s="436"/>
      <c r="H117" s="436"/>
      <c r="I117" s="436"/>
      <c r="J117" s="193"/>
      <c r="K117" s="193"/>
      <c r="L117" s="193"/>
      <c r="N117" s="922"/>
      <c r="O117" s="916">
        <f t="shared" si="20"/>
        <v>47.43</v>
      </c>
      <c r="P117" s="913"/>
      <c r="Q117" s="925"/>
      <c r="R117" s="932">
        <f t="shared" si="21"/>
        <v>0.96000000000000085</v>
      </c>
      <c r="S117" s="932">
        <f t="shared" si="21"/>
        <v>1.4299999999999997</v>
      </c>
      <c r="T117" s="932">
        <f t="shared" si="21"/>
        <v>1.9000000000000021</v>
      </c>
      <c r="U117" s="932">
        <f t="shared" si="21"/>
        <v>2.370000000000001</v>
      </c>
      <c r="V117" s="932">
        <f t="shared" si="21"/>
        <v>2.84</v>
      </c>
      <c r="W117" s="932">
        <f t="shared" si="21"/>
        <v>3.3099999999999952</v>
      </c>
      <c r="X117" s="932">
        <f t="shared" si="21"/>
        <v>3.7800000000000011</v>
      </c>
      <c r="Y117" s="932">
        <f t="shared" si="21"/>
        <v>4.240000000000002</v>
      </c>
      <c r="Z117" s="932">
        <f t="shared" si="21"/>
        <v>4.710000000000008</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23"/>
    </row>
    <row r="118" spans="2:49" ht="15.75" thickBot="1" x14ac:dyDescent="0.3">
      <c r="G118" s="193"/>
      <c r="H118" s="193"/>
      <c r="I118" s="193"/>
      <c r="J118" s="193"/>
      <c r="K118" s="193"/>
      <c r="L118" s="193"/>
      <c r="N118" s="922"/>
      <c r="O118" s="916">
        <f t="shared" si="20"/>
        <v>51.93</v>
      </c>
      <c r="P118" s="913"/>
      <c r="Q118" s="925"/>
      <c r="R118" s="932">
        <f t="shared" si="21"/>
        <v>0.94999999999999929</v>
      </c>
      <c r="S118" s="932">
        <f t="shared" si="21"/>
        <v>1.4300000000000015</v>
      </c>
      <c r="T118" s="932">
        <f t="shared" si="21"/>
        <v>1.9100000000000001</v>
      </c>
      <c r="U118" s="932">
        <f t="shared" si="21"/>
        <v>2.379999999999999</v>
      </c>
      <c r="V118" s="932">
        <f t="shared" si="21"/>
        <v>2.8599999999999994</v>
      </c>
      <c r="W118" s="932">
        <f t="shared" si="21"/>
        <v>3.3300000000000054</v>
      </c>
      <c r="X118" s="932">
        <f t="shared" si="21"/>
        <v>3.8100000000000023</v>
      </c>
      <c r="Y118" s="932">
        <f t="shared" si="21"/>
        <v>4.2899999999999991</v>
      </c>
      <c r="Z118" s="932">
        <f t="shared" si="21"/>
        <v>4.769999999999996</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23"/>
    </row>
    <row r="119" spans="2:49" ht="15.75" thickBot="1" x14ac:dyDescent="0.3">
      <c r="B119" s="193"/>
      <c r="C119" s="193"/>
      <c r="D119" s="193"/>
      <c r="E119" s="193"/>
      <c r="F119" s="193"/>
      <c r="G119" s="193"/>
      <c r="H119" s="193"/>
      <c r="I119" s="193"/>
      <c r="J119" s="193"/>
      <c r="K119" s="193"/>
      <c r="L119" s="193"/>
      <c r="N119" s="922"/>
      <c r="O119" s="916">
        <f t="shared" si="20"/>
        <v>56.43</v>
      </c>
      <c r="P119" s="913"/>
      <c r="Q119" s="925"/>
      <c r="R119" s="932">
        <f t="shared" si="21"/>
        <v>0.95000000000000107</v>
      </c>
      <c r="S119" s="932">
        <f t="shared" si="21"/>
        <v>1.4199999999999982</v>
      </c>
      <c r="T119" s="932">
        <f t="shared" si="21"/>
        <v>1.9100000000000001</v>
      </c>
      <c r="U119" s="932">
        <f t="shared" si="21"/>
        <v>2.3900000000000006</v>
      </c>
      <c r="V119" s="932">
        <f t="shared" si="21"/>
        <v>2.8599999999999994</v>
      </c>
      <c r="W119" s="932">
        <f t="shared" si="21"/>
        <v>3.3399999999999963</v>
      </c>
      <c r="X119" s="932">
        <f t="shared" si="21"/>
        <v>3.8099999999999952</v>
      </c>
      <c r="Y119" s="932">
        <f t="shared" si="21"/>
        <v>4.2899999999999991</v>
      </c>
      <c r="Z119" s="932">
        <f t="shared" si="21"/>
        <v>4.759999999999998</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23"/>
    </row>
    <row r="120" spans="2:49" ht="15.75" thickBot="1" x14ac:dyDescent="0.3">
      <c r="B120" s="193"/>
      <c r="C120" s="193"/>
      <c r="D120" s="193"/>
      <c r="E120" s="193"/>
      <c r="F120" s="193"/>
      <c r="G120" s="193"/>
      <c r="H120" s="193"/>
      <c r="I120" s="193"/>
      <c r="J120" s="193"/>
      <c r="K120" s="193"/>
      <c r="L120" s="193"/>
      <c r="N120" s="922"/>
      <c r="O120" s="916">
        <f t="shared" si="20"/>
        <v>60.93</v>
      </c>
      <c r="P120" s="913"/>
      <c r="Q120" s="925"/>
      <c r="R120" s="932">
        <f t="shared" si="21"/>
        <v>0.95999999999999908</v>
      </c>
      <c r="S120" s="932">
        <f t="shared" si="21"/>
        <v>1.4299999999999997</v>
      </c>
      <c r="T120" s="932">
        <f t="shared" si="21"/>
        <v>1.8999999999999986</v>
      </c>
      <c r="U120" s="932">
        <f t="shared" si="21"/>
        <v>2.3800000000000026</v>
      </c>
      <c r="V120" s="932">
        <f t="shared" si="21"/>
        <v>2.8600000000000065</v>
      </c>
      <c r="W120" s="932">
        <f t="shared" si="21"/>
        <v>3.3400000000000105</v>
      </c>
      <c r="X120" s="932">
        <f t="shared" si="21"/>
        <v>3.8200000000000145</v>
      </c>
      <c r="Y120" s="932">
        <f t="shared" si="21"/>
        <v>4.3000000000000185</v>
      </c>
      <c r="Z120" s="932">
        <f t="shared" si="21"/>
        <v>4.7800000000000225</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23"/>
    </row>
    <row r="121" spans="2:49" ht="15.75" thickBot="1" x14ac:dyDescent="0.3">
      <c r="N121" s="922"/>
      <c r="O121" s="916">
        <f t="shared" si="20"/>
        <v>65.430000000000007</v>
      </c>
      <c r="P121" s="913"/>
      <c r="Q121" s="925"/>
      <c r="R121" s="932">
        <f t="shared" si="21"/>
        <v>0.95000000000000107</v>
      </c>
      <c r="S121" s="932">
        <f t="shared" si="21"/>
        <v>1.4299999999999997</v>
      </c>
      <c r="T121" s="932">
        <f t="shared" si="21"/>
        <v>1.9100000000000001</v>
      </c>
      <c r="U121" s="932">
        <f t="shared" si="21"/>
        <v>2.3799999999999955</v>
      </c>
      <c r="V121" s="932">
        <f t="shared" si="21"/>
        <v>2.8599999999999923</v>
      </c>
      <c r="W121" s="932">
        <f t="shared" si="21"/>
        <v>3.3299999999999912</v>
      </c>
      <c r="X121" s="932">
        <f t="shared" si="21"/>
        <v>3.8099999999999881</v>
      </c>
      <c r="Y121" s="932">
        <f t="shared" si="21"/>
        <v>4.2799999999999869</v>
      </c>
      <c r="Z121" s="932">
        <f t="shared" si="21"/>
        <v>4.7599999999999767</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23"/>
    </row>
    <row r="122" spans="2:49" ht="15.75" thickBot="1" x14ac:dyDescent="0.3">
      <c r="N122" s="922"/>
      <c r="O122" s="916">
        <f t="shared" si="20"/>
        <v>69.930000000000007</v>
      </c>
      <c r="P122" s="913"/>
      <c r="Q122" s="913"/>
      <c r="R122" s="932">
        <f t="shared" si="21"/>
        <v>0.94999999999999929</v>
      </c>
      <c r="S122" s="932">
        <f t="shared" si="21"/>
        <v>1.4299999999999997</v>
      </c>
      <c r="T122" s="932">
        <f t="shared" si="21"/>
        <v>1.9000000000000021</v>
      </c>
      <c r="U122" s="932">
        <f t="shared" si="21"/>
        <v>2.3900000000000006</v>
      </c>
      <c r="V122" s="932">
        <f t="shared" si="21"/>
        <v>2.8599999999999994</v>
      </c>
      <c r="W122" s="932">
        <f t="shared" si="21"/>
        <v>3.3399999999999963</v>
      </c>
      <c r="X122" s="932">
        <f t="shared" si="21"/>
        <v>3.8100000000000023</v>
      </c>
      <c r="Y122" s="932">
        <f t="shared" si="21"/>
        <v>4.289999999999992</v>
      </c>
      <c r="Z122" s="932">
        <f t="shared" si="21"/>
        <v>4.7600000000000051</v>
      </c>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23"/>
    </row>
    <row r="123" spans="2:49" ht="15.75" thickBot="1" x14ac:dyDescent="0.3">
      <c r="N123" s="922"/>
      <c r="O123" s="916">
        <f t="shared" si="20"/>
        <v>74.430000000000007</v>
      </c>
      <c r="P123" s="913"/>
      <c r="Q123" s="913"/>
      <c r="R123" s="932">
        <f t="shared" si="21"/>
        <v>0.96000000000000085</v>
      </c>
      <c r="S123" s="932">
        <f t="shared" si="21"/>
        <v>1.4299999999999997</v>
      </c>
      <c r="T123" s="932">
        <f t="shared" si="21"/>
        <v>1.9099999999999966</v>
      </c>
      <c r="U123" s="932">
        <f t="shared" si="21"/>
        <v>2.3800000000000026</v>
      </c>
      <c r="V123" s="932">
        <f t="shared" si="21"/>
        <v>2.8600000000000065</v>
      </c>
      <c r="W123" s="932">
        <f t="shared" si="21"/>
        <v>3.3400000000000034</v>
      </c>
      <c r="X123" s="932">
        <f t="shared" si="21"/>
        <v>3.8199999999999932</v>
      </c>
      <c r="Y123" s="932">
        <f t="shared" si="21"/>
        <v>4.2999999999999972</v>
      </c>
      <c r="Z123" s="932">
        <f t="shared" si="21"/>
        <v>4.7799999999999869</v>
      </c>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23"/>
    </row>
    <row r="124" spans="2:49" ht="15.75" thickBot="1" x14ac:dyDescent="0.3">
      <c r="N124" s="922"/>
      <c r="O124" s="916"/>
      <c r="P124" s="913"/>
      <c r="Q124" s="913"/>
      <c r="R124" s="932"/>
      <c r="S124" s="932"/>
      <c r="T124" s="932"/>
      <c r="U124" s="932"/>
      <c r="V124" s="932"/>
      <c r="W124" s="932"/>
      <c r="X124" s="932"/>
      <c r="Y124" s="932"/>
      <c r="Z124" s="932"/>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23"/>
    </row>
    <row r="125" spans="2:49" ht="15.75" thickBot="1" x14ac:dyDescent="0.3">
      <c r="N125" s="922"/>
      <c r="O125" s="916"/>
      <c r="P125" s="913"/>
      <c r="Q125" s="913"/>
      <c r="R125" s="932"/>
      <c r="S125" s="932"/>
      <c r="T125" s="932"/>
      <c r="U125" s="932"/>
      <c r="V125" s="932"/>
      <c r="W125" s="932"/>
      <c r="X125" s="932"/>
      <c r="Y125" s="932"/>
      <c r="Z125" s="932"/>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23"/>
    </row>
    <row r="126" spans="2:49" x14ac:dyDescent="0.25">
      <c r="N126" s="922"/>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23"/>
    </row>
    <row r="127" spans="2:49"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23"/>
    </row>
    <row r="128" spans="2:49" x14ac:dyDescent="0.25">
      <c r="N128" s="922"/>
      <c r="O128" s="913"/>
      <c r="P128" s="913"/>
      <c r="Q128" s="913"/>
      <c r="R128" s="913"/>
      <c r="S128" s="913"/>
      <c r="T128" s="913"/>
      <c r="U128" s="913"/>
      <c r="V128" s="913"/>
      <c r="W128" s="913"/>
      <c r="X128" s="913"/>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23"/>
    </row>
    <row r="129" spans="14:49" x14ac:dyDescent="0.25">
      <c r="N129" s="922"/>
      <c r="O129" s="913"/>
      <c r="P129" s="913"/>
      <c r="Q129" s="913"/>
      <c r="R129" s="913"/>
      <c r="S129" s="913"/>
      <c r="T129" s="913"/>
      <c r="U129" s="913"/>
      <c r="V129" s="913"/>
      <c r="W129" s="913"/>
      <c r="X129" s="913"/>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23"/>
    </row>
    <row r="130" spans="14:49" x14ac:dyDescent="0.25">
      <c r="N130" s="922"/>
      <c r="O130" s="913"/>
      <c r="P130" s="913"/>
      <c r="Q130" s="913"/>
      <c r="R130" s="913"/>
      <c r="S130" s="913"/>
      <c r="T130" s="913"/>
      <c r="U130" s="913"/>
      <c r="V130" s="913"/>
      <c r="W130" s="913"/>
      <c r="X130" s="913"/>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23"/>
    </row>
    <row r="131" spans="14:49" x14ac:dyDescent="0.25">
      <c r="N131" s="922"/>
      <c r="O131" s="913"/>
      <c r="P131" s="913"/>
      <c r="Q131" s="913"/>
      <c r="R131" s="913"/>
      <c r="S131" s="913"/>
      <c r="T131" s="913"/>
      <c r="U131" s="913"/>
      <c r="V131" s="913"/>
      <c r="W131" s="913"/>
      <c r="X131" s="913"/>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23"/>
    </row>
    <row r="132" spans="14:49" x14ac:dyDescent="0.25">
      <c r="N132" s="922"/>
      <c r="O132" s="913"/>
      <c r="P132" s="913"/>
      <c r="Q132" s="913"/>
      <c r="R132" s="913"/>
      <c r="S132" s="913"/>
      <c r="T132" s="913"/>
      <c r="U132" s="913"/>
      <c r="V132" s="913"/>
      <c r="W132" s="913"/>
      <c r="X132" s="913"/>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23"/>
    </row>
    <row r="133" spans="14:49" x14ac:dyDescent="0.25">
      <c r="N133" s="922"/>
      <c r="O133" s="913"/>
      <c r="P133" s="913"/>
      <c r="Q133" s="913"/>
      <c r="R133" s="913"/>
      <c r="S133" s="913"/>
      <c r="T133" s="913"/>
      <c r="U133" s="913"/>
      <c r="V133" s="913"/>
      <c r="W133" s="913"/>
      <c r="X133" s="913"/>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23"/>
    </row>
    <row r="134" spans="14:49" x14ac:dyDescent="0.25">
      <c r="N134" s="922"/>
      <c r="O134" s="913"/>
      <c r="P134" s="913"/>
      <c r="Q134" s="913"/>
      <c r="R134" s="913"/>
      <c r="S134" s="913"/>
      <c r="T134" s="913"/>
      <c r="U134" s="913"/>
      <c r="V134" s="913"/>
      <c r="W134" s="913"/>
      <c r="X134" s="913"/>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23"/>
    </row>
    <row r="135" spans="14:49" x14ac:dyDescent="0.25">
      <c r="N135" s="922"/>
      <c r="O135" s="913"/>
      <c r="P135" s="913"/>
      <c r="Q135" s="913"/>
      <c r="R135" s="913"/>
      <c r="S135" s="913"/>
      <c r="T135" s="913"/>
      <c r="U135" s="913"/>
      <c r="V135" s="913"/>
      <c r="W135" s="913"/>
      <c r="X135" s="913"/>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23"/>
    </row>
    <row r="136" spans="14:49"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23"/>
    </row>
    <row r="137" spans="14:49" x14ac:dyDescent="0.25">
      <c r="N137" s="922"/>
      <c r="O137" s="913"/>
      <c r="P137" s="913"/>
      <c r="Q137" s="913"/>
      <c r="R137" s="913"/>
      <c r="S137" s="913"/>
      <c r="T137" s="913"/>
      <c r="U137" s="913"/>
      <c r="V137" s="913"/>
      <c r="W137" s="913"/>
      <c r="X137" s="913"/>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23"/>
    </row>
    <row r="138" spans="14:49" x14ac:dyDescent="0.25">
      <c r="N138" s="922"/>
      <c r="O138" s="913"/>
      <c r="P138" s="913"/>
      <c r="Q138" s="913"/>
      <c r="R138" s="913"/>
      <c r="S138" s="913"/>
      <c r="T138" s="913"/>
      <c r="U138" s="913"/>
      <c r="V138" s="913"/>
      <c r="W138" s="913"/>
      <c r="X138" s="913"/>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23"/>
    </row>
    <row r="139" spans="14:49"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23"/>
    </row>
    <row r="140" spans="14:49"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23"/>
    </row>
    <row r="141" spans="14:49" ht="22.5" customHeight="1" x14ac:dyDescent="0.25">
      <c r="N141" s="922"/>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23"/>
    </row>
    <row r="142" spans="14:49"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23"/>
    </row>
    <row r="143" spans="14:49" x14ac:dyDescent="0.25">
      <c r="N143" s="922"/>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c r="AJ143" s="913"/>
      <c r="AK143" s="913"/>
      <c r="AL143" s="913"/>
      <c r="AM143" s="913"/>
      <c r="AN143" s="913"/>
      <c r="AO143" s="913"/>
      <c r="AP143" s="913"/>
      <c r="AQ143" s="913"/>
      <c r="AR143" s="913"/>
      <c r="AS143" s="913"/>
      <c r="AT143" s="913"/>
      <c r="AU143" s="913"/>
      <c r="AV143" s="913"/>
      <c r="AW143" s="923"/>
    </row>
    <row r="144" spans="14:49" x14ac:dyDescent="0.25">
      <c r="N144" s="922"/>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c r="AJ144" s="913"/>
      <c r="AK144" s="913"/>
      <c r="AL144" s="913"/>
      <c r="AM144" s="913"/>
      <c r="AN144" s="913"/>
      <c r="AO144" s="913"/>
      <c r="AP144" s="913"/>
      <c r="AQ144" s="913"/>
      <c r="AR144" s="913"/>
      <c r="AS144" s="913"/>
      <c r="AT144" s="913"/>
      <c r="AU144" s="913"/>
      <c r="AV144" s="913"/>
      <c r="AW144" s="923"/>
    </row>
    <row r="145" spans="3:49" x14ac:dyDescent="0.25">
      <c r="N145" s="922"/>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c r="AJ145" s="913"/>
      <c r="AK145" s="913"/>
      <c r="AL145" s="913"/>
      <c r="AM145" s="913"/>
      <c r="AN145" s="913"/>
      <c r="AO145" s="913"/>
      <c r="AP145" s="913"/>
      <c r="AQ145" s="913"/>
      <c r="AR145" s="913"/>
      <c r="AS145" s="913"/>
      <c r="AT145" s="913"/>
      <c r="AU145" s="913"/>
      <c r="AV145" s="913"/>
      <c r="AW145" s="923"/>
    </row>
    <row r="146" spans="3:49" x14ac:dyDescent="0.25">
      <c r="N146" s="922"/>
      <c r="O146" s="913"/>
      <c r="P146" s="913"/>
      <c r="Q146" s="913"/>
      <c r="R146" s="913"/>
      <c r="S146" s="913"/>
      <c r="T146" s="913"/>
      <c r="U146" s="913"/>
      <c r="V146" s="913"/>
      <c r="W146" s="913"/>
      <c r="X146" s="913"/>
      <c r="Y146" s="913"/>
      <c r="Z146" s="913"/>
      <c r="AA146" s="913"/>
      <c r="AB146" s="913"/>
      <c r="AC146" s="913"/>
      <c r="AD146" s="913"/>
      <c r="AE146" s="913"/>
      <c r="AF146" s="913"/>
      <c r="AG146" s="913"/>
      <c r="AH146" s="913"/>
      <c r="AI146" s="913"/>
      <c r="AJ146" s="913"/>
      <c r="AK146" s="913"/>
      <c r="AL146" s="913"/>
      <c r="AM146" s="913"/>
      <c r="AN146" s="913"/>
      <c r="AO146" s="913"/>
      <c r="AP146" s="913"/>
      <c r="AQ146" s="913"/>
      <c r="AR146" s="913"/>
      <c r="AS146" s="913"/>
      <c r="AT146" s="913"/>
      <c r="AU146" s="913"/>
      <c r="AV146" s="913"/>
      <c r="AW146" s="923"/>
    </row>
    <row r="147" spans="3:49" x14ac:dyDescent="0.25">
      <c r="N147" s="922"/>
      <c r="O147" s="913"/>
      <c r="P147" s="913"/>
      <c r="Q147" s="913"/>
      <c r="R147" s="913"/>
      <c r="S147" s="913"/>
      <c r="T147" s="913"/>
      <c r="U147" s="913"/>
      <c r="V147" s="913"/>
      <c r="W147" s="913"/>
      <c r="X147" s="913"/>
      <c r="Y147" s="913"/>
      <c r="Z147" s="913"/>
      <c r="AA147" s="913"/>
      <c r="AB147" s="913"/>
      <c r="AC147" s="913"/>
      <c r="AD147" s="913"/>
      <c r="AE147" s="913"/>
      <c r="AF147" s="913"/>
      <c r="AG147" s="913"/>
      <c r="AH147" s="913"/>
      <c r="AI147" s="913"/>
      <c r="AJ147" s="913"/>
      <c r="AK147" s="913"/>
      <c r="AL147" s="913"/>
      <c r="AM147" s="913"/>
      <c r="AN147" s="913"/>
      <c r="AO147" s="913"/>
      <c r="AP147" s="913"/>
      <c r="AQ147" s="913"/>
      <c r="AR147" s="913"/>
      <c r="AS147" s="913"/>
      <c r="AT147" s="913"/>
      <c r="AU147" s="913"/>
      <c r="AV147" s="913"/>
      <c r="AW147" s="923"/>
    </row>
    <row r="148" spans="3:49" x14ac:dyDescent="0.25">
      <c r="N148" s="922"/>
      <c r="O148" s="913"/>
      <c r="P148" s="913"/>
      <c r="Q148" s="913"/>
      <c r="R148" s="913"/>
      <c r="S148" s="913"/>
      <c r="T148" s="913"/>
      <c r="U148" s="913"/>
      <c r="V148" s="913"/>
      <c r="W148" s="913"/>
      <c r="X148" s="913"/>
      <c r="Y148" s="913"/>
      <c r="Z148" s="913"/>
      <c r="AA148" s="913"/>
      <c r="AB148" s="913"/>
      <c r="AC148" s="913"/>
      <c r="AD148" s="913"/>
      <c r="AE148" s="913"/>
      <c r="AF148" s="913"/>
      <c r="AG148" s="913"/>
      <c r="AH148" s="913"/>
      <c r="AI148" s="913"/>
      <c r="AJ148" s="913"/>
      <c r="AK148" s="913"/>
      <c r="AL148" s="913"/>
      <c r="AM148" s="913"/>
      <c r="AN148" s="913"/>
      <c r="AO148" s="913"/>
      <c r="AP148" s="913"/>
      <c r="AQ148" s="913"/>
      <c r="AR148" s="913"/>
      <c r="AS148" s="913"/>
      <c r="AT148" s="913"/>
      <c r="AU148" s="913"/>
      <c r="AV148" s="913"/>
      <c r="AW148" s="923"/>
    </row>
    <row r="149" spans="3:49" x14ac:dyDescent="0.25">
      <c r="N149" s="922"/>
      <c r="O149" s="913"/>
      <c r="P149" s="913"/>
      <c r="Q149" s="913"/>
      <c r="R149" s="913"/>
      <c r="S149" s="913"/>
      <c r="T149" s="913"/>
      <c r="U149" s="913"/>
      <c r="V149" s="913"/>
      <c r="W149" s="913"/>
      <c r="X149" s="913"/>
      <c r="Y149" s="913"/>
      <c r="Z149" s="913"/>
      <c r="AA149" s="913"/>
      <c r="AB149" s="913"/>
      <c r="AC149" s="913"/>
      <c r="AD149" s="913"/>
      <c r="AE149" s="913"/>
      <c r="AF149" s="913"/>
      <c r="AG149" s="913"/>
      <c r="AH149" s="913"/>
      <c r="AI149" s="913"/>
      <c r="AJ149" s="913"/>
      <c r="AK149" s="913"/>
      <c r="AL149" s="913"/>
      <c r="AM149" s="913"/>
      <c r="AN149" s="913"/>
      <c r="AO149" s="913"/>
      <c r="AP149" s="913"/>
      <c r="AQ149" s="913"/>
      <c r="AR149" s="913"/>
      <c r="AS149" s="913"/>
      <c r="AT149" s="913"/>
      <c r="AU149" s="913"/>
      <c r="AV149" s="913"/>
      <c r="AW149" s="923"/>
    </row>
    <row r="150" spans="3:49" x14ac:dyDescent="0.25">
      <c r="C150" s="138"/>
      <c r="N150" s="922"/>
      <c r="O150" s="913"/>
      <c r="P150" s="913"/>
      <c r="Q150" s="913"/>
      <c r="R150" s="913"/>
      <c r="S150" s="913"/>
      <c r="T150" s="913"/>
      <c r="U150" s="913"/>
      <c r="V150" s="913"/>
      <c r="W150" s="913"/>
      <c r="X150" s="913"/>
      <c r="Y150" s="913"/>
      <c r="Z150" s="913"/>
      <c r="AA150" s="913"/>
      <c r="AB150" s="913"/>
      <c r="AC150" s="913"/>
      <c r="AD150" s="913"/>
      <c r="AE150" s="913"/>
      <c r="AF150" s="913"/>
      <c r="AG150" s="913"/>
      <c r="AH150" s="913"/>
      <c r="AI150" s="913"/>
      <c r="AJ150" s="913"/>
      <c r="AK150" s="913"/>
      <c r="AL150" s="913"/>
      <c r="AM150" s="913"/>
      <c r="AN150" s="913"/>
      <c r="AO150" s="913"/>
      <c r="AP150" s="913"/>
      <c r="AQ150" s="913"/>
      <c r="AR150" s="913"/>
      <c r="AS150" s="913"/>
      <c r="AT150" s="913"/>
      <c r="AU150" s="913"/>
      <c r="AV150" s="913"/>
      <c r="AW150" s="923"/>
    </row>
    <row r="151" spans="3:49"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23"/>
    </row>
    <row r="152" spans="3:49" x14ac:dyDescent="0.25">
      <c r="N152" s="922"/>
      <c r="O152" s="913"/>
      <c r="P152" s="913"/>
      <c r="Q152" s="913"/>
      <c r="R152" s="913"/>
      <c r="S152" s="913"/>
      <c r="T152" s="913"/>
      <c r="U152" s="913"/>
      <c r="V152" s="913"/>
      <c r="W152" s="913"/>
      <c r="X152" s="913"/>
      <c r="Y152" s="913"/>
      <c r="Z152" s="913"/>
      <c r="AA152" s="913"/>
      <c r="AB152" s="913"/>
      <c r="AC152" s="913"/>
      <c r="AD152" s="913"/>
      <c r="AE152" s="913"/>
      <c r="AF152" s="913"/>
      <c r="AG152" s="913"/>
      <c r="AH152" s="913"/>
      <c r="AI152" s="913"/>
      <c r="AJ152" s="913"/>
      <c r="AK152" s="913"/>
      <c r="AL152" s="913"/>
      <c r="AM152" s="913"/>
      <c r="AN152" s="913"/>
      <c r="AO152" s="913"/>
      <c r="AP152" s="913"/>
      <c r="AQ152" s="913"/>
      <c r="AR152" s="913"/>
      <c r="AS152" s="913"/>
      <c r="AT152" s="913"/>
      <c r="AU152" s="913"/>
      <c r="AV152" s="913"/>
      <c r="AW152" s="923"/>
    </row>
    <row r="153" spans="3:49" x14ac:dyDescent="0.25">
      <c r="N153" s="922"/>
      <c r="O153" s="913"/>
      <c r="P153" s="913"/>
      <c r="Q153" s="913"/>
      <c r="R153" s="913"/>
      <c r="S153" s="913"/>
      <c r="T153" s="913"/>
      <c r="U153" s="913"/>
      <c r="V153" s="913"/>
      <c r="W153" s="913"/>
      <c r="X153" s="913"/>
      <c r="Y153" s="913"/>
      <c r="Z153" s="913"/>
      <c r="AA153" s="913"/>
      <c r="AB153" s="913"/>
      <c r="AC153" s="913"/>
      <c r="AD153" s="913"/>
      <c r="AE153" s="913"/>
      <c r="AF153" s="913"/>
      <c r="AG153" s="913"/>
      <c r="AH153" s="913"/>
      <c r="AI153" s="913"/>
      <c r="AJ153" s="913"/>
      <c r="AK153" s="913"/>
      <c r="AL153" s="913"/>
      <c r="AM153" s="913"/>
      <c r="AN153" s="913"/>
      <c r="AO153" s="913"/>
      <c r="AP153" s="913"/>
      <c r="AQ153" s="913"/>
      <c r="AR153" s="913"/>
      <c r="AS153" s="913"/>
      <c r="AT153" s="913"/>
      <c r="AU153" s="913"/>
      <c r="AV153" s="913"/>
      <c r="AW153" s="923"/>
    </row>
    <row r="154" spans="3:49"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23"/>
    </row>
    <row r="155" spans="3:49"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23"/>
    </row>
    <row r="156" spans="3:49" x14ac:dyDescent="0.25">
      <c r="N156" s="922"/>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23"/>
    </row>
    <row r="157" spans="3:49"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23"/>
    </row>
    <row r="158" spans="3:49" x14ac:dyDescent="0.25">
      <c r="N158" s="922"/>
      <c r="O158" s="913"/>
      <c r="P158" s="913"/>
      <c r="Q158" s="913"/>
      <c r="R158" s="913"/>
      <c r="S158" s="913"/>
      <c r="T158" s="913"/>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23"/>
    </row>
    <row r="159" spans="3:49" x14ac:dyDescent="0.25">
      <c r="N159" s="922"/>
      <c r="O159" s="913"/>
      <c r="P159" s="913"/>
      <c r="Q159" s="913"/>
      <c r="R159" s="913"/>
      <c r="S159" s="913"/>
      <c r="T159" s="913"/>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23"/>
    </row>
    <row r="160" spans="3:49" x14ac:dyDescent="0.25">
      <c r="N160" s="922"/>
      <c r="O160" s="913"/>
      <c r="P160" s="913"/>
      <c r="Q160" s="913"/>
      <c r="R160" s="913"/>
      <c r="S160" s="913"/>
      <c r="T160" s="913"/>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23"/>
    </row>
    <row r="161" spans="14:49" x14ac:dyDescent="0.25">
      <c r="N161" s="922"/>
      <c r="O161" s="913"/>
      <c r="P161" s="913"/>
      <c r="Q161" s="913"/>
      <c r="R161" s="913"/>
      <c r="S161" s="913"/>
      <c r="T161" s="913"/>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23"/>
    </row>
    <row r="162" spans="14:49" x14ac:dyDescent="0.25">
      <c r="N162" s="922"/>
      <c r="O162" s="913"/>
      <c r="P162" s="913"/>
      <c r="Q162" s="913"/>
      <c r="R162" s="913"/>
      <c r="S162" s="913"/>
      <c r="T162" s="913"/>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23"/>
    </row>
    <row r="163" spans="14:49" x14ac:dyDescent="0.25">
      <c r="N163" s="922"/>
      <c r="O163" s="913"/>
      <c r="P163" s="913"/>
      <c r="Q163" s="913"/>
      <c r="R163" s="913"/>
      <c r="S163" s="913"/>
      <c r="T163" s="913"/>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23"/>
    </row>
    <row r="164" spans="14:49" x14ac:dyDescent="0.25">
      <c r="N164" s="922"/>
      <c r="O164" s="913"/>
      <c r="P164" s="913"/>
      <c r="Q164" s="913"/>
      <c r="R164" s="913"/>
      <c r="S164" s="913"/>
      <c r="T164" s="913"/>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23"/>
    </row>
    <row r="165" spans="14:49" x14ac:dyDescent="0.25">
      <c r="N165" s="922"/>
      <c r="O165" s="913"/>
      <c r="P165" s="913"/>
      <c r="Q165" s="913"/>
      <c r="R165" s="913"/>
      <c r="S165" s="913"/>
      <c r="T165" s="913"/>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23"/>
    </row>
    <row r="166" spans="14:49"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23"/>
    </row>
    <row r="167" spans="14:49" x14ac:dyDescent="0.25">
      <c r="N167" s="922"/>
      <c r="O167" s="913"/>
      <c r="P167" s="913"/>
      <c r="Q167" s="913"/>
      <c r="R167" s="913"/>
      <c r="S167" s="913"/>
      <c r="T167" s="913"/>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23"/>
    </row>
    <row r="168" spans="14:49" x14ac:dyDescent="0.25">
      <c r="N168" s="922"/>
      <c r="O168" s="913"/>
      <c r="P168" s="913"/>
      <c r="Q168" s="913"/>
      <c r="R168" s="913"/>
      <c r="S168" s="913"/>
      <c r="T168" s="913"/>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23"/>
    </row>
    <row r="169" spans="14:49"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23"/>
    </row>
    <row r="170" spans="14:49"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23"/>
    </row>
    <row r="171" spans="14:49"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23"/>
    </row>
    <row r="172" spans="14:49"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23"/>
    </row>
    <row r="173" spans="14:49"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23"/>
    </row>
    <row r="174" spans="14:49"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23"/>
    </row>
    <row r="175" spans="14:49"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23"/>
    </row>
    <row r="176" spans="14:49"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23"/>
    </row>
    <row r="177" spans="14:49"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23"/>
    </row>
    <row r="178" spans="14:49"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23"/>
    </row>
    <row r="179" spans="14:49" x14ac:dyDescent="0.25">
      <c r="N179" s="922"/>
      <c r="O179" s="913"/>
      <c r="P179" s="913"/>
      <c r="Q179" s="913"/>
      <c r="R179" s="913"/>
      <c r="S179" s="913"/>
      <c r="T179" s="913"/>
      <c r="U179" s="913"/>
      <c r="V179" s="913"/>
      <c r="W179" s="913"/>
      <c r="X179" s="913"/>
      <c r="Y179" s="913"/>
      <c r="Z179" s="913"/>
      <c r="AA179" s="913"/>
      <c r="AB179" s="913"/>
      <c r="AC179" s="913"/>
      <c r="AD179" s="913"/>
      <c r="AE179" s="913"/>
      <c r="AF179" s="913"/>
      <c r="AG179" s="913"/>
      <c r="AH179" s="913"/>
      <c r="AI179" s="913"/>
      <c r="AJ179" s="913"/>
      <c r="AK179" s="913"/>
      <c r="AL179" s="913"/>
      <c r="AM179" s="913"/>
      <c r="AN179" s="913"/>
      <c r="AO179" s="913"/>
      <c r="AP179" s="913"/>
      <c r="AQ179" s="913"/>
      <c r="AR179" s="913"/>
      <c r="AS179" s="913"/>
      <c r="AT179" s="913"/>
      <c r="AU179" s="913"/>
      <c r="AV179" s="913"/>
      <c r="AW179" s="923"/>
    </row>
    <row r="180" spans="14:49" x14ac:dyDescent="0.25">
      <c r="N180" s="922"/>
      <c r="O180" s="913"/>
      <c r="P180" s="913"/>
      <c r="Q180" s="913"/>
      <c r="R180" s="913"/>
      <c r="S180" s="913"/>
      <c r="T180" s="913"/>
      <c r="U180" s="913"/>
      <c r="V180" s="913"/>
      <c r="W180" s="913"/>
      <c r="X180" s="913"/>
      <c r="Y180" s="913"/>
      <c r="Z180" s="913"/>
      <c r="AA180" s="913"/>
      <c r="AB180" s="913"/>
      <c r="AC180" s="913"/>
      <c r="AD180" s="913"/>
      <c r="AE180" s="913"/>
      <c r="AF180" s="913"/>
      <c r="AG180" s="913"/>
      <c r="AH180" s="913"/>
      <c r="AI180" s="913"/>
      <c r="AJ180" s="913"/>
      <c r="AK180" s="913"/>
      <c r="AL180" s="913"/>
      <c r="AM180" s="913"/>
      <c r="AN180" s="913"/>
      <c r="AO180" s="913"/>
      <c r="AP180" s="913"/>
      <c r="AQ180" s="913"/>
      <c r="AR180" s="913"/>
      <c r="AS180" s="913"/>
      <c r="AT180" s="913"/>
      <c r="AU180" s="913"/>
      <c r="AV180" s="913"/>
      <c r="AW180" s="923"/>
    </row>
    <row r="181" spans="14:49" x14ac:dyDescent="0.25">
      <c r="N181" s="922"/>
      <c r="O181" s="913"/>
      <c r="P181" s="913"/>
      <c r="Q181" s="913"/>
      <c r="R181" s="913"/>
      <c r="S181" s="913"/>
      <c r="T181" s="913"/>
      <c r="U181" s="913"/>
      <c r="V181" s="913"/>
      <c r="W181" s="913"/>
      <c r="X181" s="913"/>
      <c r="Y181" s="913"/>
      <c r="Z181" s="913"/>
      <c r="AA181" s="913"/>
      <c r="AB181" s="913"/>
      <c r="AC181" s="913"/>
      <c r="AD181" s="913"/>
      <c r="AE181" s="913"/>
      <c r="AF181" s="913"/>
      <c r="AG181" s="913"/>
      <c r="AH181" s="913"/>
      <c r="AI181" s="913"/>
      <c r="AJ181" s="913"/>
      <c r="AK181" s="913"/>
      <c r="AL181" s="913"/>
      <c r="AM181" s="913"/>
      <c r="AN181" s="913"/>
      <c r="AO181" s="913"/>
      <c r="AP181" s="913"/>
      <c r="AQ181" s="913"/>
      <c r="AR181" s="913"/>
      <c r="AS181" s="913"/>
      <c r="AT181" s="913"/>
      <c r="AU181" s="913"/>
      <c r="AV181" s="913"/>
      <c r="AW181" s="923"/>
    </row>
    <row r="182" spans="14:49" x14ac:dyDescent="0.25">
      <c r="N182" s="922"/>
      <c r="O182" s="913"/>
      <c r="P182" s="913"/>
      <c r="Q182" s="913"/>
      <c r="R182" s="913"/>
      <c r="S182" s="913"/>
      <c r="T182" s="913"/>
      <c r="U182" s="913"/>
      <c r="V182" s="913"/>
      <c r="W182" s="913"/>
      <c r="X182" s="913"/>
      <c r="Y182" s="913"/>
      <c r="Z182" s="913"/>
      <c r="AA182" s="913"/>
      <c r="AB182" s="913"/>
      <c r="AC182" s="913"/>
      <c r="AD182" s="913"/>
      <c r="AE182" s="913"/>
      <c r="AF182" s="913"/>
      <c r="AG182" s="913"/>
      <c r="AH182" s="913"/>
      <c r="AI182" s="913"/>
      <c r="AJ182" s="913"/>
      <c r="AK182" s="913"/>
      <c r="AL182" s="913"/>
      <c r="AM182" s="913"/>
      <c r="AN182" s="913"/>
      <c r="AO182" s="913"/>
      <c r="AP182" s="913"/>
      <c r="AQ182" s="913"/>
      <c r="AR182" s="913"/>
      <c r="AS182" s="913"/>
      <c r="AT182" s="913"/>
      <c r="AU182" s="913"/>
      <c r="AV182" s="913"/>
      <c r="AW182" s="923"/>
    </row>
    <row r="183" spans="14:49" x14ac:dyDescent="0.25">
      <c r="N183" s="922"/>
      <c r="O183" s="913"/>
      <c r="P183" s="913"/>
      <c r="Q183" s="913"/>
      <c r="R183" s="913"/>
      <c r="S183" s="913"/>
      <c r="T183" s="913"/>
      <c r="U183" s="913"/>
      <c r="V183" s="913"/>
      <c r="W183" s="913"/>
      <c r="X183" s="913"/>
      <c r="Y183" s="913"/>
      <c r="Z183" s="913"/>
      <c r="AA183" s="913"/>
      <c r="AB183" s="913"/>
      <c r="AC183" s="913"/>
      <c r="AD183" s="913"/>
      <c r="AE183" s="913"/>
      <c r="AF183" s="913"/>
      <c r="AG183" s="913"/>
      <c r="AH183" s="913"/>
      <c r="AI183" s="913"/>
      <c r="AJ183" s="913"/>
      <c r="AK183" s="913"/>
      <c r="AL183" s="913"/>
      <c r="AM183" s="913"/>
      <c r="AN183" s="913"/>
      <c r="AO183" s="913"/>
      <c r="AP183" s="913"/>
      <c r="AQ183" s="913"/>
      <c r="AR183" s="913"/>
      <c r="AS183" s="913"/>
      <c r="AT183" s="913"/>
      <c r="AU183" s="913"/>
      <c r="AV183" s="913"/>
      <c r="AW183" s="923"/>
    </row>
    <row r="184" spans="14:49" x14ac:dyDescent="0.25">
      <c r="N184" s="922"/>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3"/>
      <c r="AK184" s="913"/>
      <c r="AL184" s="913"/>
      <c r="AM184" s="913"/>
      <c r="AN184" s="913"/>
      <c r="AO184" s="913"/>
      <c r="AP184" s="913"/>
      <c r="AQ184" s="913"/>
      <c r="AR184" s="913"/>
      <c r="AS184" s="913"/>
      <c r="AT184" s="913"/>
      <c r="AU184" s="913"/>
      <c r="AV184" s="913"/>
      <c r="AW184" s="923"/>
    </row>
    <row r="185" spans="14:49" x14ac:dyDescent="0.25">
      <c r="N185" s="922"/>
      <c r="O185" s="913"/>
      <c r="P185" s="913"/>
      <c r="Q185" s="913"/>
      <c r="R185" s="913"/>
      <c r="S185" s="913"/>
      <c r="T185" s="913"/>
      <c r="U185" s="913"/>
      <c r="V185" s="913"/>
      <c r="W185" s="913"/>
      <c r="X185" s="913"/>
      <c r="Y185" s="913"/>
      <c r="Z185" s="913"/>
      <c r="AA185" s="913"/>
      <c r="AB185" s="913"/>
      <c r="AC185" s="913"/>
      <c r="AD185" s="913"/>
      <c r="AE185" s="913"/>
      <c r="AF185" s="913"/>
      <c r="AG185" s="913"/>
      <c r="AH185" s="913"/>
      <c r="AI185" s="913"/>
      <c r="AJ185" s="913"/>
      <c r="AK185" s="913"/>
      <c r="AL185" s="913"/>
      <c r="AM185" s="913"/>
      <c r="AN185" s="913"/>
      <c r="AO185" s="913"/>
      <c r="AP185" s="913"/>
      <c r="AQ185" s="913"/>
      <c r="AR185" s="913"/>
      <c r="AS185" s="913"/>
      <c r="AT185" s="913"/>
      <c r="AU185" s="913"/>
      <c r="AV185" s="913"/>
      <c r="AW185" s="923"/>
    </row>
    <row r="186" spans="14:49" x14ac:dyDescent="0.25">
      <c r="N186" s="922"/>
      <c r="O186" s="913"/>
      <c r="P186" s="913"/>
      <c r="Q186" s="913"/>
      <c r="R186" s="913"/>
      <c r="S186" s="913"/>
      <c r="T186" s="913"/>
      <c r="U186" s="913"/>
      <c r="V186" s="913"/>
      <c r="W186" s="913"/>
      <c r="X186" s="913"/>
      <c r="Y186" s="913"/>
      <c r="Z186" s="913"/>
      <c r="AA186" s="913"/>
      <c r="AB186" s="913"/>
      <c r="AC186" s="913"/>
      <c r="AD186" s="913"/>
      <c r="AE186" s="913"/>
      <c r="AF186" s="913"/>
      <c r="AG186" s="913"/>
      <c r="AH186" s="913"/>
      <c r="AI186" s="913"/>
      <c r="AJ186" s="913"/>
      <c r="AK186" s="913"/>
      <c r="AL186" s="913"/>
      <c r="AM186" s="913"/>
      <c r="AN186" s="913"/>
      <c r="AO186" s="913"/>
      <c r="AP186" s="913"/>
      <c r="AQ186" s="913"/>
      <c r="AR186" s="913"/>
      <c r="AS186" s="913"/>
      <c r="AT186" s="913"/>
      <c r="AU186" s="913"/>
      <c r="AV186" s="913"/>
      <c r="AW186" s="923"/>
    </row>
    <row r="187" spans="14:49" x14ac:dyDescent="0.25">
      <c r="N187" s="922"/>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3"/>
      <c r="AK187" s="913"/>
      <c r="AL187" s="913"/>
      <c r="AM187" s="913"/>
      <c r="AN187" s="913"/>
      <c r="AO187" s="913"/>
      <c r="AP187" s="913"/>
      <c r="AQ187" s="913"/>
      <c r="AR187" s="913"/>
      <c r="AS187" s="913"/>
      <c r="AT187" s="913"/>
      <c r="AU187" s="913"/>
      <c r="AV187" s="913"/>
      <c r="AW187" s="923"/>
    </row>
    <row r="188" spans="14:49" x14ac:dyDescent="0.25">
      <c r="N188" s="922"/>
      <c r="O188" s="913"/>
      <c r="P188" s="913"/>
      <c r="Q188" s="913"/>
      <c r="R188" s="913"/>
      <c r="S188" s="913"/>
      <c r="T188" s="913"/>
      <c r="U188" s="913"/>
      <c r="V188" s="913"/>
      <c r="W188" s="913"/>
      <c r="X188" s="913"/>
      <c r="Y188" s="913"/>
      <c r="Z188" s="913"/>
      <c r="AA188" s="913"/>
      <c r="AB188" s="913"/>
      <c r="AC188" s="913"/>
      <c r="AD188" s="913"/>
      <c r="AE188" s="913"/>
      <c r="AF188" s="913"/>
      <c r="AG188" s="913"/>
      <c r="AH188" s="913"/>
      <c r="AI188" s="913"/>
      <c r="AJ188" s="913"/>
      <c r="AK188" s="913"/>
      <c r="AL188" s="913"/>
      <c r="AM188" s="913"/>
      <c r="AN188" s="913"/>
      <c r="AO188" s="913"/>
      <c r="AP188" s="913"/>
      <c r="AQ188" s="913"/>
      <c r="AR188" s="913"/>
      <c r="AS188" s="913"/>
      <c r="AT188" s="913"/>
      <c r="AU188" s="913"/>
      <c r="AV188" s="913"/>
      <c r="AW188" s="923"/>
    </row>
    <row r="189" spans="14:49" x14ac:dyDescent="0.25">
      <c r="N189" s="922"/>
      <c r="O189" s="913"/>
      <c r="P189" s="913"/>
      <c r="Q189" s="913"/>
      <c r="R189" s="913"/>
      <c r="S189" s="913"/>
      <c r="T189" s="913"/>
      <c r="U189" s="913"/>
      <c r="V189" s="913"/>
      <c r="W189" s="913"/>
      <c r="X189" s="913"/>
      <c r="Y189" s="913"/>
      <c r="Z189" s="913"/>
      <c r="AA189" s="913"/>
      <c r="AB189" s="913"/>
      <c r="AC189" s="913"/>
      <c r="AD189" s="913"/>
      <c r="AE189" s="913"/>
      <c r="AF189" s="913"/>
      <c r="AG189" s="913"/>
      <c r="AH189" s="913"/>
      <c r="AI189" s="913"/>
      <c r="AJ189" s="913"/>
      <c r="AK189" s="913"/>
      <c r="AL189" s="913"/>
      <c r="AM189" s="913"/>
      <c r="AN189" s="913"/>
      <c r="AO189" s="913"/>
      <c r="AP189" s="913"/>
      <c r="AQ189" s="913"/>
      <c r="AR189" s="913"/>
      <c r="AS189" s="913"/>
      <c r="AT189" s="913"/>
      <c r="AU189" s="913"/>
      <c r="AV189" s="913"/>
      <c r="AW189" s="923"/>
    </row>
    <row r="190" spans="14:49" x14ac:dyDescent="0.25">
      <c r="N190" s="922"/>
      <c r="O190" s="913"/>
      <c r="P190" s="913"/>
      <c r="Q190" s="913"/>
      <c r="R190" s="913"/>
      <c r="S190" s="913"/>
      <c r="T190" s="913"/>
      <c r="U190" s="913"/>
      <c r="V190" s="913"/>
      <c r="W190" s="913"/>
      <c r="X190" s="913"/>
      <c r="Y190" s="913"/>
      <c r="Z190" s="913"/>
      <c r="AA190" s="913"/>
      <c r="AB190" s="913"/>
      <c r="AC190" s="913"/>
      <c r="AD190" s="913"/>
      <c r="AE190" s="913"/>
      <c r="AF190" s="913"/>
      <c r="AG190" s="913"/>
      <c r="AH190" s="913"/>
      <c r="AI190" s="913"/>
      <c r="AJ190" s="913"/>
      <c r="AK190" s="913"/>
      <c r="AL190" s="913"/>
      <c r="AM190" s="913"/>
      <c r="AN190" s="913"/>
      <c r="AO190" s="913"/>
      <c r="AP190" s="913"/>
      <c r="AQ190" s="913"/>
      <c r="AR190" s="913"/>
      <c r="AS190" s="913"/>
      <c r="AT190" s="913"/>
      <c r="AU190" s="913"/>
      <c r="AV190" s="913"/>
      <c r="AW190" s="923"/>
    </row>
    <row r="191" spans="14:49" x14ac:dyDescent="0.25">
      <c r="N191" s="922"/>
      <c r="O191" s="913"/>
      <c r="P191" s="913"/>
      <c r="Q191" s="913"/>
      <c r="R191" s="913"/>
      <c r="S191" s="913"/>
      <c r="T191" s="913"/>
      <c r="U191" s="913"/>
      <c r="V191" s="913"/>
      <c r="W191" s="913"/>
      <c r="X191" s="913"/>
      <c r="Y191" s="913"/>
      <c r="Z191" s="913"/>
      <c r="AA191" s="913"/>
      <c r="AB191" s="913"/>
      <c r="AC191" s="913"/>
      <c r="AD191" s="913"/>
      <c r="AE191" s="913"/>
      <c r="AF191" s="913"/>
      <c r="AG191" s="913"/>
      <c r="AH191" s="913"/>
      <c r="AI191" s="913"/>
      <c r="AJ191" s="913"/>
      <c r="AK191" s="913"/>
      <c r="AL191" s="913"/>
      <c r="AM191" s="913"/>
      <c r="AN191" s="913"/>
      <c r="AO191" s="913"/>
      <c r="AP191" s="913"/>
      <c r="AQ191" s="913"/>
      <c r="AR191" s="913"/>
      <c r="AS191" s="913"/>
      <c r="AT191" s="913"/>
      <c r="AU191" s="913"/>
      <c r="AV191" s="913"/>
      <c r="AW191" s="923"/>
    </row>
    <row r="192" spans="14:49" x14ac:dyDescent="0.25">
      <c r="N192" s="922"/>
      <c r="O192" s="913"/>
      <c r="P192" s="913"/>
      <c r="Q192" s="913"/>
      <c r="R192" s="913"/>
      <c r="S192" s="913"/>
      <c r="T192" s="913"/>
      <c r="U192" s="913"/>
      <c r="V192" s="913"/>
      <c r="W192" s="913"/>
      <c r="X192" s="913"/>
      <c r="Y192" s="913"/>
      <c r="Z192" s="913"/>
      <c r="AA192" s="913"/>
      <c r="AB192" s="913"/>
      <c r="AC192" s="913"/>
      <c r="AD192" s="913"/>
      <c r="AE192" s="913"/>
      <c r="AF192" s="913"/>
      <c r="AG192" s="913"/>
      <c r="AH192" s="913"/>
      <c r="AI192" s="913"/>
      <c r="AJ192" s="913"/>
      <c r="AK192" s="913"/>
      <c r="AL192" s="913"/>
      <c r="AM192" s="913"/>
      <c r="AN192" s="913"/>
      <c r="AO192" s="913"/>
      <c r="AP192" s="913"/>
      <c r="AQ192" s="913"/>
      <c r="AR192" s="913"/>
      <c r="AS192" s="913"/>
      <c r="AT192" s="913"/>
      <c r="AU192" s="913"/>
      <c r="AV192" s="913"/>
      <c r="AW192" s="923"/>
    </row>
    <row r="193" spans="14:49" x14ac:dyDescent="0.25">
      <c r="N193" s="922"/>
      <c r="O193" s="913"/>
      <c r="P193" s="913"/>
      <c r="Q193" s="913"/>
      <c r="R193" s="913"/>
      <c r="S193" s="913"/>
      <c r="T193" s="913"/>
      <c r="U193" s="913"/>
      <c r="V193" s="913"/>
      <c r="W193" s="913"/>
      <c r="X193" s="913"/>
      <c r="Y193" s="913"/>
      <c r="Z193" s="913"/>
      <c r="AA193" s="913"/>
      <c r="AB193" s="913"/>
      <c r="AC193" s="913"/>
      <c r="AD193" s="913"/>
      <c r="AE193" s="913"/>
      <c r="AF193" s="913"/>
      <c r="AG193" s="913"/>
      <c r="AH193" s="913"/>
      <c r="AI193" s="913"/>
      <c r="AJ193" s="913"/>
      <c r="AK193" s="913"/>
      <c r="AL193" s="913"/>
      <c r="AM193" s="913"/>
      <c r="AN193" s="913"/>
      <c r="AO193" s="913"/>
      <c r="AP193" s="913"/>
      <c r="AQ193" s="913"/>
      <c r="AR193" s="913"/>
      <c r="AS193" s="913"/>
      <c r="AT193" s="913"/>
      <c r="AU193" s="913"/>
      <c r="AV193" s="913"/>
      <c r="AW193" s="923"/>
    </row>
    <row r="194" spans="14:49" x14ac:dyDescent="0.25">
      <c r="N194" s="922"/>
      <c r="O194" s="913"/>
      <c r="P194" s="913"/>
      <c r="Q194" s="913"/>
      <c r="R194" s="913"/>
      <c r="S194" s="913"/>
      <c r="T194" s="913"/>
      <c r="U194" s="913"/>
      <c r="V194" s="913"/>
      <c r="W194" s="913"/>
      <c r="X194" s="913"/>
      <c r="Y194" s="913"/>
      <c r="Z194" s="913"/>
      <c r="AA194" s="913"/>
      <c r="AB194" s="913"/>
      <c r="AC194" s="913"/>
      <c r="AD194" s="913"/>
      <c r="AE194" s="913"/>
      <c r="AF194" s="913"/>
      <c r="AG194" s="913"/>
      <c r="AH194" s="913"/>
      <c r="AI194" s="913"/>
      <c r="AJ194" s="913"/>
      <c r="AK194" s="913"/>
      <c r="AL194" s="913"/>
      <c r="AM194" s="913"/>
      <c r="AN194" s="913"/>
      <c r="AO194" s="913"/>
      <c r="AP194" s="913"/>
      <c r="AQ194" s="913"/>
      <c r="AR194" s="913"/>
      <c r="AS194" s="913"/>
      <c r="AT194" s="913"/>
      <c r="AU194" s="913"/>
      <c r="AV194" s="913"/>
      <c r="AW194" s="923"/>
    </row>
    <row r="195" spans="14:49" x14ac:dyDescent="0.25">
      <c r="N195" s="922"/>
      <c r="O195" s="913"/>
      <c r="P195" s="913"/>
      <c r="Q195" s="913"/>
      <c r="R195" s="913"/>
      <c r="S195" s="913"/>
      <c r="T195" s="913"/>
      <c r="U195" s="913"/>
      <c r="V195" s="913"/>
      <c r="W195" s="913"/>
      <c r="X195" s="913"/>
      <c r="Y195" s="913"/>
      <c r="Z195" s="913"/>
      <c r="AA195" s="913"/>
      <c r="AB195" s="913"/>
      <c r="AC195" s="913"/>
      <c r="AD195" s="913"/>
      <c r="AE195" s="913"/>
      <c r="AF195" s="913"/>
      <c r="AG195" s="913"/>
      <c r="AH195" s="913"/>
      <c r="AI195" s="913"/>
      <c r="AJ195" s="913"/>
      <c r="AK195" s="913"/>
      <c r="AL195" s="913"/>
      <c r="AM195" s="913"/>
      <c r="AN195" s="913"/>
      <c r="AO195" s="913"/>
      <c r="AP195" s="913"/>
      <c r="AQ195" s="913"/>
      <c r="AR195" s="913"/>
      <c r="AS195" s="913"/>
      <c r="AT195" s="913"/>
      <c r="AU195" s="913"/>
      <c r="AV195" s="913"/>
      <c r="AW195" s="923"/>
    </row>
    <row r="196" spans="14:49" x14ac:dyDescent="0.25">
      <c r="N196" s="922"/>
      <c r="O196" s="913"/>
      <c r="P196" s="913"/>
      <c r="Q196" s="913"/>
      <c r="R196" s="913"/>
      <c r="S196" s="913"/>
      <c r="T196" s="913"/>
      <c r="U196" s="913"/>
      <c r="V196" s="913"/>
      <c r="W196" s="913"/>
      <c r="X196" s="913"/>
      <c r="Y196" s="913"/>
      <c r="Z196" s="913"/>
      <c r="AA196" s="913"/>
      <c r="AB196" s="913"/>
      <c r="AC196" s="913"/>
      <c r="AD196" s="913"/>
      <c r="AE196" s="913"/>
      <c r="AF196" s="913"/>
      <c r="AG196" s="913"/>
      <c r="AH196" s="913"/>
      <c r="AI196" s="913"/>
      <c r="AJ196" s="913"/>
      <c r="AK196" s="913"/>
      <c r="AL196" s="913"/>
      <c r="AM196" s="913"/>
      <c r="AN196" s="913"/>
      <c r="AO196" s="913"/>
      <c r="AP196" s="913"/>
      <c r="AQ196" s="913"/>
      <c r="AR196" s="913"/>
      <c r="AS196" s="913"/>
      <c r="AT196" s="913"/>
      <c r="AU196" s="913"/>
      <c r="AV196" s="913"/>
      <c r="AW196" s="923"/>
    </row>
    <row r="197" spans="14:49" x14ac:dyDescent="0.25">
      <c r="N197" s="922"/>
      <c r="O197" s="913"/>
      <c r="P197" s="913"/>
      <c r="Q197" s="913"/>
      <c r="R197" s="913"/>
      <c r="S197" s="913"/>
      <c r="T197" s="913"/>
      <c r="U197" s="913"/>
      <c r="V197" s="913"/>
      <c r="W197" s="913"/>
      <c r="X197" s="913"/>
      <c r="Y197" s="913"/>
      <c r="Z197" s="913"/>
      <c r="AA197" s="913"/>
      <c r="AB197" s="913"/>
      <c r="AC197" s="913"/>
      <c r="AD197" s="913"/>
      <c r="AE197" s="913"/>
      <c r="AF197" s="913"/>
      <c r="AG197" s="913"/>
      <c r="AH197" s="913"/>
      <c r="AI197" s="913"/>
      <c r="AJ197" s="913"/>
      <c r="AK197" s="913"/>
      <c r="AL197" s="913"/>
      <c r="AM197" s="913"/>
      <c r="AN197" s="913"/>
      <c r="AO197" s="913"/>
      <c r="AP197" s="913"/>
      <c r="AQ197" s="913"/>
      <c r="AR197" s="913"/>
      <c r="AS197" s="913"/>
      <c r="AT197" s="913"/>
      <c r="AU197" s="913"/>
      <c r="AV197" s="913"/>
      <c r="AW197" s="923"/>
    </row>
    <row r="198" spans="14:49" x14ac:dyDescent="0.25">
      <c r="N198" s="922"/>
      <c r="O198" s="913"/>
      <c r="P198" s="913"/>
      <c r="Q198" s="913"/>
      <c r="R198" s="913"/>
      <c r="S198" s="913"/>
      <c r="T198" s="913"/>
      <c r="U198" s="913"/>
      <c r="V198" s="913"/>
      <c r="W198" s="913"/>
      <c r="X198" s="913"/>
      <c r="Y198" s="913"/>
      <c r="Z198" s="913"/>
      <c r="AA198" s="913"/>
      <c r="AB198" s="913"/>
      <c r="AC198" s="913"/>
      <c r="AD198" s="913"/>
      <c r="AE198" s="913"/>
      <c r="AF198" s="913"/>
      <c r="AG198" s="913"/>
      <c r="AH198" s="913"/>
      <c r="AI198" s="913"/>
      <c r="AJ198" s="913"/>
      <c r="AK198" s="913"/>
      <c r="AL198" s="913"/>
      <c r="AM198" s="913"/>
      <c r="AN198" s="913"/>
      <c r="AO198" s="913"/>
      <c r="AP198" s="913"/>
      <c r="AQ198" s="913"/>
      <c r="AR198" s="913"/>
      <c r="AS198" s="913"/>
      <c r="AT198" s="913"/>
      <c r="AU198" s="913"/>
      <c r="AV198" s="913"/>
      <c r="AW198" s="923"/>
    </row>
    <row r="199" spans="14:49" x14ac:dyDescent="0.25">
      <c r="N199" s="922"/>
      <c r="O199" s="913"/>
      <c r="P199" s="913"/>
      <c r="Q199" s="913"/>
      <c r="R199" s="913"/>
      <c r="S199" s="913"/>
      <c r="T199" s="913"/>
      <c r="U199" s="913"/>
      <c r="V199" s="913"/>
      <c r="W199" s="913"/>
      <c r="X199" s="913"/>
      <c r="Y199" s="913"/>
      <c r="Z199" s="913"/>
      <c r="AA199" s="913"/>
      <c r="AB199" s="913"/>
      <c r="AC199" s="913"/>
      <c r="AD199" s="913"/>
      <c r="AE199" s="913"/>
      <c r="AF199" s="913"/>
      <c r="AG199" s="913"/>
      <c r="AH199" s="913"/>
      <c r="AI199" s="913"/>
      <c r="AJ199" s="913"/>
      <c r="AK199" s="913"/>
      <c r="AL199" s="913"/>
      <c r="AM199" s="913"/>
      <c r="AN199" s="913"/>
      <c r="AO199" s="913"/>
      <c r="AP199" s="913"/>
      <c r="AQ199" s="913"/>
      <c r="AR199" s="913"/>
      <c r="AS199" s="913"/>
      <c r="AT199" s="913"/>
      <c r="AU199" s="913"/>
      <c r="AV199" s="913"/>
      <c r="AW199" s="923"/>
    </row>
    <row r="200" spans="14:49" x14ac:dyDescent="0.25">
      <c r="N200" s="922"/>
      <c r="O200" s="913"/>
      <c r="P200" s="913"/>
      <c r="Q200" s="913"/>
      <c r="R200" s="913"/>
      <c r="S200" s="913"/>
      <c r="T200" s="913"/>
      <c r="U200" s="913"/>
      <c r="V200" s="913"/>
      <c r="W200" s="913"/>
      <c r="X200" s="913"/>
      <c r="Y200" s="913"/>
      <c r="Z200" s="913"/>
      <c r="AA200" s="913"/>
      <c r="AB200" s="913"/>
      <c r="AC200" s="913"/>
      <c r="AD200" s="913"/>
      <c r="AE200" s="913"/>
      <c r="AF200" s="913"/>
      <c r="AG200" s="913"/>
      <c r="AH200" s="913"/>
      <c r="AI200" s="913"/>
      <c r="AJ200" s="913"/>
      <c r="AK200" s="913"/>
      <c r="AL200" s="913"/>
      <c r="AM200" s="913"/>
      <c r="AN200" s="913"/>
      <c r="AO200" s="913"/>
      <c r="AP200" s="913"/>
      <c r="AQ200" s="913"/>
      <c r="AR200" s="913"/>
      <c r="AS200" s="913"/>
      <c r="AT200" s="913"/>
      <c r="AU200" s="913"/>
      <c r="AV200" s="913"/>
      <c r="AW200" s="923"/>
    </row>
    <row r="201" spans="14:49" x14ac:dyDescent="0.25">
      <c r="N201" s="922"/>
      <c r="O201" s="913"/>
      <c r="P201" s="913"/>
      <c r="Q201" s="913"/>
      <c r="R201" s="913"/>
      <c r="S201" s="913"/>
      <c r="T201" s="913"/>
      <c r="U201" s="913"/>
      <c r="V201" s="913"/>
      <c r="W201" s="913"/>
      <c r="X201" s="913"/>
      <c r="Y201" s="913"/>
      <c r="Z201" s="913"/>
      <c r="AA201" s="913"/>
      <c r="AB201" s="913"/>
      <c r="AC201" s="913"/>
      <c r="AD201" s="913"/>
      <c r="AE201" s="913"/>
      <c r="AF201" s="913"/>
      <c r="AG201" s="913"/>
      <c r="AH201" s="913"/>
      <c r="AI201" s="913"/>
      <c r="AJ201" s="913"/>
      <c r="AK201" s="913"/>
      <c r="AL201" s="913"/>
      <c r="AM201" s="913"/>
      <c r="AN201" s="913"/>
      <c r="AO201" s="913"/>
      <c r="AP201" s="913"/>
      <c r="AQ201" s="913"/>
      <c r="AR201" s="913"/>
      <c r="AS201" s="913"/>
      <c r="AT201" s="913"/>
      <c r="AU201" s="913"/>
      <c r="AV201" s="913"/>
      <c r="AW201" s="923"/>
    </row>
    <row r="202" spans="14:49" x14ac:dyDescent="0.25">
      <c r="N202" s="922"/>
      <c r="O202" s="913"/>
      <c r="P202" s="913"/>
      <c r="Q202" s="913"/>
      <c r="R202" s="913"/>
      <c r="S202" s="913"/>
      <c r="T202" s="913"/>
      <c r="U202" s="913"/>
      <c r="V202" s="913"/>
      <c r="W202" s="913"/>
      <c r="X202" s="913"/>
      <c r="Y202" s="913"/>
      <c r="Z202" s="913"/>
      <c r="AA202" s="913"/>
      <c r="AB202" s="913"/>
      <c r="AC202" s="913"/>
      <c r="AD202" s="913"/>
      <c r="AE202" s="913"/>
      <c r="AF202" s="913"/>
      <c r="AG202" s="913"/>
      <c r="AH202" s="913"/>
      <c r="AI202" s="913"/>
      <c r="AJ202" s="913"/>
      <c r="AK202" s="913"/>
      <c r="AL202" s="913"/>
      <c r="AM202" s="913"/>
      <c r="AN202" s="913"/>
      <c r="AO202" s="913"/>
      <c r="AP202" s="913"/>
      <c r="AQ202" s="913"/>
      <c r="AR202" s="913"/>
      <c r="AS202" s="913"/>
      <c r="AT202" s="913"/>
      <c r="AU202" s="913"/>
      <c r="AV202" s="913"/>
      <c r="AW202" s="923"/>
    </row>
    <row r="203" spans="14:49" x14ac:dyDescent="0.25">
      <c r="N203" s="922"/>
      <c r="O203" s="913"/>
      <c r="P203" s="913"/>
      <c r="Q203" s="913"/>
      <c r="R203" s="913"/>
      <c r="S203" s="913"/>
      <c r="T203" s="913"/>
      <c r="U203" s="913"/>
      <c r="V203" s="913"/>
      <c r="W203" s="913"/>
      <c r="X203" s="913"/>
      <c r="Y203" s="913"/>
      <c r="Z203" s="913"/>
      <c r="AA203" s="913"/>
      <c r="AB203" s="913"/>
      <c r="AC203" s="913"/>
      <c r="AD203" s="913"/>
      <c r="AE203" s="913"/>
      <c r="AF203" s="913"/>
      <c r="AG203" s="913"/>
      <c r="AH203" s="913"/>
      <c r="AI203" s="913"/>
      <c r="AJ203" s="913"/>
      <c r="AK203" s="913"/>
      <c r="AL203" s="913"/>
      <c r="AM203" s="913"/>
      <c r="AN203" s="913"/>
      <c r="AO203" s="913"/>
      <c r="AP203" s="913"/>
      <c r="AQ203" s="913"/>
      <c r="AR203" s="913"/>
      <c r="AS203" s="913"/>
      <c r="AT203" s="913"/>
      <c r="AU203" s="913"/>
      <c r="AV203" s="913"/>
      <c r="AW203" s="923"/>
    </row>
    <row r="204" spans="14:49" x14ac:dyDescent="0.25">
      <c r="N204" s="922"/>
      <c r="O204" s="913"/>
      <c r="P204" s="913"/>
      <c r="Q204" s="913"/>
      <c r="R204" s="913"/>
      <c r="S204" s="913"/>
      <c r="T204" s="913"/>
      <c r="U204" s="913"/>
      <c r="V204" s="913"/>
      <c r="W204" s="913"/>
      <c r="X204" s="913"/>
      <c r="Y204" s="913"/>
      <c r="Z204" s="913"/>
      <c r="AA204" s="913"/>
      <c r="AB204" s="913"/>
      <c r="AC204" s="913"/>
      <c r="AD204" s="913"/>
      <c r="AE204" s="913"/>
      <c r="AF204" s="913"/>
      <c r="AG204" s="913"/>
      <c r="AH204" s="913"/>
      <c r="AI204" s="913"/>
      <c r="AJ204" s="913"/>
      <c r="AK204" s="913"/>
      <c r="AL204" s="913"/>
      <c r="AM204" s="913"/>
      <c r="AN204" s="913"/>
      <c r="AO204" s="913"/>
      <c r="AP204" s="913"/>
      <c r="AQ204" s="913"/>
      <c r="AR204" s="913"/>
      <c r="AS204" s="913"/>
      <c r="AT204" s="913"/>
      <c r="AU204" s="913"/>
      <c r="AV204" s="913"/>
      <c r="AW204" s="923"/>
    </row>
    <row r="205" spans="14:49" x14ac:dyDescent="0.25">
      <c r="N205" s="922"/>
      <c r="O205" s="913"/>
      <c r="P205" s="913"/>
      <c r="Q205" s="913"/>
      <c r="R205" s="913"/>
      <c r="S205" s="913"/>
      <c r="T205" s="913"/>
      <c r="U205" s="913"/>
      <c r="V205" s="913"/>
      <c r="W205" s="913"/>
      <c r="X205" s="913"/>
      <c r="Y205" s="913"/>
      <c r="Z205" s="913"/>
      <c r="AA205" s="913"/>
      <c r="AB205" s="913"/>
      <c r="AC205" s="913"/>
      <c r="AD205" s="913"/>
      <c r="AE205" s="913"/>
      <c r="AF205" s="913"/>
      <c r="AG205" s="913"/>
      <c r="AH205" s="913"/>
      <c r="AI205" s="913"/>
      <c r="AJ205" s="913"/>
      <c r="AK205" s="913"/>
      <c r="AL205" s="913"/>
      <c r="AM205" s="913"/>
      <c r="AN205" s="913"/>
      <c r="AO205" s="913"/>
      <c r="AP205" s="913"/>
      <c r="AQ205" s="913"/>
      <c r="AR205" s="913"/>
      <c r="AS205" s="913"/>
      <c r="AT205" s="913"/>
      <c r="AU205" s="913"/>
      <c r="AV205" s="913"/>
      <c r="AW205" s="923"/>
    </row>
    <row r="206" spans="14:49" x14ac:dyDescent="0.25">
      <c r="N206" s="922"/>
      <c r="O206" s="913"/>
      <c r="P206" s="913"/>
      <c r="Q206" s="913"/>
      <c r="R206" s="913"/>
      <c r="S206" s="913"/>
      <c r="T206" s="913"/>
      <c r="U206" s="913"/>
      <c r="V206" s="913"/>
      <c r="W206" s="913"/>
      <c r="X206" s="913"/>
      <c r="Y206" s="913"/>
      <c r="Z206" s="913"/>
      <c r="AA206" s="913"/>
      <c r="AB206" s="913"/>
      <c r="AC206" s="913"/>
      <c r="AD206" s="913"/>
      <c r="AE206" s="913"/>
      <c r="AF206" s="913"/>
      <c r="AG206" s="913"/>
      <c r="AH206" s="913"/>
      <c r="AI206" s="913"/>
      <c r="AJ206" s="913"/>
      <c r="AK206" s="913"/>
      <c r="AL206" s="913"/>
      <c r="AM206" s="913"/>
      <c r="AN206" s="913"/>
      <c r="AO206" s="913"/>
      <c r="AP206" s="913"/>
      <c r="AQ206" s="913"/>
      <c r="AR206" s="913"/>
      <c r="AS206" s="913"/>
      <c r="AT206" s="913"/>
      <c r="AU206" s="913"/>
      <c r="AV206" s="913"/>
      <c r="AW206" s="923"/>
    </row>
    <row r="207" spans="14:49" x14ac:dyDescent="0.25">
      <c r="N207" s="922"/>
      <c r="O207" s="913"/>
      <c r="P207" s="913"/>
      <c r="Q207" s="913"/>
      <c r="R207" s="913"/>
      <c r="S207" s="913"/>
      <c r="T207" s="913"/>
      <c r="U207" s="913"/>
      <c r="V207" s="913"/>
      <c r="W207" s="913"/>
      <c r="X207" s="913"/>
      <c r="Y207" s="913"/>
      <c r="Z207" s="913"/>
      <c r="AA207" s="913"/>
      <c r="AB207" s="913"/>
      <c r="AC207" s="913"/>
      <c r="AD207" s="913"/>
      <c r="AE207" s="913"/>
      <c r="AF207" s="913"/>
      <c r="AG207" s="913"/>
      <c r="AH207" s="913"/>
      <c r="AI207" s="913"/>
      <c r="AJ207" s="913"/>
      <c r="AK207" s="913"/>
      <c r="AL207" s="913"/>
      <c r="AM207" s="913"/>
      <c r="AN207" s="913"/>
      <c r="AO207" s="913"/>
      <c r="AP207" s="913"/>
      <c r="AQ207" s="913"/>
      <c r="AR207" s="913"/>
      <c r="AS207" s="913"/>
      <c r="AT207" s="913"/>
      <c r="AU207" s="913"/>
      <c r="AV207" s="913"/>
      <c r="AW207" s="923"/>
    </row>
    <row r="208" spans="14:49" x14ac:dyDescent="0.25">
      <c r="N208" s="922"/>
      <c r="O208" s="913"/>
      <c r="P208" s="913"/>
      <c r="Q208" s="913"/>
      <c r="R208" s="913"/>
      <c r="S208" s="913"/>
      <c r="T208" s="913"/>
      <c r="U208" s="913"/>
      <c r="V208" s="913"/>
      <c r="W208" s="913"/>
      <c r="X208" s="913"/>
      <c r="Y208" s="913"/>
      <c r="Z208" s="913"/>
      <c r="AA208" s="913"/>
      <c r="AB208" s="913"/>
      <c r="AC208" s="913"/>
      <c r="AD208" s="913"/>
      <c r="AE208" s="913"/>
      <c r="AF208" s="913"/>
      <c r="AG208" s="913"/>
      <c r="AH208" s="913"/>
      <c r="AI208" s="913"/>
      <c r="AJ208" s="913"/>
      <c r="AK208" s="913"/>
      <c r="AL208" s="913"/>
      <c r="AM208" s="913"/>
      <c r="AN208" s="913"/>
      <c r="AO208" s="913"/>
      <c r="AP208" s="913"/>
      <c r="AQ208" s="913"/>
      <c r="AR208" s="913"/>
      <c r="AS208" s="913"/>
      <c r="AT208" s="913"/>
      <c r="AU208" s="913"/>
      <c r="AV208" s="913"/>
      <c r="AW208" s="923"/>
    </row>
    <row r="209" spans="14:49" x14ac:dyDescent="0.25">
      <c r="N209" s="922"/>
      <c r="O209" s="913"/>
      <c r="P209" s="913"/>
      <c r="Q209" s="913"/>
      <c r="R209" s="913"/>
      <c r="S209" s="913"/>
      <c r="T209" s="913"/>
      <c r="U209" s="913"/>
      <c r="V209" s="913"/>
      <c r="W209" s="913"/>
      <c r="X209" s="913"/>
      <c r="Y209" s="913"/>
      <c r="Z209" s="913"/>
      <c r="AA209" s="913"/>
      <c r="AB209" s="913"/>
      <c r="AC209" s="913"/>
      <c r="AD209" s="913"/>
      <c r="AE209" s="913"/>
      <c r="AF209" s="913"/>
      <c r="AG209" s="913"/>
      <c r="AH209" s="913"/>
      <c r="AI209" s="913"/>
      <c r="AJ209" s="913"/>
      <c r="AK209" s="913"/>
      <c r="AL209" s="913"/>
      <c r="AM209" s="913"/>
      <c r="AN209" s="913"/>
      <c r="AO209" s="913"/>
      <c r="AP209" s="913"/>
      <c r="AQ209" s="913"/>
      <c r="AR209" s="913"/>
      <c r="AS209" s="913"/>
      <c r="AT209" s="913"/>
      <c r="AU209" s="913"/>
      <c r="AV209" s="913"/>
      <c r="AW209" s="923"/>
    </row>
    <row r="210" spans="14:49" x14ac:dyDescent="0.25">
      <c r="N210" s="922"/>
      <c r="O210" s="913"/>
      <c r="P210" s="913"/>
      <c r="Q210" s="913"/>
      <c r="R210" s="913"/>
      <c r="S210" s="913"/>
      <c r="T210" s="913"/>
      <c r="U210" s="913"/>
      <c r="V210" s="913"/>
      <c r="W210" s="913"/>
      <c r="X210" s="913"/>
      <c r="Y210" s="913"/>
      <c r="Z210" s="913"/>
      <c r="AA210" s="913"/>
      <c r="AB210" s="913"/>
      <c r="AC210" s="913"/>
      <c r="AD210" s="913"/>
      <c r="AE210" s="913"/>
      <c r="AF210" s="913"/>
      <c r="AG210" s="913"/>
      <c r="AH210" s="913"/>
      <c r="AI210" s="913"/>
      <c r="AJ210" s="913"/>
      <c r="AK210" s="913"/>
      <c r="AL210" s="913"/>
      <c r="AM210" s="913"/>
      <c r="AN210" s="913"/>
      <c r="AO210" s="913"/>
      <c r="AP210" s="913"/>
      <c r="AQ210" s="913"/>
      <c r="AR210" s="913"/>
      <c r="AS210" s="913"/>
      <c r="AT210" s="913"/>
      <c r="AU210" s="913"/>
      <c r="AV210" s="913"/>
      <c r="AW210" s="923"/>
    </row>
    <row r="211" spans="14:49" x14ac:dyDescent="0.25">
      <c r="N211" s="922"/>
      <c r="O211" s="913"/>
      <c r="P211" s="913"/>
      <c r="Q211" s="913"/>
      <c r="R211" s="913"/>
      <c r="S211" s="913"/>
      <c r="T211" s="913"/>
      <c r="U211" s="913"/>
      <c r="V211" s="913"/>
      <c r="W211" s="913"/>
      <c r="X211" s="913"/>
      <c r="Y211" s="913"/>
      <c r="Z211" s="913"/>
      <c r="AA211" s="913"/>
      <c r="AB211" s="913"/>
      <c r="AC211" s="913"/>
      <c r="AD211" s="913"/>
      <c r="AE211" s="913"/>
      <c r="AF211" s="913"/>
      <c r="AG211" s="913"/>
      <c r="AH211" s="913"/>
      <c r="AI211" s="913"/>
      <c r="AJ211" s="913"/>
      <c r="AK211" s="913"/>
      <c r="AL211" s="913"/>
      <c r="AM211" s="913"/>
      <c r="AN211" s="913"/>
      <c r="AO211" s="913"/>
      <c r="AP211" s="913"/>
      <c r="AQ211" s="913"/>
      <c r="AR211" s="913"/>
      <c r="AS211" s="913"/>
      <c r="AT211" s="913"/>
      <c r="AU211" s="913"/>
      <c r="AV211" s="913"/>
      <c r="AW211" s="923"/>
    </row>
    <row r="212" spans="14:49" x14ac:dyDescent="0.25">
      <c r="N212" s="922"/>
      <c r="O212" s="913"/>
      <c r="P212" s="913"/>
      <c r="Q212" s="913"/>
      <c r="R212" s="913"/>
      <c r="S212" s="913"/>
      <c r="T212" s="913"/>
      <c r="U212" s="913"/>
      <c r="V212" s="913"/>
      <c r="W212" s="913"/>
      <c r="X212" s="913"/>
      <c r="Y212" s="913"/>
      <c r="Z212" s="913"/>
      <c r="AA212" s="913"/>
      <c r="AB212" s="913"/>
      <c r="AC212" s="913"/>
      <c r="AD212" s="913"/>
      <c r="AE212" s="913"/>
      <c r="AF212" s="913"/>
      <c r="AG212" s="913"/>
      <c r="AH212" s="913"/>
      <c r="AI212" s="913"/>
      <c r="AJ212" s="913"/>
      <c r="AK212" s="913"/>
      <c r="AL212" s="913"/>
      <c r="AM212" s="913"/>
      <c r="AN212" s="913"/>
      <c r="AO212" s="913"/>
      <c r="AP212" s="913"/>
      <c r="AQ212" s="913"/>
      <c r="AR212" s="913"/>
      <c r="AS212" s="913"/>
      <c r="AT212" s="913"/>
      <c r="AU212" s="913"/>
      <c r="AV212" s="913"/>
      <c r="AW212" s="923"/>
    </row>
    <row r="213" spans="14:49" x14ac:dyDescent="0.25">
      <c r="N213" s="922"/>
      <c r="O213" s="913"/>
      <c r="P213" s="913"/>
      <c r="Q213" s="913"/>
      <c r="R213" s="913"/>
      <c r="S213" s="913"/>
      <c r="T213" s="913"/>
      <c r="U213" s="913"/>
      <c r="V213" s="913"/>
      <c r="W213" s="913"/>
      <c r="X213" s="913"/>
      <c r="Y213" s="913"/>
      <c r="Z213" s="913"/>
      <c r="AA213" s="913"/>
      <c r="AB213" s="913"/>
      <c r="AC213" s="913"/>
      <c r="AD213" s="913"/>
      <c r="AE213" s="913"/>
      <c r="AF213" s="913"/>
      <c r="AG213" s="913"/>
      <c r="AH213" s="913"/>
      <c r="AI213" s="913"/>
      <c r="AJ213" s="913"/>
      <c r="AK213" s="913"/>
      <c r="AL213" s="913"/>
      <c r="AM213" s="913"/>
      <c r="AN213" s="913"/>
      <c r="AO213" s="913"/>
      <c r="AP213" s="913"/>
      <c r="AQ213" s="913"/>
      <c r="AR213" s="913"/>
      <c r="AS213" s="913"/>
      <c r="AT213" s="913"/>
      <c r="AU213" s="913"/>
      <c r="AV213" s="913"/>
      <c r="AW213" s="923"/>
    </row>
    <row r="214" spans="14:49" x14ac:dyDescent="0.25">
      <c r="N214" s="922"/>
      <c r="O214" s="913"/>
      <c r="P214" s="913"/>
      <c r="Q214" s="913"/>
      <c r="R214" s="913"/>
      <c r="S214" s="913"/>
      <c r="T214" s="913"/>
      <c r="U214" s="913"/>
      <c r="V214" s="913"/>
      <c r="W214" s="913"/>
      <c r="X214" s="913"/>
      <c r="Y214" s="913"/>
      <c r="Z214" s="913"/>
      <c r="AA214" s="913"/>
      <c r="AB214" s="913"/>
      <c r="AC214" s="913"/>
      <c r="AD214" s="913"/>
      <c r="AE214" s="913"/>
      <c r="AF214" s="913"/>
      <c r="AG214" s="913"/>
      <c r="AH214" s="913"/>
      <c r="AI214" s="913"/>
      <c r="AJ214" s="913"/>
      <c r="AK214" s="913"/>
      <c r="AL214" s="913"/>
      <c r="AM214" s="913"/>
      <c r="AN214" s="913"/>
      <c r="AO214" s="913"/>
      <c r="AP214" s="913"/>
      <c r="AQ214" s="913"/>
      <c r="AR214" s="913"/>
      <c r="AS214" s="913"/>
      <c r="AT214" s="913"/>
      <c r="AU214" s="913"/>
      <c r="AV214" s="913"/>
      <c r="AW214" s="923"/>
    </row>
    <row r="215" spans="14:49" x14ac:dyDescent="0.25">
      <c r="N215" s="922"/>
      <c r="O215" s="913"/>
      <c r="P215" s="913"/>
      <c r="Q215" s="913"/>
      <c r="R215" s="913"/>
      <c r="S215" s="913"/>
      <c r="T215" s="913"/>
      <c r="U215" s="913"/>
      <c r="V215" s="913"/>
      <c r="W215" s="913"/>
      <c r="X215" s="913"/>
      <c r="Y215" s="913"/>
      <c r="Z215" s="913"/>
      <c r="AA215" s="913"/>
      <c r="AB215" s="913"/>
      <c r="AC215" s="913"/>
      <c r="AD215" s="913"/>
      <c r="AE215" s="913"/>
      <c r="AF215" s="913"/>
      <c r="AG215" s="913"/>
      <c r="AH215" s="913"/>
      <c r="AI215" s="913"/>
      <c r="AJ215" s="913"/>
      <c r="AK215" s="913"/>
      <c r="AL215" s="913"/>
      <c r="AM215" s="913"/>
      <c r="AN215" s="913"/>
      <c r="AO215" s="913"/>
      <c r="AP215" s="913"/>
      <c r="AQ215" s="913"/>
      <c r="AR215" s="913"/>
      <c r="AS215" s="913"/>
      <c r="AT215" s="913"/>
      <c r="AU215" s="913"/>
      <c r="AV215" s="913"/>
      <c r="AW215" s="923"/>
    </row>
    <row r="216" spans="14:49" x14ac:dyDescent="0.25">
      <c r="N216" s="922"/>
      <c r="O216" s="913"/>
      <c r="P216" s="913"/>
      <c r="Q216" s="913"/>
      <c r="R216" s="913"/>
      <c r="S216" s="913"/>
      <c r="T216" s="913"/>
      <c r="U216" s="913"/>
      <c r="V216" s="913"/>
      <c r="W216" s="913"/>
      <c r="X216" s="913"/>
      <c r="Y216" s="913"/>
      <c r="Z216" s="913"/>
      <c r="AA216" s="913"/>
      <c r="AB216" s="913"/>
      <c r="AC216" s="913"/>
      <c r="AD216" s="913"/>
      <c r="AE216" s="913"/>
      <c r="AF216" s="913"/>
      <c r="AG216" s="913"/>
      <c r="AH216" s="913"/>
      <c r="AI216" s="913"/>
      <c r="AJ216" s="913"/>
      <c r="AK216" s="913"/>
      <c r="AL216" s="913"/>
      <c r="AM216" s="913"/>
      <c r="AN216" s="913"/>
      <c r="AO216" s="913"/>
      <c r="AP216" s="913"/>
      <c r="AQ216" s="913"/>
      <c r="AR216" s="913"/>
      <c r="AS216" s="913"/>
      <c r="AT216" s="913"/>
      <c r="AU216" s="913"/>
      <c r="AV216" s="913"/>
      <c r="AW216" s="923"/>
    </row>
    <row r="217" spans="14:49" x14ac:dyDescent="0.25">
      <c r="N217" s="922"/>
      <c r="O217" s="913"/>
      <c r="P217" s="913"/>
      <c r="Q217" s="913"/>
      <c r="R217" s="913"/>
      <c r="S217" s="913"/>
      <c r="T217" s="913"/>
      <c r="U217" s="913"/>
      <c r="V217" s="913"/>
      <c r="W217" s="913"/>
      <c r="X217" s="913"/>
      <c r="Y217" s="913"/>
      <c r="Z217" s="913"/>
      <c r="AA217" s="913"/>
      <c r="AB217" s="913"/>
      <c r="AC217" s="913"/>
      <c r="AD217" s="913"/>
      <c r="AE217" s="913"/>
      <c r="AF217" s="913"/>
      <c r="AG217" s="913"/>
      <c r="AH217" s="913"/>
      <c r="AI217" s="913"/>
      <c r="AJ217" s="913"/>
      <c r="AK217" s="913"/>
      <c r="AL217" s="913"/>
      <c r="AM217" s="913"/>
      <c r="AN217" s="913"/>
      <c r="AO217" s="913"/>
      <c r="AP217" s="913"/>
      <c r="AQ217" s="913"/>
      <c r="AR217" s="913"/>
      <c r="AS217" s="913"/>
      <c r="AT217" s="913"/>
      <c r="AU217" s="913"/>
      <c r="AV217" s="913"/>
      <c r="AW217" s="923"/>
    </row>
    <row r="218" spans="14:49" x14ac:dyDescent="0.25">
      <c r="N218" s="922"/>
      <c r="O218" s="913"/>
      <c r="P218" s="913"/>
      <c r="Q218" s="913"/>
      <c r="R218" s="913"/>
      <c r="S218" s="913"/>
      <c r="T218" s="913"/>
      <c r="U218" s="913"/>
      <c r="V218" s="913"/>
      <c r="W218" s="913"/>
      <c r="X218" s="913"/>
      <c r="Y218" s="913"/>
      <c r="Z218" s="913"/>
      <c r="AA218" s="913"/>
      <c r="AB218" s="913"/>
      <c r="AC218" s="913"/>
      <c r="AD218" s="913"/>
      <c r="AE218" s="913"/>
      <c r="AF218" s="913"/>
      <c r="AG218" s="913"/>
      <c r="AH218" s="913"/>
      <c r="AI218" s="913"/>
      <c r="AJ218" s="913"/>
      <c r="AK218" s="913"/>
      <c r="AL218" s="913"/>
      <c r="AM218" s="913"/>
      <c r="AN218" s="913"/>
      <c r="AO218" s="913"/>
      <c r="AP218" s="913"/>
      <c r="AQ218" s="913"/>
      <c r="AR218" s="913"/>
      <c r="AS218" s="913"/>
      <c r="AT218" s="913"/>
      <c r="AU218" s="913"/>
      <c r="AV218" s="913"/>
      <c r="AW218" s="923"/>
    </row>
    <row r="219" spans="14:49" x14ac:dyDescent="0.25">
      <c r="N219" s="922"/>
      <c r="O219" s="913"/>
      <c r="P219" s="913"/>
      <c r="Q219" s="913"/>
      <c r="R219" s="913"/>
      <c r="S219" s="913"/>
      <c r="T219" s="913"/>
      <c r="U219" s="913"/>
      <c r="V219" s="913"/>
      <c r="W219" s="913"/>
      <c r="X219" s="913"/>
      <c r="Y219" s="913"/>
      <c r="Z219" s="913"/>
      <c r="AA219" s="913"/>
      <c r="AB219" s="913"/>
      <c r="AC219" s="913"/>
      <c r="AD219" s="913"/>
      <c r="AE219" s="913"/>
      <c r="AF219" s="913"/>
      <c r="AG219" s="913"/>
      <c r="AH219" s="913"/>
      <c r="AI219" s="913"/>
      <c r="AJ219" s="913"/>
      <c r="AK219" s="913"/>
      <c r="AL219" s="913"/>
      <c r="AM219" s="913"/>
      <c r="AN219" s="913"/>
      <c r="AO219" s="913"/>
      <c r="AP219" s="913"/>
      <c r="AQ219" s="913"/>
      <c r="AR219" s="913"/>
      <c r="AS219" s="913"/>
      <c r="AT219" s="913"/>
      <c r="AU219" s="913"/>
      <c r="AV219" s="913"/>
      <c r="AW219" s="923"/>
    </row>
    <row r="220" spans="14:49" x14ac:dyDescent="0.25">
      <c r="N220" s="922"/>
      <c r="O220" s="913"/>
      <c r="P220" s="913"/>
      <c r="Q220" s="913"/>
      <c r="R220" s="913"/>
      <c r="S220" s="913"/>
      <c r="T220" s="913"/>
      <c r="U220" s="913"/>
      <c r="V220" s="913"/>
      <c r="W220" s="913"/>
      <c r="X220" s="913"/>
      <c r="Y220" s="913"/>
      <c r="Z220" s="913"/>
      <c r="AA220" s="913"/>
      <c r="AB220" s="913"/>
      <c r="AC220" s="913"/>
      <c r="AD220" s="913"/>
      <c r="AE220" s="913"/>
      <c r="AF220" s="913"/>
      <c r="AG220" s="913"/>
      <c r="AH220" s="913"/>
      <c r="AI220" s="913"/>
      <c r="AJ220" s="913"/>
      <c r="AK220" s="913"/>
      <c r="AL220" s="913"/>
      <c r="AM220" s="913"/>
      <c r="AN220" s="913"/>
      <c r="AO220" s="913"/>
      <c r="AP220" s="913"/>
      <c r="AQ220" s="913"/>
      <c r="AR220" s="913"/>
      <c r="AS220" s="913"/>
      <c r="AT220" s="913"/>
      <c r="AU220" s="913"/>
      <c r="AV220" s="913"/>
      <c r="AW220" s="923"/>
    </row>
    <row r="221" spans="14:49" x14ac:dyDescent="0.25">
      <c r="N221" s="922"/>
      <c r="O221" s="913"/>
      <c r="P221" s="913"/>
      <c r="Q221" s="913"/>
      <c r="R221" s="913"/>
      <c r="S221" s="913"/>
      <c r="T221" s="913"/>
      <c r="U221" s="913"/>
      <c r="V221" s="913"/>
      <c r="W221" s="913"/>
      <c r="X221" s="913"/>
      <c r="Y221" s="913"/>
      <c r="Z221" s="913"/>
      <c r="AA221" s="913"/>
      <c r="AB221" s="913"/>
      <c r="AC221" s="913"/>
      <c r="AD221" s="913"/>
      <c r="AE221" s="913"/>
      <c r="AF221" s="913"/>
      <c r="AG221" s="913"/>
      <c r="AH221" s="913"/>
      <c r="AI221" s="913"/>
      <c r="AJ221" s="913"/>
      <c r="AK221" s="913"/>
      <c r="AL221" s="913"/>
      <c r="AM221" s="913"/>
      <c r="AN221" s="913"/>
      <c r="AO221" s="913"/>
      <c r="AP221" s="913"/>
      <c r="AQ221" s="913"/>
      <c r="AR221" s="913"/>
      <c r="AS221" s="913"/>
      <c r="AT221" s="913"/>
      <c r="AU221" s="913"/>
      <c r="AV221" s="913"/>
      <c r="AW221" s="923"/>
    </row>
    <row r="222" spans="14:49" x14ac:dyDescent="0.25">
      <c r="N222" s="922"/>
      <c r="O222" s="913"/>
      <c r="P222" s="913"/>
      <c r="Q222" s="913"/>
      <c r="R222" s="913"/>
      <c r="S222" s="913"/>
      <c r="T222" s="913"/>
      <c r="U222" s="913"/>
      <c r="V222" s="913"/>
      <c r="W222" s="913"/>
      <c r="X222" s="913"/>
      <c r="Y222" s="913"/>
      <c r="Z222" s="913"/>
      <c r="AA222" s="913"/>
      <c r="AB222" s="913"/>
      <c r="AC222" s="913"/>
      <c r="AD222" s="913"/>
      <c r="AE222" s="913"/>
      <c r="AF222" s="913"/>
      <c r="AG222" s="913"/>
      <c r="AH222" s="913"/>
      <c r="AI222" s="913"/>
      <c r="AJ222" s="913"/>
      <c r="AK222" s="913"/>
      <c r="AL222" s="913"/>
      <c r="AM222" s="913"/>
      <c r="AN222" s="913"/>
      <c r="AO222" s="913"/>
      <c r="AP222" s="913"/>
      <c r="AQ222" s="913"/>
      <c r="AR222" s="913"/>
      <c r="AS222" s="913"/>
      <c r="AT222" s="913"/>
      <c r="AU222" s="913"/>
      <c r="AV222" s="913"/>
      <c r="AW222" s="923"/>
    </row>
    <row r="223" spans="14:49" x14ac:dyDescent="0.25">
      <c r="N223" s="922"/>
      <c r="O223" s="913"/>
      <c r="P223" s="913"/>
      <c r="Q223" s="913"/>
      <c r="R223" s="913"/>
      <c r="S223" s="913"/>
      <c r="T223" s="913"/>
      <c r="U223" s="913"/>
      <c r="V223" s="913"/>
      <c r="W223" s="913"/>
      <c r="X223" s="913"/>
      <c r="Y223" s="913"/>
      <c r="Z223" s="913"/>
      <c r="AA223" s="913"/>
      <c r="AB223" s="913"/>
      <c r="AC223" s="913"/>
      <c r="AD223" s="913"/>
      <c r="AE223" s="913"/>
      <c r="AF223" s="913"/>
      <c r="AG223" s="913"/>
      <c r="AH223" s="913"/>
      <c r="AI223" s="913"/>
      <c r="AJ223" s="913"/>
      <c r="AK223" s="913"/>
      <c r="AL223" s="913"/>
      <c r="AM223" s="913"/>
      <c r="AN223" s="913"/>
      <c r="AO223" s="913"/>
      <c r="AP223" s="913"/>
      <c r="AQ223" s="913"/>
      <c r="AR223" s="913"/>
      <c r="AS223" s="913"/>
      <c r="AT223" s="913"/>
      <c r="AU223" s="913"/>
      <c r="AV223" s="913"/>
      <c r="AW223" s="923"/>
    </row>
    <row r="224" spans="14:49" x14ac:dyDescent="0.25">
      <c r="N224" s="922"/>
      <c r="O224" s="913"/>
      <c r="P224" s="913"/>
      <c r="Q224" s="913"/>
      <c r="R224" s="913"/>
      <c r="S224" s="913"/>
      <c r="T224" s="913"/>
      <c r="U224" s="913"/>
      <c r="V224" s="913"/>
      <c r="W224" s="913"/>
      <c r="X224" s="913"/>
      <c r="Y224" s="913"/>
      <c r="Z224" s="913"/>
      <c r="AA224" s="913"/>
      <c r="AB224" s="913"/>
      <c r="AC224" s="913"/>
      <c r="AD224" s="913"/>
      <c r="AE224" s="913"/>
      <c r="AF224" s="913"/>
      <c r="AG224" s="913"/>
      <c r="AH224" s="913"/>
      <c r="AI224" s="913"/>
      <c r="AJ224" s="913"/>
      <c r="AK224" s="913"/>
      <c r="AL224" s="913"/>
      <c r="AM224" s="913"/>
      <c r="AN224" s="913"/>
      <c r="AO224" s="913"/>
      <c r="AP224" s="913"/>
      <c r="AQ224" s="913"/>
      <c r="AR224" s="913"/>
      <c r="AS224" s="913"/>
      <c r="AT224" s="913"/>
      <c r="AU224" s="913"/>
      <c r="AV224" s="913"/>
      <c r="AW224" s="923"/>
    </row>
    <row r="225" spans="14:49" x14ac:dyDescent="0.25">
      <c r="N225" s="922"/>
      <c r="O225" s="913"/>
      <c r="P225" s="913"/>
      <c r="Q225" s="913"/>
      <c r="R225" s="913"/>
      <c r="S225" s="913"/>
      <c r="T225" s="913"/>
      <c r="U225" s="913"/>
      <c r="V225" s="913"/>
      <c r="W225" s="913"/>
      <c r="X225" s="913"/>
      <c r="Y225" s="913"/>
      <c r="Z225" s="913"/>
      <c r="AA225" s="913"/>
      <c r="AB225" s="913"/>
      <c r="AC225" s="913"/>
      <c r="AD225" s="913"/>
      <c r="AE225" s="913"/>
      <c r="AF225" s="913"/>
      <c r="AG225" s="913"/>
      <c r="AH225" s="913"/>
      <c r="AI225" s="913"/>
      <c r="AJ225" s="913"/>
      <c r="AK225" s="913"/>
      <c r="AL225" s="913"/>
      <c r="AM225" s="913"/>
      <c r="AN225" s="913"/>
      <c r="AO225" s="913"/>
      <c r="AP225" s="913"/>
      <c r="AQ225" s="913"/>
      <c r="AR225" s="913"/>
      <c r="AS225" s="913"/>
      <c r="AT225" s="913"/>
      <c r="AU225" s="913"/>
      <c r="AV225" s="913"/>
      <c r="AW225" s="923"/>
    </row>
    <row r="226" spans="14:49" x14ac:dyDescent="0.25">
      <c r="N226" s="922"/>
      <c r="O226" s="913"/>
      <c r="P226" s="913"/>
      <c r="Q226" s="913"/>
      <c r="R226" s="913"/>
      <c r="S226" s="913"/>
      <c r="T226" s="913"/>
      <c r="U226" s="913"/>
      <c r="V226" s="913"/>
      <c r="W226" s="913"/>
      <c r="X226" s="913"/>
      <c r="Y226" s="913"/>
      <c r="Z226" s="913"/>
      <c r="AA226" s="913"/>
      <c r="AB226" s="913"/>
      <c r="AC226" s="913"/>
      <c r="AD226" s="913"/>
      <c r="AE226" s="913"/>
      <c r="AF226" s="913"/>
      <c r="AG226" s="913"/>
      <c r="AH226" s="913"/>
      <c r="AI226" s="913"/>
      <c r="AJ226" s="913"/>
      <c r="AK226" s="913"/>
      <c r="AL226" s="913"/>
      <c r="AM226" s="913"/>
      <c r="AN226" s="913"/>
      <c r="AO226" s="913"/>
      <c r="AP226" s="913"/>
      <c r="AQ226" s="913"/>
      <c r="AR226" s="913"/>
      <c r="AS226" s="913"/>
      <c r="AT226" s="913"/>
      <c r="AU226" s="913"/>
      <c r="AV226" s="913"/>
      <c r="AW226" s="923"/>
    </row>
    <row r="227" spans="14:49" x14ac:dyDescent="0.25">
      <c r="N227" s="922"/>
      <c r="O227" s="913"/>
      <c r="P227" s="913"/>
      <c r="Q227" s="913"/>
      <c r="R227" s="913"/>
      <c r="S227" s="913"/>
      <c r="T227" s="913"/>
      <c r="U227" s="913"/>
      <c r="V227" s="913"/>
      <c r="W227" s="913"/>
      <c r="X227" s="913"/>
      <c r="Y227" s="913"/>
      <c r="Z227" s="913"/>
      <c r="AA227" s="913"/>
      <c r="AB227" s="913"/>
      <c r="AC227" s="913"/>
      <c r="AD227" s="913"/>
      <c r="AE227" s="913"/>
      <c r="AF227" s="913"/>
      <c r="AG227" s="913"/>
      <c r="AH227" s="913"/>
      <c r="AI227" s="913"/>
      <c r="AJ227" s="913"/>
      <c r="AK227" s="913"/>
      <c r="AL227" s="913"/>
      <c r="AM227" s="913"/>
      <c r="AN227" s="913"/>
      <c r="AO227" s="913"/>
      <c r="AP227" s="913"/>
      <c r="AQ227" s="913"/>
      <c r="AR227" s="913"/>
      <c r="AS227" s="913"/>
      <c r="AT227" s="913"/>
      <c r="AU227" s="913"/>
      <c r="AV227" s="913"/>
      <c r="AW227" s="923"/>
    </row>
    <row r="228" spans="14:49" x14ac:dyDescent="0.25">
      <c r="N228" s="922"/>
      <c r="O228" s="913"/>
      <c r="P228" s="913"/>
      <c r="Q228" s="913"/>
      <c r="R228" s="913"/>
      <c r="S228" s="913"/>
      <c r="T228" s="913"/>
      <c r="U228" s="913"/>
      <c r="V228" s="913"/>
      <c r="W228" s="913"/>
      <c r="X228" s="913"/>
      <c r="Y228" s="913"/>
      <c r="Z228" s="913"/>
      <c r="AA228" s="913"/>
      <c r="AB228" s="913"/>
      <c r="AC228" s="913"/>
      <c r="AD228" s="913"/>
      <c r="AE228" s="913"/>
      <c r="AF228" s="913"/>
      <c r="AG228" s="913"/>
      <c r="AH228" s="913"/>
      <c r="AI228" s="913"/>
      <c r="AJ228" s="913"/>
      <c r="AK228" s="913"/>
      <c r="AL228" s="913"/>
      <c r="AM228" s="913"/>
      <c r="AN228" s="913"/>
      <c r="AO228" s="913"/>
      <c r="AP228" s="913"/>
      <c r="AQ228" s="913"/>
      <c r="AR228" s="913"/>
      <c r="AS228" s="913"/>
      <c r="AT228" s="913"/>
      <c r="AU228" s="913"/>
      <c r="AV228" s="913"/>
      <c r="AW228" s="923"/>
    </row>
    <row r="229" spans="14:49" x14ac:dyDescent="0.25">
      <c r="N229" s="928"/>
      <c r="O229" s="929"/>
      <c r="P229" s="929"/>
      <c r="Q229" s="929"/>
      <c r="R229" s="929"/>
      <c r="S229" s="929"/>
      <c r="T229" s="929"/>
      <c r="U229" s="929"/>
      <c r="V229" s="929"/>
      <c r="W229" s="929"/>
      <c r="X229" s="929"/>
      <c r="Y229" s="929"/>
      <c r="Z229" s="929"/>
      <c r="AA229" s="929"/>
      <c r="AB229" s="929"/>
      <c r="AC229" s="929"/>
      <c r="AD229" s="929"/>
      <c r="AE229" s="929"/>
      <c r="AF229" s="929"/>
      <c r="AG229" s="929"/>
      <c r="AH229" s="929"/>
      <c r="AI229" s="929"/>
      <c r="AJ229" s="929"/>
      <c r="AK229" s="929"/>
      <c r="AL229" s="929"/>
      <c r="AM229" s="929"/>
      <c r="AN229" s="929"/>
      <c r="AO229" s="929"/>
      <c r="AP229" s="929"/>
      <c r="AQ229" s="929"/>
      <c r="AR229" s="929"/>
      <c r="AS229" s="929"/>
      <c r="AT229" s="929"/>
      <c r="AU229" s="929"/>
      <c r="AV229" s="929"/>
      <c r="AW229" s="930"/>
    </row>
    <row r="282" spans="24:25" x14ac:dyDescent="0.25">
      <c r="X282" s="110"/>
      <c r="Y282" s="109"/>
    </row>
  </sheetData>
  <sheetProtection algorithmName="SHA-512" hashValue="kVbr5x9Fu/cIVHs/4xt9SxAt5ln6nx3ataxbf7y4M+Auzi4nNEcqpEHFLNxk8j8Y4Dn0ZbvuSgPI6Qg4WHko/w==" saltValue="OeWCpZkTc994pncT3hY3Fw==" spinCount="100000" sheet="1" objects="1" scenarios="1"/>
  <mergeCells count="6">
    <mergeCell ref="N71:N72"/>
    <mergeCell ref="N44:N45"/>
    <mergeCell ref="D17:D18"/>
    <mergeCell ref="E17:E18"/>
    <mergeCell ref="F17:F18"/>
    <mergeCell ref="G17:G18"/>
  </mergeCells>
  <conditionalFormatting sqref="R46:AF46">
    <cfRule type="colorScale" priority="32">
      <colorScale>
        <cfvo type="min"/>
        <cfvo type="percentile" val="50"/>
        <cfvo type="max"/>
        <color rgb="FF63BE7B"/>
        <color rgb="FFFFEB84"/>
        <color rgb="FFF8696B"/>
      </colorScale>
    </cfRule>
  </conditionalFormatting>
  <conditionalFormatting sqref="R46:AF46">
    <cfRule type="colorScale" priority="30">
      <colorScale>
        <cfvo type="min"/>
        <cfvo type="percentile" val="50"/>
        <cfvo type="max"/>
        <color rgb="FF63BE7B"/>
        <color rgb="FFFFEB84"/>
        <color rgb="FFF8696B"/>
      </colorScale>
    </cfRule>
  </conditionalFormatting>
  <conditionalFormatting sqref="R47:AJ48 R52:AA52 R56:AA56">
    <cfRule type="colorScale" priority="17">
      <colorScale>
        <cfvo type="min"/>
        <cfvo type="percentile" val="50"/>
        <cfvo type="max"/>
        <color rgb="FF63BE7B"/>
        <color rgb="FFFFEB84"/>
        <color rgb="FFF8696B"/>
      </colorScale>
    </cfRule>
  </conditionalFormatting>
  <conditionalFormatting sqref="R49:AA49">
    <cfRule type="colorScale" priority="16">
      <colorScale>
        <cfvo type="min"/>
        <cfvo type="percentile" val="50"/>
        <cfvo type="max"/>
        <color rgb="FF63BE7B"/>
        <color rgb="FFFFEB84"/>
        <color rgb="FFF8696B"/>
      </colorScale>
    </cfRule>
  </conditionalFormatting>
  <conditionalFormatting sqref="R50:AA50">
    <cfRule type="colorScale" priority="15">
      <colorScale>
        <cfvo type="min"/>
        <cfvo type="percentile" val="50"/>
        <cfvo type="max"/>
        <color rgb="FF63BE7B"/>
        <color rgb="FFFFEB84"/>
        <color rgb="FFF8696B"/>
      </colorScale>
    </cfRule>
  </conditionalFormatting>
  <conditionalFormatting sqref="R58:AA58">
    <cfRule type="colorScale" priority="14">
      <colorScale>
        <cfvo type="min"/>
        <cfvo type="percentile" val="50"/>
        <cfvo type="max"/>
        <color rgb="FF63BE7B"/>
        <color rgb="FFFFEB84"/>
        <color rgb="FFF8696B"/>
      </colorScale>
    </cfRule>
  </conditionalFormatting>
  <conditionalFormatting sqref="R57:AA57">
    <cfRule type="colorScale" priority="13">
      <colorScale>
        <cfvo type="min"/>
        <cfvo type="percentile" val="50"/>
        <cfvo type="max"/>
        <color rgb="FF63BE7B"/>
        <color rgb="FFFFEB84"/>
        <color rgb="FFF8696B"/>
      </colorScale>
    </cfRule>
  </conditionalFormatting>
  <conditionalFormatting sqref="R55:AA55">
    <cfRule type="colorScale" priority="12">
      <colorScale>
        <cfvo type="min"/>
        <cfvo type="percentile" val="50"/>
        <cfvo type="max"/>
        <color rgb="FF63BE7B"/>
        <color rgb="FFFFEB84"/>
        <color rgb="FFF8696B"/>
      </colorScale>
    </cfRule>
  </conditionalFormatting>
  <conditionalFormatting sqref="R54:AA54">
    <cfRule type="colorScale" priority="11">
      <colorScale>
        <cfvo type="min"/>
        <cfvo type="percentile" val="50"/>
        <cfvo type="max"/>
        <color rgb="FF63BE7B"/>
        <color rgb="FFFFEB84"/>
        <color rgb="FFF8696B"/>
      </colorScale>
    </cfRule>
  </conditionalFormatting>
  <conditionalFormatting sqref="R53:AA53">
    <cfRule type="colorScale" priority="10">
      <colorScale>
        <cfvo type="min"/>
        <cfvo type="percentile" val="50"/>
        <cfvo type="max"/>
        <color rgb="FF63BE7B"/>
        <color rgb="FFFFEB84"/>
        <color rgb="FFF8696B"/>
      </colorScale>
    </cfRule>
  </conditionalFormatting>
  <conditionalFormatting sqref="R51:AA51">
    <cfRule type="colorScale" priority="9">
      <colorScale>
        <cfvo type="min"/>
        <cfvo type="percentile" val="50"/>
        <cfvo type="max"/>
        <color rgb="FF63BE7B"/>
        <color rgb="FFFFEB84"/>
        <color rgb="FFF8696B"/>
      </colorScale>
    </cfRule>
  </conditionalFormatting>
  <conditionalFormatting sqref="R46:AJ59">
    <cfRule type="colorScale" priority="8">
      <colorScale>
        <cfvo type="min"/>
        <cfvo type="percentile" val="50"/>
        <cfvo type="max"/>
        <color rgb="FF63BE7B"/>
        <color rgb="FFFFEB84"/>
        <color rgb="FFF8696B"/>
      </colorScale>
    </cfRule>
  </conditionalFormatting>
  <conditionalFormatting sqref="AK91:AL91 AB90:AJ109">
    <cfRule type="colorScale" priority="5">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Q111:Z121 R122:Z125">
    <cfRule type="colorScale" priority="4">
      <colorScale>
        <cfvo type="min"/>
        <cfvo type="percentile" val="50"/>
        <cfvo type="max"/>
        <color rgb="FF63BE7B"/>
        <color rgb="FFFFEB84"/>
        <color rgb="FFF8696B"/>
      </colorScale>
    </cfRule>
  </conditionalFormatting>
  <conditionalFormatting sqref="Q92:Z106">
    <cfRule type="colorScale" priority="3">
      <colorScale>
        <cfvo type="min"/>
        <cfvo type="percentile" val="50"/>
        <cfvo type="max"/>
        <color rgb="FF63BE7B"/>
        <color rgb="FFFFEB84"/>
        <color rgb="FFF8696B"/>
      </colorScale>
    </cfRule>
  </conditionalFormatting>
  <conditionalFormatting sqref="S91:Z10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Z282"/>
  <sheetViews>
    <sheetView zoomScale="70" zoomScaleNormal="70" workbookViewId="0">
      <selection activeCell="T39" sqref="T39"/>
    </sheetView>
  </sheetViews>
  <sheetFormatPr defaultRowHeight="15" x14ac:dyDescent="0.25"/>
  <cols>
    <col min="1" max="1" width="12.85546875" customWidth="1"/>
    <col min="2" max="2" width="20.28515625" customWidth="1"/>
    <col min="3" max="3" width="17"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 customWidth="1"/>
    <col min="19" max="19" width="13.42578125" customWidth="1"/>
    <col min="20" max="20" width="10.28515625" customWidth="1"/>
    <col min="21" max="21" width="20" customWidth="1"/>
    <col min="22" max="22" width="14.5703125"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3.1406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60" ht="21.75" thickBot="1" x14ac:dyDescent="0.4">
      <c r="B1" s="188" t="s">
        <v>36</v>
      </c>
      <c r="C1" s="213" t="s">
        <v>210</v>
      </c>
      <c r="D1" s="189"/>
      <c r="E1" s="189"/>
      <c r="F1" s="189"/>
      <c r="G1" s="189"/>
      <c r="H1" s="189"/>
      <c r="I1" s="190"/>
    </row>
    <row r="2" spans="2:260"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60" ht="18.75" x14ac:dyDescent="0.3">
      <c r="B3" s="214" t="s">
        <v>181</v>
      </c>
      <c r="C3" s="187" t="str">
        <f>IF(AND('DATA ENTRY'!B22="mm",'DATA ENTRY'!B23&gt;=406,'DATA ENTRY'!B23&lt;=406.4),16,IF('DATA ENTRY'!B22="mm",'DATA ENTRY'!B23/25.4,'DATA ENTRY'!B23))</f>
        <v>ENTER LENGTH</v>
      </c>
      <c r="D3" s="179"/>
      <c r="E3" s="40"/>
      <c r="F3" s="40"/>
      <c r="G3" s="215" t="s">
        <v>229</v>
      </c>
      <c r="H3" s="187">
        <v>16</v>
      </c>
      <c r="I3" s="191">
        <v>108</v>
      </c>
      <c r="N3" s="41"/>
      <c r="O3" s="40"/>
      <c r="P3" s="40"/>
      <c r="Q3" s="40"/>
      <c r="R3" s="40"/>
      <c r="S3" s="40"/>
      <c r="T3" s="40"/>
      <c r="U3" s="40"/>
      <c r="V3" s="40"/>
      <c r="W3" s="169"/>
    </row>
    <row r="4" spans="2:260" ht="18.75" x14ac:dyDescent="0.3">
      <c r="B4" s="214" t="s">
        <v>38</v>
      </c>
      <c r="C4" s="187" t="str">
        <f>IF(AND('DATA ENTRY'!B22="mm",'DATA ENTRY'!B24&gt;=406,'DATA ENTRY'!B24&lt;=406.4),16,IF('DATA ENTRY'!B22="mm",'DATA ENTRY'!B24/25.4,'DATA ENTRY'!B24))</f>
        <v>ENTER WIDTH</v>
      </c>
      <c r="D4" s="179"/>
      <c r="E4" s="40"/>
      <c r="F4" s="40"/>
      <c r="G4" s="215" t="s">
        <v>230</v>
      </c>
      <c r="H4" s="187">
        <v>16</v>
      </c>
      <c r="I4" s="191">
        <v>108</v>
      </c>
      <c r="N4" s="41"/>
      <c r="O4" s="173" t="str">
        <f>C1&amp;"_MODEL"</f>
        <v>MCZE439_MODEL</v>
      </c>
      <c r="P4" s="173" t="s">
        <v>236</v>
      </c>
      <c r="Q4" s="173"/>
      <c r="R4" s="173"/>
      <c r="S4" s="173"/>
      <c r="T4" s="40"/>
      <c r="U4" s="40"/>
      <c r="V4" s="179" t="s">
        <v>93</v>
      </c>
      <c r="W4" s="169"/>
    </row>
    <row r="5" spans="2:260" ht="18.75" x14ac:dyDescent="0.3">
      <c r="B5" s="214" t="s">
        <v>39</v>
      </c>
      <c r="C5" s="187" t="str">
        <f>IF('DATA ENTRY'!B22="mm",VALUE(FIXED('DATA ENTRY'!B25/25.4)),'DATA ENTRY'!B25)</f>
        <v>ENTER HEIGHT</v>
      </c>
      <c r="D5" s="179"/>
      <c r="E5" s="40"/>
      <c r="F5" s="40"/>
      <c r="G5" s="215" t="s">
        <v>231</v>
      </c>
      <c r="H5" s="187">
        <v>13.06</v>
      </c>
      <c r="I5" s="191">
        <v>73.06</v>
      </c>
      <c r="N5" s="171" t="s">
        <v>79</v>
      </c>
      <c r="O5" s="173" t="str">
        <f>C1&amp;"_FA"</f>
        <v>MCZE439_FA</v>
      </c>
      <c r="P5" s="175" t="str">
        <f>P22</f>
        <v/>
      </c>
      <c r="Q5" s="173" t="s">
        <v>42</v>
      </c>
      <c r="R5" s="40"/>
      <c r="S5" s="40"/>
      <c r="T5" s="40"/>
      <c r="U5" s="40"/>
      <c r="V5" s="173" t="str">
        <f>C1&amp;"_W"</f>
        <v>MCZE439_W</v>
      </c>
      <c r="W5" s="178" t="str">
        <f>C3</f>
        <v>ENTER LENGTH</v>
      </c>
    </row>
    <row r="6" spans="2:260" ht="18.75" x14ac:dyDescent="0.3">
      <c r="B6" s="214" t="s">
        <v>40</v>
      </c>
      <c r="C6" s="483" t="str">
        <f>IF('DATA ENTRY'!B22="mm",'DATA ENTRY'!B26*2.1188799727597,'DATA ENTRY'!B26)</f>
        <v>ENTER AIR VOLUME</v>
      </c>
      <c r="D6" s="215"/>
      <c r="E6" s="215"/>
      <c r="F6" s="40"/>
      <c r="G6" s="40"/>
      <c r="H6" s="40"/>
      <c r="I6" s="169"/>
      <c r="N6" s="171" t="s">
        <v>56</v>
      </c>
      <c r="O6" s="173" t="str">
        <f>C1&amp;"_FA%"</f>
        <v>MCZE439_FA%</v>
      </c>
      <c r="P6" s="176" t="e">
        <f>P24</f>
        <v>#VALUE!</v>
      </c>
      <c r="Q6" s="173" t="s">
        <v>13</v>
      </c>
      <c r="R6" s="40"/>
      <c r="S6" s="40"/>
      <c r="T6" s="40"/>
      <c r="U6" s="40"/>
      <c r="V6" s="173" t="str">
        <f>C1&amp;"_H"</f>
        <v>MCZE439_H</v>
      </c>
      <c r="W6" s="178" t="str">
        <f>C4</f>
        <v>ENTER WIDTH</v>
      </c>
    </row>
    <row r="7" spans="2:260" ht="18.75" x14ac:dyDescent="0.3">
      <c r="B7" s="214" t="s">
        <v>41</v>
      </c>
      <c r="C7" s="215" t="str">
        <f>'DATA ENTRY'!B27</f>
        <v>SELECT AIR DIRECTION</v>
      </c>
      <c r="D7" s="215"/>
      <c r="E7" s="215"/>
      <c r="F7" s="40"/>
      <c r="G7" s="40"/>
      <c r="H7" s="40"/>
      <c r="I7" s="169"/>
      <c r="N7" s="171" t="s">
        <v>82</v>
      </c>
      <c r="O7" s="173" t="str">
        <f>C1&amp;"_VEL"</f>
        <v>MCZE439_VEL</v>
      </c>
      <c r="P7" s="176" t="e">
        <f>P26</f>
        <v>#VALUE!</v>
      </c>
      <c r="Q7" s="173" t="s">
        <v>0</v>
      </c>
      <c r="R7" s="40"/>
      <c r="S7" s="40"/>
      <c r="T7" s="40"/>
      <c r="U7" s="40"/>
      <c r="V7" s="173" t="str">
        <f>C1&amp;"_SL"</f>
        <v>MCZE439_SL</v>
      </c>
      <c r="W7" s="178" t="e">
        <f>C9</f>
        <v>#VALUE!</v>
      </c>
    </row>
    <row r="8" spans="2:260" ht="18.75" x14ac:dyDescent="0.3">
      <c r="B8" s="214"/>
      <c r="C8" s="215"/>
      <c r="D8" s="215"/>
      <c r="E8" s="215"/>
      <c r="F8" s="40"/>
      <c r="G8" s="40"/>
      <c r="H8" s="40"/>
      <c r="I8" s="169"/>
      <c r="N8" s="171" t="s">
        <v>80</v>
      </c>
      <c r="O8" s="173" t="str">
        <f>C1&amp;"_Intake"</f>
        <v>MCZE439_Intake</v>
      </c>
      <c r="P8" s="177" t="e">
        <f>P27</f>
        <v>#VALUE!</v>
      </c>
      <c r="Q8" s="173" t="s">
        <v>85</v>
      </c>
      <c r="R8" s="40"/>
      <c r="S8" s="40"/>
      <c r="T8" s="40"/>
      <c r="U8" s="40"/>
      <c r="V8" s="173" t="str">
        <f>C1&amp;"_SW"</f>
        <v>MCZE439_SW</v>
      </c>
      <c r="W8" s="178" t="e">
        <f>F9</f>
        <v>#VALUE!</v>
      </c>
    </row>
    <row r="9" spans="2:260" ht="18.75" x14ac:dyDescent="0.3">
      <c r="B9" s="214" t="s">
        <v>183</v>
      </c>
      <c r="C9" s="462" t="e">
        <f>CEILING(C3/60,1)</f>
        <v>#VALUE!</v>
      </c>
      <c r="D9" s="215"/>
      <c r="E9" s="215" t="s">
        <v>60</v>
      </c>
      <c r="F9" s="462" t="e">
        <f>CEILING(C4/60,1)</f>
        <v>#VALUE!</v>
      </c>
      <c r="G9" s="40"/>
      <c r="H9" s="215" t="s">
        <v>61</v>
      </c>
      <c r="I9" s="463" t="e">
        <f>CEILING(C5/I5,1)</f>
        <v>#VALUE!</v>
      </c>
      <c r="N9" s="171" t="s">
        <v>81</v>
      </c>
      <c r="O9" s="173" t="str">
        <f>C1&amp;"_Exhaust"</f>
        <v>MCZE439_Exhaust</v>
      </c>
      <c r="P9" s="177" t="e">
        <f>P28</f>
        <v>#VALUE!</v>
      </c>
      <c r="Q9" s="173" t="s">
        <v>85</v>
      </c>
      <c r="R9" s="40"/>
      <c r="S9" s="40"/>
      <c r="T9" s="40"/>
      <c r="U9" s="40"/>
      <c r="V9" s="173" t="str">
        <f>C1&amp;"_TA"</f>
        <v>MCZE439_TA</v>
      </c>
      <c r="W9" s="178">
        <f>IF(OR(C3&lt;H3,C4&lt;H4,C5&lt;H5,C3&gt;I3,C4&gt;I4,C5&gt;I5),0,(C3*C4)/144)</f>
        <v>0</v>
      </c>
    </row>
    <row r="10" spans="2:260" ht="18.75" x14ac:dyDescent="0.3">
      <c r="B10" s="214" t="s">
        <v>184</v>
      </c>
      <c r="C10" s="462" t="e">
        <f>(C3/C9)</f>
        <v>#VALUE!</v>
      </c>
      <c r="D10" s="215"/>
      <c r="E10" s="215" t="s">
        <v>58</v>
      </c>
      <c r="F10" s="462" t="e">
        <f>(C4/F9)</f>
        <v>#VALUE!</v>
      </c>
      <c r="G10" s="40"/>
      <c r="H10" s="215" t="s">
        <v>51</v>
      </c>
      <c r="I10" s="463" t="e">
        <f>(C5/I9)</f>
        <v>#VALUE!</v>
      </c>
      <c r="N10" s="171" t="s">
        <v>86</v>
      </c>
      <c r="O10" s="173" t="str">
        <f>C1&amp;"_SEC"</f>
        <v>MCZE439_SEC</v>
      </c>
      <c r="P10" s="173">
        <f>IF(OR(C3&lt;H3,C4&lt;H4,C5&lt;H5,C3&gt;I3,C4&gt;I4,C5&gt;I5),0,D13)</f>
        <v>0</v>
      </c>
      <c r="Q10" s="173"/>
      <c r="R10" s="40"/>
      <c r="S10" s="40"/>
      <c r="T10" s="40"/>
      <c r="U10" s="40"/>
      <c r="V10" s="40"/>
      <c r="W10" s="169"/>
    </row>
    <row r="11" spans="2:260" ht="18.75" x14ac:dyDescent="0.3">
      <c r="B11" s="214"/>
      <c r="C11" s="215"/>
      <c r="D11" s="215"/>
      <c r="E11" s="215"/>
      <c r="F11" s="215"/>
      <c r="G11" s="40"/>
      <c r="H11" s="40"/>
      <c r="I11" s="169"/>
      <c r="N11" s="171" t="s">
        <v>83</v>
      </c>
      <c r="O11" s="173" t="str">
        <f>C1&amp;"_SECW"</f>
        <v>MCZE439_SECW</v>
      </c>
      <c r="P11" s="194" t="e">
        <f>IF(OR(D3&gt;I3,D4&gt;I4,D5&gt;I5),0,AB81)</f>
        <v>#VALUE!</v>
      </c>
      <c r="Q11" s="173" t="s">
        <v>72</v>
      </c>
      <c r="R11" s="40"/>
      <c r="S11" s="40"/>
      <c r="T11" s="40"/>
      <c r="U11" s="40"/>
      <c r="V11" s="40"/>
      <c r="W11" s="169"/>
    </row>
    <row r="12" spans="2:260" ht="19.5" thickBot="1" x14ac:dyDescent="0.35">
      <c r="B12" s="41"/>
      <c r="C12" s="214" t="s">
        <v>185</v>
      </c>
      <c r="D12" s="462" t="e">
        <f>C9*I9</f>
        <v>#VALUE!</v>
      </c>
      <c r="E12" s="215"/>
      <c r="F12" s="215" t="s">
        <v>186</v>
      </c>
      <c r="G12" s="462" t="e">
        <f>F9*I9</f>
        <v>#VALUE!</v>
      </c>
      <c r="H12" s="40"/>
      <c r="I12" s="169"/>
      <c r="N12" s="172" t="s">
        <v>84</v>
      </c>
      <c r="O12" s="174" t="str">
        <f>C1&amp;"_TW"</f>
        <v>MCZE439_TW</v>
      </c>
      <c r="P12" s="416">
        <f>IF(OR(C3&lt;H3,C4&lt;H4,C5&lt;H5,C3&gt;I3,C4&gt;I4,C5&gt;I5),0,AB80)</f>
        <v>0</v>
      </c>
      <c r="Q12" s="174" t="s">
        <v>72</v>
      </c>
      <c r="R12" s="43"/>
      <c r="S12" s="43"/>
      <c r="T12" s="43"/>
      <c r="U12" s="43"/>
      <c r="V12" s="43"/>
      <c r="W12" s="170"/>
    </row>
    <row r="13" spans="2:260" ht="18.75" x14ac:dyDescent="0.3">
      <c r="B13" s="41"/>
      <c r="C13" s="215" t="s">
        <v>187</v>
      </c>
      <c r="D13" s="462" t="e">
        <f>IF(OR(C10=0,F10=0,I10=0),0,((2*D12)+(2*G12)))</f>
        <v>#VALUE!</v>
      </c>
      <c r="E13" s="187"/>
      <c r="F13" s="215" t="s">
        <v>337</v>
      </c>
      <c r="G13" s="462" t="e">
        <f>VALUE(RIGHT('FOR ENGINEERS'!F21,1))</f>
        <v>#N/A</v>
      </c>
      <c r="H13" s="40"/>
      <c r="I13" s="169"/>
      <c r="L13" s="71"/>
      <c r="M13" s="71"/>
      <c r="N13" s="425"/>
      <c r="O13" s="425"/>
      <c r="P13" s="425"/>
      <c r="Q13" s="425"/>
      <c r="R13" s="193"/>
      <c r="S13" s="193"/>
      <c r="T13" s="193"/>
      <c r="U13" s="193"/>
      <c r="V13" s="193"/>
      <c r="W13" s="193"/>
      <c r="X13" s="71"/>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3"/>
      <c r="IX13" s="193"/>
      <c r="IY13" s="193"/>
      <c r="IZ13" s="193"/>
    </row>
    <row r="14" spans="2:260" ht="15.75" thickBot="1" x14ac:dyDescent="0.3">
      <c r="B14" s="42"/>
      <c r="C14" s="43"/>
      <c r="D14" s="43"/>
      <c r="E14" s="43"/>
      <c r="F14" s="43"/>
      <c r="G14" s="43"/>
      <c r="H14" s="43"/>
      <c r="I14" s="170"/>
      <c r="L14" s="71"/>
      <c r="M14" s="71"/>
      <c r="N14" s="71"/>
      <c r="O14" s="71"/>
      <c r="P14" s="71"/>
      <c r="Q14" s="71"/>
      <c r="R14" s="71"/>
      <c r="S14" s="71"/>
      <c r="T14" s="71"/>
      <c r="U14" s="71"/>
      <c r="V14" s="71"/>
      <c r="W14" s="71"/>
      <c r="X14" s="71"/>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c r="IZ14" s="193"/>
    </row>
    <row r="15" spans="2:260" ht="27" thickBot="1" x14ac:dyDescent="0.45">
      <c r="B15" s="166" t="s">
        <v>364</v>
      </c>
      <c r="C15" s="122"/>
      <c r="D15" s="812"/>
      <c r="E15" s="813"/>
      <c r="F15" s="813"/>
      <c r="G15" s="813"/>
      <c r="H15" s="813"/>
      <c r="I15" s="813"/>
      <c r="J15" s="813"/>
      <c r="K15" s="813"/>
      <c r="L15" s="813"/>
      <c r="M15" s="813"/>
      <c r="N15" s="813"/>
      <c r="O15" s="813"/>
      <c r="P15" s="813"/>
      <c r="Q15" s="813"/>
      <c r="R15" s="813"/>
      <c r="S15" s="813"/>
      <c r="T15" s="813"/>
      <c r="U15" s="813"/>
      <c r="V15" s="813"/>
      <c r="W15" s="814"/>
      <c r="X15" s="815"/>
      <c r="Y15" s="816"/>
      <c r="AB15" s="71"/>
      <c r="AC15" s="71"/>
      <c r="AD15" s="71"/>
      <c r="AE15" s="71"/>
      <c r="AF15" s="71"/>
      <c r="AG15" s="71"/>
      <c r="AS15" s="193"/>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c r="IW15" s="800"/>
      <c r="IX15" s="800"/>
      <c r="IY15" s="193"/>
      <c r="IZ15" s="193"/>
    </row>
    <row r="16" spans="2:260" ht="15.75" customHeight="1" thickBot="1" x14ac:dyDescent="0.3">
      <c r="B16" s="810"/>
      <c r="C16" s="811"/>
      <c r="D16" s="811"/>
      <c r="E16" s="811"/>
      <c r="F16" s="811"/>
      <c r="G16" s="811"/>
      <c r="H16" s="811"/>
      <c r="I16" s="811"/>
      <c r="J16" s="811"/>
      <c r="K16" s="811"/>
      <c r="L16" s="811"/>
      <c r="M16" s="811"/>
      <c r="N16" s="811"/>
      <c r="O16" s="811"/>
      <c r="P16" s="811"/>
      <c r="Q16" s="811"/>
      <c r="R16" s="811"/>
      <c r="S16" s="811"/>
      <c r="T16" s="811"/>
      <c r="U16" s="811"/>
      <c r="V16" s="811"/>
      <c r="W16" s="811"/>
      <c r="X16" s="114"/>
      <c r="Y16" s="120"/>
      <c r="AB16" s="71"/>
      <c r="AC16" s="71"/>
      <c r="AD16" s="71"/>
      <c r="AE16" s="71"/>
      <c r="AF16" s="71"/>
      <c r="AG16" s="71"/>
      <c r="AS16" s="193"/>
      <c r="AT16" s="507"/>
      <c r="AU16" s="507"/>
      <c r="AV16" s="507"/>
      <c r="AW16" s="507"/>
      <c r="AX16" s="507"/>
      <c r="AY16" s="507"/>
      <c r="AZ16" s="507"/>
      <c r="BA16" s="507"/>
      <c r="BB16" s="507"/>
      <c r="BC16" s="507"/>
      <c r="BD16" s="507"/>
      <c r="BE16" s="507"/>
      <c r="BF16" s="507"/>
      <c r="BG16" s="507"/>
      <c r="BH16" s="786"/>
      <c r="BI16" s="787"/>
      <c r="BJ16" s="787"/>
      <c r="BK16" s="787"/>
      <c r="BL16" s="787"/>
      <c r="BM16" s="787"/>
      <c r="BN16" s="787"/>
      <c r="BO16" s="787"/>
      <c r="BP16" s="787"/>
      <c r="BQ16" s="787"/>
      <c r="BR16" s="786"/>
      <c r="BS16" s="787"/>
      <c r="BT16" s="787"/>
      <c r="BU16" s="787"/>
      <c r="BV16" s="787"/>
      <c r="BW16" s="787"/>
      <c r="BX16" s="787"/>
      <c r="BY16" s="787"/>
      <c r="BZ16" s="787"/>
      <c r="CA16" s="787"/>
      <c r="CB16" s="786"/>
      <c r="CC16" s="787"/>
      <c r="CD16" s="787"/>
      <c r="CE16" s="787"/>
      <c r="CF16" s="787"/>
      <c r="CG16" s="787"/>
      <c r="CH16" s="787"/>
      <c r="CI16" s="787"/>
      <c r="CJ16" s="787"/>
      <c r="CK16" s="787"/>
      <c r="CL16" s="786"/>
      <c r="CM16" s="787"/>
      <c r="CN16" s="787"/>
      <c r="CO16" s="787"/>
      <c r="CP16" s="787"/>
      <c r="CQ16" s="787"/>
      <c r="CR16" s="787"/>
      <c r="CS16" s="787"/>
      <c r="CT16" s="787"/>
      <c r="CU16" s="787"/>
      <c r="CV16" s="786"/>
      <c r="CW16" s="787"/>
      <c r="CX16" s="787"/>
      <c r="CY16" s="787"/>
      <c r="CZ16" s="787"/>
      <c r="DA16" s="787"/>
      <c r="DB16" s="787"/>
      <c r="DC16" s="787"/>
      <c r="DD16" s="787"/>
      <c r="DE16" s="787"/>
      <c r="DF16" s="786"/>
      <c r="DG16" s="787"/>
      <c r="DH16" s="787"/>
      <c r="DI16" s="787"/>
      <c r="DJ16" s="787"/>
      <c r="DK16" s="787"/>
      <c r="DL16" s="787"/>
      <c r="DM16" s="787"/>
      <c r="DN16" s="787"/>
      <c r="DO16" s="787"/>
      <c r="DP16" s="786"/>
      <c r="DQ16" s="787"/>
      <c r="DR16" s="787"/>
      <c r="DS16" s="787"/>
      <c r="DT16" s="787"/>
      <c r="DU16" s="787"/>
      <c r="DV16" s="787"/>
      <c r="DW16" s="787"/>
      <c r="DX16" s="787"/>
      <c r="DY16" s="787"/>
      <c r="DZ16" s="786"/>
      <c r="EA16" s="787"/>
      <c r="EB16" s="787"/>
      <c r="EC16" s="787"/>
      <c r="ED16" s="787"/>
      <c r="EE16" s="787"/>
      <c r="EF16" s="787"/>
      <c r="EG16" s="787"/>
      <c r="EH16" s="787"/>
      <c r="EI16" s="787"/>
      <c r="EJ16" s="786"/>
      <c r="EK16" s="787"/>
      <c r="EL16" s="787"/>
      <c r="EM16" s="787"/>
      <c r="EN16" s="787"/>
      <c r="EO16" s="787"/>
      <c r="EP16" s="787"/>
      <c r="EQ16" s="787"/>
      <c r="ER16" s="787"/>
      <c r="ES16" s="787"/>
      <c r="ET16" s="786"/>
      <c r="EU16" s="787"/>
      <c r="EV16" s="787"/>
      <c r="EW16" s="787"/>
      <c r="EX16" s="787"/>
      <c r="EY16" s="787"/>
      <c r="EZ16" s="787"/>
      <c r="FA16" s="787"/>
      <c r="FB16" s="787"/>
      <c r="FC16" s="787"/>
      <c r="FD16" s="786"/>
      <c r="FE16" s="787"/>
      <c r="FF16" s="787"/>
      <c r="FG16" s="787"/>
      <c r="FH16" s="787"/>
      <c r="FI16" s="787"/>
      <c r="FJ16" s="787"/>
      <c r="FK16" s="787"/>
      <c r="FL16" s="787"/>
      <c r="FM16" s="787"/>
      <c r="FN16" s="786"/>
      <c r="FO16" s="787"/>
      <c r="FP16" s="787"/>
      <c r="FQ16" s="787"/>
      <c r="FR16" s="787"/>
      <c r="FS16" s="787"/>
      <c r="FT16" s="787"/>
      <c r="FU16" s="787"/>
      <c r="FV16" s="787"/>
      <c r="FW16" s="787"/>
      <c r="FX16" s="786"/>
      <c r="FY16" s="787"/>
      <c r="FZ16" s="787"/>
      <c r="GA16" s="787"/>
      <c r="GB16" s="787"/>
      <c r="GC16" s="787"/>
      <c r="GD16" s="787"/>
      <c r="GE16" s="787"/>
      <c r="GF16" s="787"/>
      <c r="GG16" s="787"/>
      <c r="GH16" s="786"/>
      <c r="GI16" s="787"/>
      <c r="GJ16" s="787"/>
      <c r="GK16" s="787"/>
      <c r="GL16" s="787"/>
      <c r="GM16" s="787"/>
      <c r="GN16" s="787"/>
      <c r="GO16" s="787"/>
      <c r="GP16" s="787"/>
      <c r="GQ16" s="787"/>
      <c r="GR16" s="786"/>
      <c r="GS16" s="787"/>
      <c r="GT16" s="787"/>
      <c r="GU16" s="787"/>
      <c r="GV16" s="787"/>
      <c r="GW16" s="787"/>
      <c r="GX16" s="787"/>
      <c r="GY16" s="787"/>
      <c r="GZ16" s="787"/>
      <c r="HA16" s="787"/>
      <c r="HB16" s="786"/>
      <c r="HC16" s="787"/>
      <c r="HD16" s="787"/>
      <c r="HE16" s="787"/>
      <c r="HF16" s="787"/>
      <c r="HG16" s="787"/>
      <c r="HH16" s="787"/>
      <c r="HI16" s="787"/>
      <c r="HJ16" s="787"/>
      <c r="HK16" s="787"/>
      <c r="HL16" s="786"/>
      <c r="HM16" s="787"/>
      <c r="HN16" s="787"/>
      <c r="HO16" s="787"/>
      <c r="HP16" s="787"/>
      <c r="HQ16" s="787"/>
      <c r="HR16" s="787"/>
      <c r="HS16" s="787"/>
      <c r="HT16" s="787"/>
      <c r="HU16" s="787"/>
      <c r="HV16" s="786"/>
      <c r="HW16" s="787"/>
      <c r="HX16" s="787"/>
      <c r="HY16" s="787"/>
      <c r="HZ16" s="787"/>
      <c r="IA16" s="787"/>
      <c r="IB16" s="787"/>
      <c r="IC16" s="787"/>
      <c r="ID16" s="787"/>
      <c r="IE16" s="787"/>
      <c r="IF16" s="786"/>
      <c r="IG16" s="787"/>
      <c r="IH16" s="787"/>
      <c r="II16" s="787"/>
      <c r="IJ16" s="787"/>
      <c r="IK16" s="787"/>
      <c r="IL16" s="787"/>
      <c r="IM16" s="787"/>
      <c r="IN16" s="507"/>
      <c r="IO16" s="507"/>
      <c r="IP16" s="507"/>
      <c r="IQ16" s="507"/>
      <c r="IR16" s="507"/>
      <c r="IS16" s="507"/>
      <c r="IT16" s="507"/>
      <c r="IU16" s="507"/>
      <c r="IV16" s="507"/>
      <c r="IW16" s="507"/>
      <c r="IX16" s="507"/>
      <c r="IY16" s="193"/>
      <c r="IZ16" s="193"/>
    </row>
    <row r="17" spans="2:260" ht="19.5" thickBot="1" x14ac:dyDescent="0.35">
      <c r="B17" s="214"/>
      <c r="C17" s="809"/>
      <c r="D17" s="1001" t="s">
        <v>365</v>
      </c>
      <c r="E17" s="1001" t="s">
        <v>361</v>
      </c>
      <c r="F17" s="1002" t="s">
        <v>362</v>
      </c>
      <c r="G17" s="1002" t="s">
        <v>363</v>
      </c>
      <c r="H17" s="40"/>
      <c r="I17" s="40"/>
      <c r="J17" s="40"/>
      <c r="K17" s="40"/>
      <c r="L17" s="40"/>
      <c r="M17" s="40"/>
      <c r="N17" s="40"/>
      <c r="O17" s="40"/>
      <c r="P17" s="40"/>
      <c r="Q17" s="40"/>
      <c r="R17" s="40"/>
      <c r="S17" s="40"/>
      <c r="T17" s="40"/>
      <c r="U17" s="40"/>
      <c r="V17" s="40"/>
      <c r="W17" s="40"/>
      <c r="X17" s="113"/>
      <c r="Y17" s="46"/>
      <c r="AB17" s="71"/>
      <c r="AC17" s="71"/>
      <c r="AD17" s="860"/>
      <c r="AE17" s="71"/>
      <c r="AF17" s="71"/>
      <c r="AG17" s="71"/>
      <c r="AS17" s="193"/>
      <c r="AT17" s="507"/>
      <c r="AU17" s="801"/>
      <c r="AV17" s="801"/>
      <c r="AW17" s="802"/>
      <c r="AX17" s="802"/>
      <c r="AY17" s="802"/>
      <c r="AZ17" s="802"/>
      <c r="BA17" s="802"/>
      <c r="BB17" s="802"/>
      <c r="BC17" s="802"/>
      <c r="BD17" s="802"/>
      <c r="BE17" s="802"/>
      <c r="BF17" s="802"/>
      <c r="BG17" s="802"/>
      <c r="BH17" s="802"/>
      <c r="BI17" s="802"/>
      <c r="BJ17" s="802"/>
      <c r="BK17" s="802"/>
      <c r="BL17" s="802"/>
      <c r="BM17" s="802"/>
      <c r="BN17" s="802"/>
      <c r="BO17" s="802"/>
      <c r="BP17" s="802"/>
      <c r="BQ17" s="802"/>
      <c r="BR17" s="802"/>
      <c r="BS17" s="802"/>
      <c r="BT17" s="802"/>
      <c r="BU17" s="802"/>
      <c r="BV17" s="802"/>
      <c r="BW17" s="802"/>
      <c r="BX17" s="802"/>
      <c r="BY17" s="802"/>
      <c r="BZ17" s="802"/>
      <c r="CA17" s="802"/>
      <c r="CB17" s="802"/>
      <c r="CC17" s="802"/>
      <c r="CD17" s="802"/>
      <c r="CE17" s="802"/>
      <c r="CF17" s="802"/>
      <c r="CG17" s="802"/>
      <c r="CH17" s="802"/>
      <c r="CI17" s="802"/>
      <c r="CJ17" s="802"/>
      <c r="CK17" s="802"/>
      <c r="CL17" s="802"/>
      <c r="CM17" s="802"/>
      <c r="CN17" s="802"/>
      <c r="CO17" s="802"/>
      <c r="CP17" s="802"/>
      <c r="CQ17" s="802"/>
      <c r="CR17" s="802"/>
      <c r="CS17" s="802"/>
      <c r="CT17" s="802"/>
      <c r="CU17" s="802"/>
      <c r="CV17" s="802"/>
      <c r="CW17" s="802"/>
      <c r="CX17" s="802"/>
      <c r="CY17" s="802"/>
      <c r="CZ17" s="802"/>
      <c r="DA17" s="802"/>
      <c r="DB17" s="802"/>
      <c r="DC17" s="802"/>
      <c r="DD17" s="802"/>
      <c r="DE17" s="802"/>
      <c r="DF17" s="802"/>
      <c r="DG17" s="802"/>
      <c r="DH17" s="802"/>
      <c r="DI17" s="802"/>
      <c r="DJ17" s="802"/>
      <c r="DK17" s="802"/>
      <c r="DL17" s="802"/>
      <c r="DM17" s="802"/>
      <c r="DN17" s="802"/>
      <c r="DO17" s="802"/>
      <c r="DP17" s="802"/>
      <c r="DQ17" s="802"/>
      <c r="DR17" s="802"/>
      <c r="DS17" s="802"/>
      <c r="DT17" s="802"/>
      <c r="DU17" s="802"/>
      <c r="DV17" s="802"/>
      <c r="DW17" s="802"/>
      <c r="DX17" s="802"/>
      <c r="DY17" s="802"/>
      <c r="DZ17" s="802"/>
      <c r="EA17" s="802"/>
      <c r="EB17" s="802"/>
      <c r="EC17" s="802"/>
      <c r="ED17" s="802"/>
      <c r="EE17" s="802"/>
      <c r="EF17" s="802"/>
      <c r="EG17" s="802"/>
      <c r="EH17" s="802"/>
      <c r="EI17" s="802"/>
      <c r="EJ17" s="802"/>
      <c r="EK17" s="802"/>
      <c r="EL17" s="802"/>
      <c r="EM17" s="802"/>
      <c r="EN17" s="802"/>
      <c r="EO17" s="802"/>
      <c r="EP17" s="802"/>
      <c r="EQ17" s="802"/>
      <c r="ER17" s="802"/>
      <c r="ES17" s="802"/>
      <c r="ET17" s="802"/>
      <c r="EU17" s="802"/>
      <c r="EV17" s="802"/>
      <c r="EW17" s="802"/>
      <c r="EX17" s="802"/>
      <c r="EY17" s="802"/>
      <c r="EZ17" s="802"/>
      <c r="FA17" s="802"/>
      <c r="FB17" s="802"/>
      <c r="FC17" s="802"/>
      <c r="FD17" s="802"/>
      <c r="FE17" s="802"/>
      <c r="FF17" s="802"/>
      <c r="FG17" s="802"/>
      <c r="FH17" s="802"/>
      <c r="FI17" s="802"/>
      <c r="FJ17" s="802"/>
      <c r="FK17" s="802"/>
      <c r="FL17" s="802"/>
      <c r="FM17" s="802"/>
      <c r="FN17" s="802"/>
      <c r="FO17" s="802"/>
      <c r="FP17" s="802"/>
      <c r="FQ17" s="802"/>
      <c r="FR17" s="802"/>
      <c r="FS17" s="802"/>
      <c r="FT17" s="802"/>
      <c r="FU17" s="802"/>
      <c r="FV17" s="802"/>
      <c r="FW17" s="802"/>
      <c r="FX17" s="802"/>
      <c r="FY17" s="802"/>
      <c r="FZ17" s="802"/>
      <c r="GA17" s="802"/>
      <c r="GB17" s="802"/>
      <c r="GC17" s="802"/>
      <c r="GD17" s="802"/>
      <c r="GE17" s="802"/>
      <c r="GF17" s="802"/>
      <c r="GG17" s="802"/>
      <c r="GH17" s="802"/>
      <c r="GI17" s="802"/>
      <c r="GJ17" s="802"/>
      <c r="GK17" s="802"/>
      <c r="GL17" s="802"/>
      <c r="GM17" s="802"/>
      <c r="GN17" s="802"/>
      <c r="GO17" s="802"/>
      <c r="GP17" s="802"/>
      <c r="GQ17" s="802"/>
      <c r="GR17" s="802"/>
      <c r="GS17" s="802"/>
      <c r="GT17" s="802"/>
      <c r="GU17" s="802"/>
      <c r="GV17" s="802"/>
      <c r="GW17" s="802"/>
      <c r="GX17" s="802"/>
      <c r="GY17" s="802"/>
      <c r="GZ17" s="802"/>
      <c r="HA17" s="802"/>
      <c r="HB17" s="802"/>
      <c r="HC17" s="802"/>
      <c r="HD17" s="802"/>
      <c r="HE17" s="802"/>
      <c r="HF17" s="802"/>
      <c r="HG17" s="802"/>
      <c r="HH17" s="802"/>
      <c r="HI17" s="802"/>
      <c r="HJ17" s="802"/>
      <c r="HK17" s="802"/>
      <c r="HL17" s="802"/>
      <c r="HM17" s="802"/>
      <c r="HN17" s="802"/>
      <c r="HO17" s="802"/>
      <c r="HP17" s="802"/>
      <c r="HQ17" s="802"/>
      <c r="HR17" s="802"/>
      <c r="HS17" s="802"/>
      <c r="HT17" s="802"/>
      <c r="HU17" s="802"/>
      <c r="HV17" s="802"/>
      <c r="HW17" s="802"/>
      <c r="HX17" s="802"/>
      <c r="HY17" s="802"/>
      <c r="HZ17" s="802"/>
      <c r="IA17" s="802"/>
      <c r="IB17" s="802"/>
      <c r="IC17" s="802"/>
      <c r="ID17" s="802"/>
      <c r="IE17" s="802"/>
      <c r="IF17" s="802"/>
      <c r="IG17" s="802"/>
      <c r="IH17" s="793"/>
      <c r="II17" s="793"/>
      <c r="IJ17" s="793"/>
      <c r="IK17" s="793"/>
      <c r="IL17" s="793"/>
      <c r="IM17" s="793"/>
      <c r="IN17" s="507"/>
      <c r="IO17" s="507"/>
      <c r="IP17" s="507"/>
      <c r="IQ17" s="788"/>
      <c r="IR17" s="788"/>
      <c r="IS17" s="788"/>
      <c r="IT17" s="788"/>
      <c r="IU17" s="788"/>
      <c r="IV17" s="788"/>
      <c r="IW17" s="788"/>
      <c r="IX17" s="507"/>
      <c r="IY17" s="193"/>
      <c r="IZ17" s="193"/>
    </row>
    <row r="18" spans="2:260" ht="30" customHeight="1" thickBot="1" x14ac:dyDescent="0.4">
      <c r="B18" s="805"/>
      <c r="C18" s="818" t="s">
        <v>39</v>
      </c>
      <c r="D18" s="1001"/>
      <c r="E18" s="1001"/>
      <c r="F18" s="1002"/>
      <c r="G18" s="1002"/>
      <c r="H18" s="817"/>
      <c r="I18" s="823" t="s">
        <v>372</v>
      </c>
      <c r="J18" s="824"/>
      <c r="K18" s="825"/>
      <c r="L18" s="825"/>
      <c r="M18" s="825"/>
      <c r="N18" s="825"/>
      <c r="O18" s="825"/>
      <c r="P18" s="825"/>
      <c r="Q18" s="825"/>
      <c r="R18" s="825"/>
      <c r="S18" s="826"/>
      <c r="T18" s="692"/>
      <c r="U18" s="692"/>
      <c r="V18" s="692"/>
      <c r="W18" s="692"/>
      <c r="X18" s="841"/>
      <c r="Y18" s="77"/>
      <c r="Z18" s="61"/>
      <c r="AA18" s="61"/>
      <c r="AB18" s="71"/>
      <c r="AC18" s="862"/>
      <c r="AD18" s="71"/>
      <c r="AE18" s="71"/>
      <c r="AF18" s="71"/>
      <c r="AG18" s="71"/>
      <c r="AS18" s="193"/>
      <c r="AT18" s="507"/>
      <c r="AU18" s="801"/>
      <c r="AV18" s="801"/>
      <c r="AW18" s="802"/>
      <c r="AX18" s="802"/>
      <c r="AY18" s="802"/>
      <c r="AZ18" s="802"/>
      <c r="BA18" s="802"/>
      <c r="BB18" s="802"/>
      <c r="BC18" s="802"/>
      <c r="BD18" s="802"/>
      <c r="BE18" s="802"/>
      <c r="BF18" s="802"/>
      <c r="BG18" s="802"/>
      <c r="BH18" s="802"/>
      <c r="BI18" s="802"/>
      <c r="BJ18" s="802"/>
      <c r="BK18" s="802"/>
      <c r="BL18" s="802"/>
      <c r="BM18" s="802"/>
      <c r="BN18" s="802"/>
      <c r="BO18" s="802"/>
      <c r="BP18" s="802"/>
      <c r="BQ18" s="802"/>
      <c r="BR18" s="802"/>
      <c r="BS18" s="802"/>
      <c r="BT18" s="802"/>
      <c r="BU18" s="802"/>
      <c r="BV18" s="802"/>
      <c r="BW18" s="802"/>
      <c r="BX18" s="802"/>
      <c r="BY18" s="802"/>
      <c r="BZ18" s="802"/>
      <c r="CA18" s="802"/>
      <c r="CB18" s="802"/>
      <c r="CC18" s="802"/>
      <c r="CD18" s="802"/>
      <c r="CE18" s="802"/>
      <c r="CF18" s="802"/>
      <c r="CG18" s="802"/>
      <c r="CH18" s="802"/>
      <c r="CI18" s="802"/>
      <c r="CJ18" s="802"/>
      <c r="CK18" s="802"/>
      <c r="CL18" s="802"/>
      <c r="CM18" s="802"/>
      <c r="CN18" s="802"/>
      <c r="CO18" s="802"/>
      <c r="CP18" s="802"/>
      <c r="CQ18" s="802"/>
      <c r="CR18" s="802"/>
      <c r="CS18" s="802"/>
      <c r="CT18" s="802"/>
      <c r="CU18" s="802"/>
      <c r="CV18" s="802"/>
      <c r="CW18" s="802"/>
      <c r="CX18" s="802"/>
      <c r="CY18" s="802"/>
      <c r="CZ18" s="802"/>
      <c r="DA18" s="802"/>
      <c r="DB18" s="802"/>
      <c r="DC18" s="802"/>
      <c r="DD18" s="802"/>
      <c r="DE18" s="802"/>
      <c r="DF18" s="802"/>
      <c r="DG18" s="802"/>
      <c r="DH18" s="802"/>
      <c r="DI18" s="802"/>
      <c r="DJ18" s="802"/>
      <c r="DK18" s="802"/>
      <c r="DL18" s="802"/>
      <c r="DM18" s="802"/>
      <c r="DN18" s="802"/>
      <c r="DO18" s="802"/>
      <c r="DP18" s="802"/>
      <c r="DQ18" s="802"/>
      <c r="DR18" s="802"/>
      <c r="DS18" s="802"/>
      <c r="DT18" s="802"/>
      <c r="DU18" s="802"/>
      <c r="DV18" s="802"/>
      <c r="DW18" s="802"/>
      <c r="DX18" s="802"/>
      <c r="DY18" s="802"/>
      <c r="DZ18" s="802"/>
      <c r="EA18" s="802"/>
      <c r="EB18" s="802"/>
      <c r="EC18" s="802"/>
      <c r="ED18" s="802"/>
      <c r="EE18" s="802"/>
      <c r="EF18" s="802"/>
      <c r="EG18" s="802"/>
      <c r="EH18" s="802"/>
      <c r="EI18" s="802"/>
      <c r="EJ18" s="802"/>
      <c r="EK18" s="802"/>
      <c r="EL18" s="802"/>
      <c r="EM18" s="802"/>
      <c r="EN18" s="802"/>
      <c r="EO18" s="802"/>
      <c r="EP18" s="802"/>
      <c r="EQ18" s="802"/>
      <c r="ER18" s="802"/>
      <c r="ES18" s="802"/>
      <c r="ET18" s="802"/>
      <c r="EU18" s="802"/>
      <c r="EV18" s="802"/>
      <c r="EW18" s="802"/>
      <c r="EX18" s="802"/>
      <c r="EY18" s="802"/>
      <c r="EZ18" s="802"/>
      <c r="FA18" s="802"/>
      <c r="FB18" s="802"/>
      <c r="FC18" s="802"/>
      <c r="FD18" s="802"/>
      <c r="FE18" s="802"/>
      <c r="FF18" s="802"/>
      <c r="FG18" s="802"/>
      <c r="FH18" s="802"/>
      <c r="FI18" s="802"/>
      <c r="FJ18" s="802"/>
      <c r="FK18" s="802"/>
      <c r="FL18" s="802"/>
      <c r="FM18" s="802"/>
      <c r="FN18" s="802"/>
      <c r="FO18" s="802"/>
      <c r="FP18" s="802"/>
      <c r="FQ18" s="802"/>
      <c r="FR18" s="802"/>
      <c r="FS18" s="802"/>
      <c r="FT18" s="802"/>
      <c r="FU18" s="802"/>
      <c r="FV18" s="802"/>
      <c r="FW18" s="802"/>
      <c r="FX18" s="802"/>
      <c r="FY18" s="802"/>
      <c r="FZ18" s="802"/>
      <c r="GA18" s="802"/>
      <c r="GB18" s="802"/>
      <c r="GC18" s="802"/>
      <c r="GD18" s="802"/>
      <c r="GE18" s="802"/>
      <c r="GF18" s="802"/>
      <c r="GG18" s="802"/>
      <c r="GH18" s="802"/>
      <c r="GI18" s="802"/>
      <c r="GJ18" s="802"/>
      <c r="GK18" s="802"/>
      <c r="GL18" s="802"/>
      <c r="GM18" s="802"/>
      <c r="GN18" s="802"/>
      <c r="GO18" s="802"/>
      <c r="GP18" s="802"/>
      <c r="GQ18" s="802"/>
      <c r="GR18" s="802"/>
      <c r="GS18" s="802"/>
      <c r="GT18" s="802"/>
      <c r="GU18" s="802"/>
      <c r="GV18" s="802"/>
      <c r="GW18" s="802"/>
      <c r="GX18" s="802"/>
      <c r="GY18" s="802"/>
      <c r="GZ18" s="802"/>
      <c r="HA18" s="802"/>
      <c r="HB18" s="802"/>
      <c r="HC18" s="802"/>
      <c r="HD18" s="802"/>
      <c r="HE18" s="802"/>
      <c r="HF18" s="802"/>
      <c r="HG18" s="802"/>
      <c r="HH18" s="802"/>
      <c r="HI18" s="802"/>
      <c r="HJ18" s="802"/>
      <c r="HK18" s="802"/>
      <c r="HL18" s="802"/>
      <c r="HM18" s="802"/>
      <c r="HN18" s="802"/>
      <c r="HO18" s="802"/>
      <c r="HP18" s="802"/>
      <c r="HQ18" s="802"/>
      <c r="HR18" s="802"/>
      <c r="HS18" s="802"/>
      <c r="HT18" s="802"/>
      <c r="HU18" s="802"/>
      <c r="HV18" s="802"/>
      <c r="HW18" s="802"/>
      <c r="HX18" s="802"/>
      <c r="HY18" s="802"/>
      <c r="HZ18" s="802"/>
      <c r="IA18" s="802"/>
      <c r="IB18" s="802"/>
      <c r="IC18" s="802"/>
      <c r="ID18" s="802"/>
      <c r="IE18" s="802"/>
      <c r="IF18" s="802"/>
      <c r="IG18" s="802"/>
      <c r="IH18" s="793"/>
      <c r="II18" s="793"/>
      <c r="IJ18" s="793"/>
      <c r="IK18" s="793"/>
      <c r="IL18" s="793"/>
      <c r="IM18" s="793"/>
      <c r="IN18" s="507"/>
      <c r="IO18" s="507"/>
      <c r="IP18" s="507"/>
      <c r="IQ18" s="803"/>
      <c r="IR18" s="803"/>
      <c r="IS18" s="803"/>
      <c r="IT18" s="803"/>
      <c r="IU18" s="803"/>
      <c r="IV18" s="803"/>
      <c r="IW18" s="803"/>
      <c r="IX18" s="507"/>
      <c r="IY18" s="193"/>
      <c r="IZ18" s="193"/>
    </row>
    <row r="19" spans="2:260" ht="19.5" thickBot="1" x14ac:dyDescent="0.35">
      <c r="B19" s="805"/>
      <c r="C19" s="819">
        <v>13.06</v>
      </c>
      <c r="D19" s="821">
        <v>1</v>
      </c>
      <c r="E19" s="821">
        <v>2.6469999999999998</v>
      </c>
      <c r="F19" s="821">
        <v>0.93700000000000006</v>
      </c>
      <c r="G19" s="821">
        <v>2.0459999999999998</v>
      </c>
      <c r="H19" s="192"/>
      <c r="I19" s="832"/>
      <c r="J19" s="834" t="s">
        <v>366</v>
      </c>
      <c r="K19" s="876" t="e">
        <f>(C3*2)+(C4*2)</f>
        <v>#VALUE!</v>
      </c>
      <c r="L19" s="876" t="s">
        <v>151</v>
      </c>
      <c r="M19" s="876"/>
      <c r="N19" s="876"/>
      <c r="O19" s="876"/>
      <c r="P19" s="692"/>
      <c r="Q19" s="692"/>
      <c r="R19" s="692"/>
      <c r="S19" s="827"/>
      <c r="T19" s="692"/>
      <c r="U19" s="845"/>
      <c r="V19" s="846" t="s">
        <v>270</v>
      </c>
      <c r="W19" s="847"/>
      <c r="X19" s="848"/>
      <c r="Y19" s="840"/>
      <c r="AA19" s="61"/>
      <c r="AB19" s="71"/>
      <c r="AC19" s="861"/>
      <c r="AD19" s="71"/>
      <c r="AE19" s="71"/>
      <c r="AF19" s="71"/>
      <c r="AG19" s="71"/>
      <c r="AS19" s="193"/>
      <c r="AT19" s="507"/>
      <c r="AU19" s="801"/>
      <c r="AV19" s="801"/>
      <c r="AW19" s="794"/>
      <c r="AX19" s="795"/>
      <c r="AY19" s="789"/>
      <c r="AZ19" s="789"/>
      <c r="BA19" s="789"/>
      <c r="BB19" s="789"/>
      <c r="BC19" s="789"/>
      <c r="BD19" s="789"/>
      <c r="BE19" s="789"/>
      <c r="BF19" s="789"/>
      <c r="BG19" s="789"/>
      <c r="BH19" s="796"/>
      <c r="BI19" s="789"/>
      <c r="BJ19" s="789"/>
      <c r="BK19" s="789"/>
      <c r="BL19" s="789"/>
      <c r="BM19" s="789"/>
      <c r="BN19" s="789"/>
      <c r="BO19" s="789"/>
      <c r="BP19" s="789"/>
      <c r="BQ19" s="789"/>
      <c r="BR19" s="796"/>
      <c r="BS19" s="789"/>
      <c r="BT19" s="789"/>
      <c r="BU19" s="789"/>
      <c r="BV19" s="789"/>
      <c r="BW19" s="789"/>
      <c r="BX19" s="789"/>
      <c r="BY19" s="789"/>
      <c r="BZ19" s="789"/>
      <c r="CA19" s="789"/>
      <c r="CB19" s="796"/>
      <c r="CC19" s="789"/>
      <c r="CD19" s="789"/>
      <c r="CE19" s="789"/>
      <c r="CF19" s="789"/>
      <c r="CG19" s="789"/>
      <c r="CH19" s="789"/>
      <c r="CI19" s="789"/>
      <c r="CJ19" s="789"/>
      <c r="CK19" s="789"/>
      <c r="CL19" s="796"/>
      <c r="CM19" s="789"/>
      <c r="CN19" s="789"/>
      <c r="CO19" s="789"/>
      <c r="CP19" s="789"/>
      <c r="CQ19" s="789"/>
      <c r="CR19" s="789"/>
      <c r="CS19" s="789"/>
      <c r="CT19" s="789"/>
      <c r="CU19" s="789"/>
      <c r="CV19" s="796"/>
      <c r="CW19" s="789"/>
      <c r="CX19" s="789"/>
      <c r="CY19" s="789"/>
      <c r="CZ19" s="789"/>
      <c r="DA19" s="789"/>
      <c r="DB19" s="789"/>
      <c r="DC19" s="789"/>
      <c r="DD19" s="789"/>
      <c r="DE19" s="789"/>
      <c r="DF19" s="796"/>
      <c r="DG19" s="789"/>
      <c r="DH19" s="789"/>
      <c r="DI19" s="789"/>
      <c r="DJ19" s="789"/>
      <c r="DK19" s="789"/>
      <c r="DL19" s="789"/>
      <c r="DM19" s="789"/>
      <c r="DN19" s="789"/>
      <c r="DO19" s="789"/>
      <c r="DP19" s="796"/>
      <c r="DQ19" s="789"/>
      <c r="DR19" s="789"/>
      <c r="DS19" s="789"/>
      <c r="DT19" s="789"/>
      <c r="DU19" s="789"/>
      <c r="DV19" s="789"/>
      <c r="DW19" s="789"/>
      <c r="DX19" s="789"/>
      <c r="DY19" s="789"/>
      <c r="DZ19" s="796"/>
      <c r="EA19" s="789"/>
      <c r="EB19" s="789"/>
      <c r="EC19" s="789"/>
      <c r="ED19" s="789"/>
      <c r="EE19" s="789"/>
      <c r="EF19" s="789"/>
      <c r="EG19" s="789"/>
      <c r="EH19" s="789"/>
      <c r="EI19" s="789"/>
      <c r="EJ19" s="796"/>
      <c r="EK19" s="789"/>
      <c r="EL19" s="789"/>
      <c r="EM19" s="789"/>
      <c r="EN19" s="789"/>
      <c r="EO19" s="789"/>
      <c r="EP19" s="789"/>
      <c r="EQ19" s="789"/>
      <c r="ER19" s="789"/>
      <c r="ES19" s="789"/>
      <c r="ET19" s="796"/>
      <c r="EU19" s="789"/>
      <c r="EV19" s="789"/>
      <c r="EW19" s="789"/>
      <c r="EX19" s="789"/>
      <c r="EY19" s="789"/>
      <c r="EZ19" s="789"/>
      <c r="FA19" s="789"/>
      <c r="FB19" s="789"/>
      <c r="FC19" s="789"/>
      <c r="FD19" s="796"/>
      <c r="FE19" s="789"/>
      <c r="FF19" s="789"/>
      <c r="FG19" s="789"/>
      <c r="FH19" s="789"/>
      <c r="FI19" s="789"/>
      <c r="FJ19" s="789"/>
      <c r="FK19" s="789"/>
      <c r="FL19" s="789"/>
      <c r="FM19" s="789"/>
      <c r="FN19" s="796"/>
      <c r="FO19" s="789"/>
      <c r="FP19" s="789"/>
      <c r="FQ19" s="789"/>
      <c r="FR19" s="789"/>
      <c r="FS19" s="789"/>
      <c r="FT19" s="789"/>
      <c r="FU19" s="789"/>
      <c r="FV19" s="789"/>
      <c r="FW19" s="789"/>
      <c r="FX19" s="796"/>
      <c r="FY19" s="789"/>
      <c r="FZ19" s="789"/>
      <c r="GA19" s="789"/>
      <c r="GB19" s="789"/>
      <c r="GC19" s="789"/>
      <c r="GD19" s="789"/>
      <c r="GE19" s="789"/>
      <c r="GF19" s="789"/>
      <c r="GG19" s="789"/>
      <c r="GH19" s="796"/>
      <c r="GI19" s="789"/>
      <c r="GJ19" s="789"/>
      <c r="GK19" s="789"/>
      <c r="GL19" s="789"/>
      <c r="GM19" s="789"/>
      <c r="GN19" s="789"/>
      <c r="GO19" s="789"/>
      <c r="GP19" s="789"/>
      <c r="GQ19" s="789"/>
      <c r="GR19" s="796"/>
      <c r="GS19" s="789"/>
      <c r="GT19" s="789"/>
      <c r="GU19" s="789"/>
      <c r="GV19" s="789"/>
      <c r="GW19" s="789"/>
      <c r="GX19" s="789"/>
      <c r="GY19" s="789"/>
      <c r="GZ19" s="789"/>
      <c r="HA19" s="789"/>
      <c r="HB19" s="796"/>
      <c r="HC19" s="789"/>
      <c r="HD19" s="789"/>
      <c r="HE19" s="789"/>
      <c r="HF19" s="789"/>
      <c r="HG19" s="789"/>
      <c r="HH19" s="789"/>
      <c r="HI19" s="789"/>
      <c r="HJ19" s="789"/>
      <c r="HK19" s="789"/>
      <c r="HL19" s="796"/>
      <c r="HM19" s="789"/>
      <c r="HN19" s="789"/>
      <c r="HO19" s="789"/>
      <c r="HP19" s="789"/>
      <c r="HQ19" s="789"/>
      <c r="HR19" s="789"/>
      <c r="HS19" s="789"/>
      <c r="HT19" s="789"/>
      <c r="HU19" s="789"/>
      <c r="HV19" s="796"/>
      <c r="HW19" s="789"/>
      <c r="HX19" s="789"/>
      <c r="HY19" s="789"/>
      <c r="HZ19" s="789"/>
      <c r="IA19" s="789"/>
      <c r="IB19" s="789"/>
      <c r="IC19" s="789"/>
      <c r="ID19" s="789"/>
      <c r="IE19" s="789"/>
      <c r="IF19" s="796"/>
      <c r="IG19" s="789"/>
      <c r="IH19" s="789"/>
      <c r="II19" s="789"/>
      <c r="IJ19" s="789"/>
      <c r="IK19" s="789"/>
      <c r="IL19" s="789"/>
      <c r="IM19" s="789"/>
      <c r="IN19" s="789"/>
      <c r="IO19" s="789"/>
      <c r="IP19" s="789"/>
      <c r="IQ19" s="797"/>
      <c r="IR19" s="797"/>
      <c r="IS19" s="797"/>
      <c r="IT19" s="797"/>
      <c r="IU19" s="797"/>
      <c r="IV19" s="797"/>
      <c r="IW19" s="797"/>
      <c r="IX19" s="507"/>
      <c r="IY19" s="193"/>
      <c r="IZ19" s="193"/>
    </row>
    <row r="20" spans="2:260" ht="19.5" thickBot="1" x14ac:dyDescent="0.35">
      <c r="B20" s="805"/>
      <c r="C20" s="820">
        <v>17.059999999999999</v>
      </c>
      <c r="D20" s="821">
        <v>2</v>
      </c>
      <c r="E20" s="821">
        <v>2.6469999999999998</v>
      </c>
      <c r="F20" s="821">
        <v>0.93700000000000006</v>
      </c>
      <c r="G20" s="821">
        <v>2.0459999999999998</v>
      </c>
      <c r="H20" s="192"/>
      <c r="I20" s="547"/>
      <c r="J20" s="877"/>
      <c r="K20" s="876"/>
      <c r="L20" s="876"/>
      <c r="M20" s="876"/>
      <c r="N20" s="878" t="s">
        <v>66</v>
      </c>
      <c r="O20" s="879"/>
      <c r="P20" s="51"/>
      <c r="Q20" s="51"/>
      <c r="R20" s="692"/>
      <c r="S20" s="827"/>
      <c r="T20" s="692"/>
      <c r="U20" s="849"/>
      <c r="V20" s="198" t="str">
        <f>C1&amp;"_ENG_FA"</f>
        <v>MCZE439_ENG_FA</v>
      </c>
      <c r="W20" s="850" t="e">
        <f>K30/144</f>
        <v>#VALUE!</v>
      </c>
      <c r="X20" s="851" t="s">
        <v>42</v>
      </c>
      <c r="Y20" s="840"/>
      <c r="AA20" s="61"/>
      <c r="AB20" s="71"/>
      <c r="AC20" s="861"/>
      <c r="AD20" s="71"/>
      <c r="AE20" s="71"/>
      <c r="AF20" s="71"/>
      <c r="AG20" s="71"/>
      <c r="AS20" s="193"/>
      <c r="AT20" s="507"/>
      <c r="AU20" s="794"/>
      <c r="AV20" s="794"/>
      <c r="AW20" s="794"/>
      <c r="AX20" s="794"/>
      <c r="AY20" s="794"/>
      <c r="AZ20" s="789"/>
      <c r="BA20" s="789"/>
      <c r="BB20" s="789"/>
      <c r="BC20" s="789"/>
      <c r="BD20" s="789"/>
      <c r="BE20" s="789"/>
      <c r="BF20" s="789"/>
      <c r="BG20" s="789"/>
      <c r="BH20" s="796"/>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c r="DL20" s="789"/>
      <c r="DM20" s="789"/>
      <c r="DN20" s="789"/>
      <c r="DO20" s="789"/>
      <c r="DP20" s="789"/>
      <c r="DQ20" s="789"/>
      <c r="DR20" s="789"/>
      <c r="DS20" s="789"/>
      <c r="DT20" s="789"/>
      <c r="DU20" s="789"/>
      <c r="DV20" s="789"/>
      <c r="DW20" s="789"/>
      <c r="DX20" s="789"/>
      <c r="DY20" s="789"/>
      <c r="DZ20" s="789"/>
      <c r="EA20" s="789"/>
      <c r="EB20" s="789"/>
      <c r="EC20" s="789"/>
      <c r="ED20" s="789"/>
      <c r="EE20" s="789"/>
      <c r="EF20" s="789"/>
      <c r="EG20" s="789"/>
      <c r="EH20" s="789"/>
      <c r="EI20" s="789"/>
      <c r="EJ20" s="789"/>
      <c r="EK20" s="789"/>
      <c r="EL20" s="789"/>
      <c r="EM20" s="789"/>
      <c r="EN20" s="789"/>
      <c r="EO20" s="789"/>
      <c r="EP20" s="789"/>
      <c r="EQ20" s="789"/>
      <c r="ER20" s="789"/>
      <c r="ES20" s="789"/>
      <c r="ET20" s="789"/>
      <c r="EU20" s="789"/>
      <c r="EV20" s="789"/>
      <c r="EW20" s="789"/>
      <c r="EX20" s="789"/>
      <c r="EY20" s="789"/>
      <c r="EZ20" s="789"/>
      <c r="FA20" s="789"/>
      <c r="FB20" s="789"/>
      <c r="FC20" s="789"/>
      <c r="FD20" s="789"/>
      <c r="FE20" s="789"/>
      <c r="FF20" s="789"/>
      <c r="FG20" s="789"/>
      <c r="FH20" s="789"/>
      <c r="FI20" s="789"/>
      <c r="FJ20" s="789"/>
      <c r="FK20" s="789"/>
      <c r="FL20" s="789"/>
      <c r="FM20" s="789"/>
      <c r="FN20" s="789"/>
      <c r="FO20" s="789"/>
      <c r="FP20" s="789"/>
      <c r="FQ20" s="789"/>
      <c r="FR20" s="789"/>
      <c r="FS20" s="789"/>
      <c r="FT20" s="789"/>
      <c r="FU20" s="789"/>
      <c r="FV20" s="789"/>
      <c r="FW20" s="789"/>
      <c r="FX20" s="789"/>
      <c r="FY20" s="789"/>
      <c r="FZ20" s="789"/>
      <c r="GA20" s="789"/>
      <c r="GB20" s="789"/>
      <c r="GC20" s="789"/>
      <c r="GD20" s="789"/>
      <c r="GE20" s="789"/>
      <c r="GF20" s="789"/>
      <c r="GG20" s="789"/>
      <c r="GH20" s="789"/>
      <c r="GI20" s="789"/>
      <c r="GJ20" s="789"/>
      <c r="GK20" s="789"/>
      <c r="GL20" s="789"/>
      <c r="GM20" s="789"/>
      <c r="GN20" s="789"/>
      <c r="GO20" s="789"/>
      <c r="GP20" s="789"/>
      <c r="GQ20" s="789"/>
      <c r="GR20" s="789"/>
      <c r="GS20" s="789"/>
      <c r="GT20" s="789"/>
      <c r="GU20" s="789"/>
      <c r="GV20" s="789"/>
      <c r="GW20" s="789"/>
      <c r="GX20" s="789"/>
      <c r="GY20" s="789"/>
      <c r="GZ20" s="789"/>
      <c r="HA20" s="789"/>
      <c r="HB20" s="789"/>
      <c r="HC20" s="789"/>
      <c r="HD20" s="789"/>
      <c r="HE20" s="789"/>
      <c r="HF20" s="789"/>
      <c r="HG20" s="789"/>
      <c r="HH20" s="789"/>
      <c r="HI20" s="789"/>
      <c r="HJ20" s="789"/>
      <c r="HK20" s="789"/>
      <c r="HL20" s="789"/>
      <c r="HM20" s="789"/>
      <c r="HN20" s="789"/>
      <c r="HO20" s="789"/>
      <c r="HP20" s="789"/>
      <c r="HQ20" s="789"/>
      <c r="HR20" s="789"/>
      <c r="HS20" s="789"/>
      <c r="HT20" s="789"/>
      <c r="HU20" s="789"/>
      <c r="HV20" s="789"/>
      <c r="HW20" s="789"/>
      <c r="HX20" s="789"/>
      <c r="HY20" s="789"/>
      <c r="HZ20" s="789"/>
      <c r="IA20" s="789"/>
      <c r="IB20" s="789"/>
      <c r="IC20" s="789"/>
      <c r="ID20" s="789"/>
      <c r="IE20" s="789"/>
      <c r="IF20" s="789"/>
      <c r="IG20" s="789"/>
      <c r="IH20" s="789"/>
      <c r="II20" s="789"/>
      <c r="IJ20" s="789"/>
      <c r="IK20" s="789"/>
      <c r="IL20" s="789"/>
      <c r="IM20" s="789"/>
      <c r="IN20" s="789"/>
      <c r="IO20" s="789"/>
      <c r="IP20" s="789"/>
      <c r="IQ20" s="797"/>
      <c r="IR20" s="797"/>
      <c r="IS20" s="797"/>
      <c r="IT20" s="797"/>
      <c r="IU20" s="797"/>
      <c r="IV20" s="797"/>
      <c r="IW20" s="797"/>
      <c r="IX20" s="507"/>
      <c r="IY20" s="193"/>
      <c r="IZ20" s="193"/>
    </row>
    <row r="21" spans="2:260" ht="18" customHeight="1" thickBot="1" x14ac:dyDescent="0.35">
      <c r="B21" s="805"/>
      <c r="C21" s="820">
        <v>21.06</v>
      </c>
      <c r="D21" s="821">
        <v>3</v>
      </c>
      <c r="E21" s="821">
        <v>2.6469999999999998</v>
      </c>
      <c r="F21" s="821">
        <v>0.93700000000000006</v>
      </c>
      <c r="G21" s="821">
        <v>2.0459999999999998</v>
      </c>
      <c r="H21" s="192"/>
      <c r="I21" s="831"/>
      <c r="J21" s="834" t="s">
        <v>367</v>
      </c>
      <c r="K21" s="876" t="e">
        <f>VLOOKUP(C5,C19:D34,2,FALSE)-1</f>
        <v>#N/A</v>
      </c>
      <c r="L21" s="876"/>
      <c r="M21" s="876"/>
      <c r="N21" s="881"/>
      <c r="O21" s="879"/>
      <c r="P21" s="107"/>
      <c r="Q21" s="159"/>
      <c r="R21" s="692"/>
      <c r="S21" s="827"/>
      <c r="T21" s="692"/>
      <c r="U21" s="520"/>
      <c r="V21" s="198" t="str">
        <f>C1&amp;"_ENG_FACE_AREA"</f>
        <v>MCZE439_ENG_FACE_AREA</v>
      </c>
      <c r="W21" s="852" t="e">
        <f>((C3*C5*2)+(C4*C5*2))/144</f>
        <v>#VALUE!</v>
      </c>
      <c r="X21" s="851" t="s">
        <v>42</v>
      </c>
      <c r="Y21" s="840"/>
      <c r="AA21" s="61"/>
      <c r="AB21" s="71"/>
      <c r="AC21" s="861"/>
      <c r="AD21" s="71"/>
      <c r="AE21" s="71"/>
      <c r="AF21" s="71"/>
      <c r="AG21" s="71"/>
      <c r="AS21" s="193"/>
      <c r="AT21" s="507"/>
      <c r="AU21" s="795"/>
      <c r="AV21" s="789"/>
      <c r="AW21" s="795"/>
      <c r="AX21" s="791"/>
      <c r="AY21" s="33"/>
      <c r="AZ21" s="33"/>
      <c r="BA21" s="33"/>
      <c r="BB21" s="33"/>
      <c r="BC21" s="33"/>
      <c r="BD21" s="33"/>
      <c r="BE21" s="33"/>
      <c r="BF21" s="33"/>
      <c r="BG21" s="790"/>
      <c r="BH21" s="791"/>
      <c r="BI21" s="33"/>
      <c r="BJ21" s="33"/>
      <c r="BK21" s="33"/>
      <c r="BL21" s="33"/>
      <c r="BM21" s="33"/>
      <c r="BN21" s="33"/>
      <c r="BO21" s="33"/>
      <c r="BP21" s="33"/>
      <c r="BQ21" s="790"/>
      <c r="BR21" s="791"/>
      <c r="BS21" s="33"/>
      <c r="BT21" s="33"/>
      <c r="BU21" s="33"/>
      <c r="BV21" s="33"/>
      <c r="BW21" s="33"/>
      <c r="BX21" s="33"/>
      <c r="BY21" s="33"/>
      <c r="BZ21" s="33"/>
      <c r="CA21" s="790"/>
      <c r="CB21" s="791"/>
      <c r="CC21" s="33"/>
      <c r="CD21" s="33"/>
      <c r="CE21" s="33"/>
      <c r="CF21" s="33"/>
      <c r="CG21" s="33"/>
      <c r="CH21" s="33"/>
      <c r="CI21" s="33"/>
      <c r="CJ21" s="33"/>
      <c r="CK21" s="790"/>
      <c r="CL21" s="791"/>
      <c r="CM21" s="33"/>
      <c r="CN21" s="33"/>
      <c r="CO21" s="33"/>
      <c r="CP21" s="33"/>
      <c r="CQ21" s="33"/>
      <c r="CR21" s="33"/>
      <c r="CS21" s="33"/>
      <c r="CT21" s="33"/>
      <c r="CU21" s="790"/>
      <c r="CV21" s="791"/>
      <c r="CW21" s="33"/>
      <c r="CX21" s="33"/>
      <c r="CY21" s="33"/>
      <c r="CZ21" s="33"/>
      <c r="DA21" s="33"/>
      <c r="DB21" s="33"/>
      <c r="DC21" s="33"/>
      <c r="DD21" s="33"/>
      <c r="DE21" s="790"/>
      <c r="DF21" s="791"/>
      <c r="DG21" s="33"/>
      <c r="DH21" s="33"/>
      <c r="DI21" s="33"/>
      <c r="DJ21" s="33"/>
      <c r="DK21" s="33"/>
      <c r="DL21" s="33"/>
      <c r="DM21" s="33"/>
      <c r="DN21" s="33"/>
      <c r="DO21" s="790"/>
      <c r="DP21" s="791"/>
      <c r="DQ21" s="33"/>
      <c r="DR21" s="33"/>
      <c r="DS21" s="33"/>
      <c r="DT21" s="33"/>
      <c r="DU21" s="33"/>
      <c r="DV21" s="33"/>
      <c r="DW21" s="33"/>
      <c r="DX21" s="33"/>
      <c r="DY21" s="790"/>
      <c r="DZ21" s="791"/>
      <c r="EA21" s="33"/>
      <c r="EB21" s="33"/>
      <c r="EC21" s="33"/>
      <c r="ED21" s="33"/>
      <c r="EE21" s="33"/>
      <c r="EF21" s="33"/>
      <c r="EG21" s="33"/>
      <c r="EH21" s="33"/>
      <c r="EI21" s="790"/>
      <c r="EJ21" s="791"/>
      <c r="EK21" s="33"/>
      <c r="EL21" s="33"/>
      <c r="EM21" s="33"/>
      <c r="EN21" s="33"/>
      <c r="EO21" s="33"/>
      <c r="EP21" s="33"/>
      <c r="EQ21" s="33"/>
      <c r="ER21" s="33"/>
      <c r="ES21" s="790"/>
      <c r="ET21" s="791"/>
      <c r="EU21" s="33"/>
      <c r="EV21" s="33"/>
      <c r="EW21" s="33"/>
      <c r="EX21" s="33"/>
      <c r="EY21" s="33"/>
      <c r="EZ21" s="33"/>
      <c r="FA21" s="33"/>
      <c r="FB21" s="33"/>
      <c r="FC21" s="790"/>
      <c r="FD21" s="791"/>
      <c r="FE21" s="33"/>
      <c r="FF21" s="33"/>
      <c r="FG21" s="33"/>
      <c r="FH21" s="33"/>
      <c r="FI21" s="33"/>
      <c r="FJ21" s="33"/>
      <c r="FK21" s="33"/>
      <c r="FL21" s="33"/>
      <c r="FM21" s="790"/>
      <c r="FN21" s="791"/>
      <c r="FO21" s="33"/>
      <c r="FP21" s="33"/>
      <c r="FQ21" s="33"/>
      <c r="FR21" s="33"/>
      <c r="FS21" s="33"/>
      <c r="FT21" s="33"/>
      <c r="FU21" s="33"/>
      <c r="FV21" s="33"/>
      <c r="FW21" s="790"/>
      <c r="FX21" s="791"/>
      <c r="FY21" s="33"/>
      <c r="FZ21" s="33"/>
      <c r="GA21" s="33"/>
      <c r="GB21" s="33"/>
      <c r="GC21" s="33"/>
      <c r="GD21" s="33"/>
      <c r="GE21" s="33"/>
      <c r="GF21" s="33"/>
      <c r="GG21" s="790"/>
      <c r="GH21" s="791"/>
      <c r="GI21" s="33"/>
      <c r="GJ21" s="33"/>
      <c r="GK21" s="33"/>
      <c r="GL21" s="33"/>
      <c r="GM21" s="33"/>
      <c r="GN21" s="33"/>
      <c r="GO21" s="33"/>
      <c r="GP21" s="33"/>
      <c r="GQ21" s="790"/>
      <c r="GR21" s="791"/>
      <c r="GS21" s="33"/>
      <c r="GT21" s="33"/>
      <c r="GU21" s="33"/>
      <c r="GV21" s="33"/>
      <c r="GW21" s="33"/>
      <c r="GX21" s="33"/>
      <c r="GY21" s="33"/>
      <c r="GZ21" s="33"/>
      <c r="HA21" s="790"/>
      <c r="HB21" s="791"/>
      <c r="HC21" s="33"/>
      <c r="HD21" s="33"/>
      <c r="HE21" s="33"/>
      <c r="HF21" s="33"/>
      <c r="HG21" s="33"/>
      <c r="HH21" s="33"/>
      <c r="HI21" s="33"/>
      <c r="HJ21" s="33"/>
      <c r="HK21" s="790"/>
      <c r="HL21" s="791"/>
      <c r="HM21" s="33"/>
      <c r="HN21" s="33"/>
      <c r="HO21" s="33"/>
      <c r="HP21" s="33"/>
      <c r="HQ21" s="33"/>
      <c r="HR21" s="33"/>
      <c r="HS21" s="33"/>
      <c r="HT21" s="33"/>
      <c r="HU21" s="790"/>
      <c r="HV21" s="791"/>
      <c r="HW21" s="33"/>
      <c r="HX21" s="33"/>
      <c r="HY21" s="33"/>
      <c r="HZ21" s="33"/>
      <c r="IA21" s="33"/>
      <c r="IB21" s="33"/>
      <c r="IC21" s="33"/>
      <c r="ID21" s="33"/>
      <c r="IE21" s="790"/>
      <c r="IF21" s="791"/>
      <c r="IG21" s="33"/>
      <c r="IH21" s="33"/>
      <c r="II21" s="33"/>
      <c r="IJ21" s="33"/>
      <c r="IK21" s="33"/>
      <c r="IL21" s="33"/>
      <c r="IM21" s="33"/>
      <c r="IN21" s="33"/>
      <c r="IO21" s="790"/>
      <c r="IP21" s="789"/>
      <c r="IQ21" s="788"/>
      <c r="IR21" s="792"/>
      <c r="IS21" s="792"/>
      <c r="IT21" s="792"/>
      <c r="IU21" s="792"/>
      <c r="IV21" s="792"/>
      <c r="IW21" s="792"/>
      <c r="IX21" s="507"/>
      <c r="IY21" s="193"/>
      <c r="IZ21" s="193"/>
    </row>
    <row r="22" spans="2:260" ht="19.5" thickBot="1" x14ac:dyDescent="0.35">
      <c r="B22" s="805"/>
      <c r="C22" s="820">
        <v>25.06</v>
      </c>
      <c r="D22" s="821">
        <v>4</v>
      </c>
      <c r="E22" s="821">
        <v>2.6469999999999998</v>
      </c>
      <c r="F22" s="821">
        <v>0.93700000000000006</v>
      </c>
      <c r="G22" s="821">
        <v>2.0459999999999998</v>
      </c>
      <c r="H22" s="192"/>
      <c r="I22" s="547"/>
      <c r="J22" s="834" t="s">
        <v>368</v>
      </c>
      <c r="K22" s="876" t="e">
        <f>VLOOKUP(C5,C19:G34,3,FALSE)</f>
        <v>#N/A</v>
      </c>
      <c r="L22" s="876" t="s">
        <v>151</v>
      </c>
      <c r="M22" s="876"/>
      <c r="N22" s="881" t="s">
        <v>189</v>
      </c>
      <c r="O22" s="879"/>
      <c r="P22" s="107" t="str">
        <f>IF(OR(C3&lt;H3,C4&lt;H4,C5&lt;H5,C3&gt;I3,C4&gt;I4,C5&gt;I5),"",K30/144)</f>
        <v/>
      </c>
      <c r="Q22" s="159" t="s">
        <v>42</v>
      </c>
      <c r="R22" s="692"/>
      <c r="S22" s="827"/>
      <c r="T22" s="692"/>
      <c r="U22" s="520"/>
      <c r="V22" s="198" t="str">
        <f>C1&amp;"_ENG_FA%"</f>
        <v>MCZE439_ENG_FA%</v>
      </c>
      <c r="W22" s="852" t="e">
        <f>(W20/W21)*100</f>
        <v>#VALUE!</v>
      </c>
      <c r="X22" s="851" t="s">
        <v>13</v>
      </c>
      <c r="Y22" s="840"/>
      <c r="AA22" s="61"/>
      <c r="AB22" s="71"/>
      <c r="AC22" s="861"/>
      <c r="AD22" s="71"/>
      <c r="AE22" s="71"/>
      <c r="AF22" s="71"/>
      <c r="AG22" s="71"/>
      <c r="AS22" s="193"/>
      <c r="AT22" s="507"/>
      <c r="AU22" s="789"/>
      <c r="AV22" s="789"/>
      <c r="AW22" s="789"/>
      <c r="AX22" s="791"/>
      <c r="AY22" s="33"/>
      <c r="AZ22" s="33"/>
      <c r="BA22" s="33"/>
      <c r="BB22" s="33"/>
      <c r="BC22" s="33"/>
      <c r="BD22" s="33"/>
      <c r="BE22" s="33"/>
      <c r="BF22" s="33"/>
      <c r="BG22" s="790"/>
      <c r="BH22" s="791"/>
      <c r="BI22" s="33"/>
      <c r="BJ22" s="33"/>
      <c r="BK22" s="33"/>
      <c r="BL22" s="33"/>
      <c r="BM22" s="33"/>
      <c r="BN22" s="33"/>
      <c r="BO22" s="33"/>
      <c r="BP22" s="33"/>
      <c r="BQ22" s="790"/>
      <c r="BR22" s="791"/>
      <c r="BS22" s="33"/>
      <c r="BT22" s="33"/>
      <c r="BU22" s="33"/>
      <c r="BV22" s="33"/>
      <c r="BW22" s="33"/>
      <c r="BX22" s="33"/>
      <c r="BY22" s="33"/>
      <c r="BZ22" s="33"/>
      <c r="CA22" s="790"/>
      <c r="CB22" s="791"/>
      <c r="CC22" s="33"/>
      <c r="CD22" s="33"/>
      <c r="CE22" s="33"/>
      <c r="CF22" s="33"/>
      <c r="CG22" s="33"/>
      <c r="CH22" s="33"/>
      <c r="CI22" s="33"/>
      <c r="CJ22" s="33"/>
      <c r="CK22" s="790"/>
      <c r="CL22" s="791"/>
      <c r="CM22" s="33"/>
      <c r="CN22" s="33"/>
      <c r="CO22" s="33"/>
      <c r="CP22" s="33"/>
      <c r="CQ22" s="33"/>
      <c r="CR22" s="33"/>
      <c r="CS22" s="33"/>
      <c r="CT22" s="33"/>
      <c r="CU22" s="790"/>
      <c r="CV22" s="791"/>
      <c r="CW22" s="33"/>
      <c r="CX22" s="33"/>
      <c r="CY22" s="33"/>
      <c r="CZ22" s="33"/>
      <c r="DA22" s="33"/>
      <c r="DB22" s="33"/>
      <c r="DC22" s="33"/>
      <c r="DD22" s="33"/>
      <c r="DE22" s="790"/>
      <c r="DF22" s="791"/>
      <c r="DG22" s="33"/>
      <c r="DH22" s="33"/>
      <c r="DI22" s="33"/>
      <c r="DJ22" s="33"/>
      <c r="DK22" s="33"/>
      <c r="DL22" s="33"/>
      <c r="DM22" s="33"/>
      <c r="DN22" s="33"/>
      <c r="DO22" s="790"/>
      <c r="DP22" s="791"/>
      <c r="DQ22" s="33"/>
      <c r="DR22" s="33"/>
      <c r="DS22" s="33"/>
      <c r="DT22" s="33"/>
      <c r="DU22" s="33"/>
      <c r="DV22" s="33"/>
      <c r="DW22" s="33"/>
      <c r="DX22" s="33"/>
      <c r="DY22" s="790"/>
      <c r="DZ22" s="791"/>
      <c r="EA22" s="33"/>
      <c r="EB22" s="33"/>
      <c r="EC22" s="33"/>
      <c r="ED22" s="33"/>
      <c r="EE22" s="33"/>
      <c r="EF22" s="33"/>
      <c r="EG22" s="33"/>
      <c r="EH22" s="33"/>
      <c r="EI22" s="790"/>
      <c r="EJ22" s="791"/>
      <c r="EK22" s="33"/>
      <c r="EL22" s="33"/>
      <c r="EM22" s="33"/>
      <c r="EN22" s="33"/>
      <c r="EO22" s="33"/>
      <c r="EP22" s="33"/>
      <c r="EQ22" s="33"/>
      <c r="ER22" s="33"/>
      <c r="ES22" s="790"/>
      <c r="ET22" s="791"/>
      <c r="EU22" s="33"/>
      <c r="EV22" s="33"/>
      <c r="EW22" s="33"/>
      <c r="EX22" s="33"/>
      <c r="EY22" s="33"/>
      <c r="EZ22" s="33"/>
      <c r="FA22" s="33"/>
      <c r="FB22" s="33"/>
      <c r="FC22" s="790"/>
      <c r="FD22" s="791"/>
      <c r="FE22" s="33"/>
      <c r="FF22" s="33"/>
      <c r="FG22" s="33"/>
      <c r="FH22" s="33"/>
      <c r="FI22" s="33"/>
      <c r="FJ22" s="33"/>
      <c r="FK22" s="33"/>
      <c r="FL22" s="33"/>
      <c r="FM22" s="790"/>
      <c r="FN22" s="791"/>
      <c r="FO22" s="33"/>
      <c r="FP22" s="33"/>
      <c r="FQ22" s="33"/>
      <c r="FR22" s="33"/>
      <c r="FS22" s="33"/>
      <c r="FT22" s="33"/>
      <c r="FU22" s="33"/>
      <c r="FV22" s="33"/>
      <c r="FW22" s="790"/>
      <c r="FX22" s="791"/>
      <c r="FY22" s="33"/>
      <c r="FZ22" s="33"/>
      <c r="GA22" s="33"/>
      <c r="GB22" s="33"/>
      <c r="GC22" s="33"/>
      <c r="GD22" s="33"/>
      <c r="GE22" s="33"/>
      <c r="GF22" s="33"/>
      <c r="GG22" s="790"/>
      <c r="GH22" s="791"/>
      <c r="GI22" s="33"/>
      <c r="GJ22" s="33"/>
      <c r="GK22" s="33"/>
      <c r="GL22" s="33"/>
      <c r="GM22" s="33"/>
      <c r="GN22" s="33"/>
      <c r="GO22" s="33"/>
      <c r="GP22" s="33"/>
      <c r="GQ22" s="790"/>
      <c r="GR22" s="791"/>
      <c r="GS22" s="33"/>
      <c r="GT22" s="33"/>
      <c r="GU22" s="33"/>
      <c r="GV22" s="33"/>
      <c r="GW22" s="33"/>
      <c r="GX22" s="33"/>
      <c r="GY22" s="33"/>
      <c r="GZ22" s="33"/>
      <c r="HA22" s="790"/>
      <c r="HB22" s="791"/>
      <c r="HC22" s="33"/>
      <c r="HD22" s="33"/>
      <c r="HE22" s="33"/>
      <c r="HF22" s="33"/>
      <c r="HG22" s="33"/>
      <c r="HH22" s="33"/>
      <c r="HI22" s="33"/>
      <c r="HJ22" s="33"/>
      <c r="HK22" s="790"/>
      <c r="HL22" s="791"/>
      <c r="HM22" s="33"/>
      <c r="HN22" s="33"/>
      <c r="HO22" s="33"/>
      <c r="HP22" s="33"/>
      <c r="HQ22" s="33"/>
      <c r="HR22" s="33"/>
      <c r="HS22" s="33"/>
      <c r="HT22" s="33"/>
      <c r="HU22" s="790"/>
      <c r="HV22" s="791"/>
      <c r="HW22" s="33"/>
      <c r="HX22" s="33"/>
      <c r="HY22" s="33"/>
      <c r="HZ22" s="33"/>
      <c r="IA22" s="33"/>
      <c r="IB22" s="33"/>
      <c r="IC22" s="33"/>
      <c r="ID22" s="33"/>
      <c r="IE22" s="790"/>
      <c r="IF22" s="791"/>
      <c r="IG22" s="33"/>
      <c r="IH22" s="33"/>
      <c r="II22" s="33"/>
      <c r="IJ22" s="33"/>
      <c r="IK22" s="33"/>
      <c r="IL22" s="33"/>
      <c r="IM22" s="33"/>
      <c r="IN22" s="33"/>
      <c r="IO22" s="790"/>
      <c r="IP22" s="790"/>
      <c r="IQ22" s="788"/>
      <c r="IR22" s="792"/>
      <c r="IS22" s="792"/>
      <c r="IT22" s="792"/>
      <c r="IU22" s="792"/>
      <c r="IV22" s="792"/>
      <c r="IW22" s="792"/>
      <c r="IX22" s="507"/>
      <c r="IY22" s="193"/>
      <c r="IZ22" s="193"/>
    </row>
    <row r="23" spans="2:260" ht="19.5" thickBot="1" x14ac:dyDescent="0.35">
      <c r="B23" s="805"/>
      <c r="C23" s="820">
        <v>29.06</v>
      </c>
      <c r="D23" s="821">
        <v>5</v>
      </c>
      <c r="E23" s="821">
        <v>2.6469999999999998</v>
      </c>
      <c r="F23" s="821">
        <v>0.93700000000000006</v>
      </c>
      <c r="G23" s="821">
        <v>2.0459999999999998</v>
      </c>
      <c r="H23" s="192"/>
      <c r="I23" s="828"/>
      <c r="J23" s="882" t="s">
        <v>369</v>
      </c>
      <c r="K23" s="876" t="e">
        <f>VLOOKUP(C5,C19:G34,4,FALSE)</f>
        <v>#N/A</v>
      </c>
      <c r="L23" s="876" t="s">
        <v>151</v>
      </c>
      <c r="M23" s="876"/>
      <c r="N23" s="881" t="s">
        <v>190</v>
      </c>
      <c r="O23" s="879"/>
      <c r="P23" s="107" t="e">
        <f>((C3*C5*2)+(C4*C5*2))/144</f>
        <v>#VALUE!</v>
      </c>
      <c r="Q23" s="159" t="s">
        <v>42</v>
      </c>
      <c r="R23" s="692"/>
      <c r="S23" s="827"/>
      <c r="T23" s="692"/>
      <c r="U23" s="520"/>
      <c r="V23" s="198" t="str">
        <f>C1&amp;"_ENG_VEL"</f>
        <v>MCZE439_ENG_VEL</v>
      </c>
      <c r="W23" s="494" t="e">
        <f>C6/W20</f>
        <v>#VALUE!</v>
      </c>
      <c r="X23" s="843" t="s">
        <v>45</v>
      </c>
      <c r="Y23" s="840"/>
      <c r="AA23" s="61"/>
      <c r="AB23" s="71"/>
      <c r="AC23" s="861"/>
      <c r="AD23" s="71"/>
      <c r="AE23" s="71"/>
      <c r="AF23" s="71"/>
      <c r="AG23" s="71"/>
      <c r="AS23" s="193"/>
      <c r="AT23" s="507"/>
      <c r="AU23" s="789"/>
      <c r="AV23" s="789"/>
      <c r="AW23" s="789"/>
      <c r="AX23" s="791"/>
      <c r="AY23" s="33"/>
      <c r="AZ23" s="33"/>
      <c r="BA23" s="33"/>
      <c r="BB23" s="33"/>
      <c r="BC23" s="33"/>
      <c r="BD23" s="33"/>
      <c r="BE23" s="33"/>
      <c r="BF23" s="33"/>
      <c r="BG23" s="790"/>
      <c r="BH23" s="791"/>
      <c r="BI23" s="33"/>
      <c r="BJ23" s="33"/>
      <c r="BK23" s="33"/>
      <c r="BL23" s="33"/>
      <c r="BM23" s="33"/>
      <c r="BN23" s="33"/>
      <c r="BO23" s="33"/>
      <c r="BP23" s="33"/>
      <c r="BQ23" s="790"/>
      <c r="BR23" s="791"/>
      <c r="BS23" s="33"/>
      <c r="BT23" s="33"/>
      <c r="BU23" s="33"/>
      <c r="BV23" s="33"/>
      <c r="BW23" s="33"/>
      <c r="BX23" s="33"/>
      <c r="BY23" s="33"/>
      <c r="BZ23" s="33"/>
      <c r="CA23" s="790"/>
      <c r="CB23" s="791"/>
      <c r="CC23" s="33"/>
      <c r="CD23" s="33"/>
      <c r="CE23" s="33"/>
      <c r="CF23" s="33"/>
      <c r="CG23" s="33"/>
      <c r="CH23" s="33"/>
      <c r="CI23" s="33"/>
      <c r="CJ23" s="33"/>
      <c r="CK23" s="790"/>
      <c r="CL23" s="791"/>
      <c r="CM23" s="33"/>
      <c r="CN23" s="33"/>
      <c r="CO23" s="33"/>
      <c r="CP23" s="33"/>
      <c r="CQ23" s="33"/>
      <c r="CR23" s="33"/>
      <c r="CS23" s="33"/>
      <c r="CT23" s="33"/>
      <c r="CU23" s="790"/>
      <c r="CV23" s="791"/>
      <c r="CW23" s="33"/>
      <c r="CX23" s="33"/>
      <c r="CY23" s="33"/>
      <c r="CZ23" s="33"/>
      <c r="DA23" s="33"/>
      <c r="DB23" s="33"/>
      <c r="DC23" s="33"/>
      <c r="DD23" s="33"/>
      <c r="DE23" s="790"/>
      <c r="DF23" s="791"/>
      <c r="DG23" s="33"/>
      <c r="DH23" s="33"/>
      <c r="DI23" s="33"/>
      <c r="DJ23" s="33"/>
      <c r="DK23" s="33"/>
      <c r="DL23" s="33"/>
      <c r="DM23" s="33"/>
      <c r="DN23" s="33"/>
      <c r="DO23" s="790"/>
      <c r="DP23" s="791"/>
      <c r="DQ23" s="33"/>
      <c r="DR23" s="33"/>
      <c r="DS23" s="33"/>
      <c r="DT23" s="33"/>
      <c r="DU23" s="33"/>
      <c r="DV23" s="33"/>
      <c r="DW23" s="33"/>
      <c r="DX23" s="33"/>
      <c r="DY23" s="790"/>
      <c r="DZ23" s="791"/>
      <c r="EA23" s="33"/>
      <c r="EB23" s="33"/>
      <c r="EC23" s="33"/>
      <c r="ED23" s="33"/>
      <c r="EE23" s="33"/>
      <c r="EF23" s="33"/>
      <c r="EG23" s="33"/>
      <c r="EH23" s="33"/>
      <c r="EI23" s="790"/>
      <c r="EJ23" s="791"/>
      <c r="EK23" s="33"/>
      <c r="EL23" s="33"/>
      <c r="EM23" s="33"/>
      <c r="EN23" s="33"/>
      <c r="EO23" s="33"/>
      <c r="EP23" s="33"/>
      <c r="EQ23" s="33"/>
      <c r="ER23" s="33"/>
      <c r="ES23" s="790"/>
      <c r="ET23" s="791"/>
      <c r="EU23" s="33"/>
      <c r="EV23" s="33"/>
      <c r="EW23" s="33"/>
      <c r="EX23" s="33"/>
      <c r="EY23" s="33"/>
      <c r="EZ23" s="33"/>
      <c r="FA23" s="33"/>
      <c r="FB23" s="33"/>
      <c r="FC23" s="790"/>
      <c r="FD23" s="791"/>
      <c r="FE23" s="33"/>
      <c r="FF23" s="33"/>
      <c r="FG23" s="33"/>
      <c r="FH23" s="33"/>
      <c r="FI23" s="33"/>
      <c r="FJ23" s="33"/>
      <c r="FK23" s="33"/>
      <c r="FL23" s="33"/>
      <c r="FM23" s="790"/>
      <c r="FN23" s="791"/>
      <c r="FO23" s="33"/>
      <c r="FP23" s="33"/>
      <c r="FQ23" s="33"/>
      <c r="FR23" s="33"/>
      <c r="FS23" s="33"/>
      <c r="FT23" s="33"/>
      <c r="FU23" s="33"/>
      <c r="FV23" s="33"/>
      <c r="FW23" s="790"/>
      <c r="FX23" s="791"/>
      <c r="FY23" s="33"/>
      <c r="FZ23" s="33"/>
      <c r="GA23" s="33"/>
      <c r="GB23" s="33"/>
      <c r="GC23" s="33"/>
      <c r="GD23" s="33"/>
      <c r="GE23" s="33"/>
      <c r="GF23" s="33"/>
      <c r="GG23" s="790"/>
      <c r="GH23" s="791"/>
      <c r="GI23" s="33"/>
      <c r="GJ23" s="33"/>
      <c r="GK23" s="33"/>
      <c r="GL23" s="33"/>
      <c r="GM23" s="33"/>
      <c r="GN23" s="33"/>
      <c r="GO23" s="33"/>
      <c r="GP23" s="33"/>
      <c r="GQ23" s="790"/>
      <c r="GR23" s="791"/>
      <c r="GS23" s="33"/>
      <c r="GT23" s="33"/>
      <c r="GU23" s="33"/>
      <c r="GV23" s="33"/>
      <c r="GW23" s="33"/>
      <c r="GX23" s="33"/>
      <c r="GY23" s="33"/>
      <c r="GZ23" s="33"/>
      <c r="HA23" s="790"/>
      <c r="HB23" s="791"/>
      <c r="HC23" s="33"/>
      <c r="HD23" s="33"/>
      <c r="HE23" s="33"/>
      <c r="HF23" s="33"/>
      <c r="HG23" s="33"/>
      <c r="HH23" s="33"/>
      <c r="HI23" s="33"/>
      <c r="HJ23" s="33"/>
      <c r="HK23" s="790"/>
      <c r="HL23" s="791"/>
      <c r="HM23" s="33"/>
      <c r="HN23" s="33"/>
      <c r="HO23" s="33"/>
      <c r="HP23" s="33"/>
      <c r="HQ23" s="33"/>
      <c r="HR23" s="33"/>
      <c r="HS23" s="33"/>
      <c r="HT23" s="33"/>
      <c r="HU23" s="790"/>
      <c r="HV23" s="791"/>
      <c r="HW23" s="33"/>
      <c r="HX23" s="33"/>
      <c r="HY23" s="33"/>
      <c r="HZ23" s="33"/>
      <c r="IA23" s="33"/>
      <c r="IB23" s="33"/>
      <c r="IC23" s="33"/>
      <c r="ID23" s="33"/>
      <c r="IE23" s="790"/>
      <c r="IF23" s="791"/>
      <c r="IG23" s="33"/>
      <c r="IH23" s="33"/>
      <c r="II23" s="33"/>
      <c r="IJ23" s="33"/>
      <c r="IK23" s="33"/>
      <c r="IL23" s="33"/>
      <c r="IM23" s="33"/>
      <c r="IN23" s="33"/>
      <c r="IO23" s="790"/>
      <c r="IP23" s="790"/>
      <c r="IQ23" s="788"/>
      <c r="IR23" s="792"/>
      <c r="IS23" s="792"/>
      <c r="IT23" s="792"/>
      <c r="IU23" s="792"/>
      <c r="IV23" s="792"/>
      <c r="IW23" s="792"/>
      <c r="IX23" s="507"/>
      <c r="IY23" s="193"/>
      <c r="IZ23" s="193"/>
    </row>
    <row r="24" spans="2:260" ht="19.5" thickBot="1" x14ac:dyDescent="0.35">
      <c r="B24" s="805"/>
      <c r="C24" s="820">
        <v>33.06</v>
      </c>
      <c r="D24" s="821">
        <v>6</v>
      </c>
      <c r="E24" s="821">
        <v>2.6469999999999998</v>
      </c>
      <c r="F24" s="821">
        <v>0.93700000000000006</v>
      </c>
      <c r="G24" s="821">
        <v>2.0459999999999998</v>
      </c>
      <c r="H24" s="192"/>
      <c r="I24" s="828"/>
      <c r="J24" s="834" t="s">
        <v>370</v>
      </c>
      <c r="K24" s="876" t="e">
        <f>VLOOKUP(C5,C19:G34,5,FALSE)</f>
        <v>#N/A</v>
      </c>
      <c r="L24" s="876" t="s">
        <v>151</v>
      </c>
      <c r="M24" s="876"/>
      <c r="N24" s="881" t="s">
        <v>191</v>
      </c>
      <c r="O24" s="879"/>
      <c r="P24" s="107" t="e">
        <f>(P22/P23)*100</f>
        <v>#VALUE!</v>
      </c>
      <c r="Q24" s="159" t="s">
        <v>13</v>
      </c>
      <c r="R24" s="692"/>
      <c r="S24" s="827"/>
      <c r="T24" s="692"/>
      <c r="U24" s="528" t="s">
        <v>69</v>
      </c>
      <c r="V24" s="516" t="str">
        <f>C1&amp;"_ENG_P_IN"</f>
        <v>MCZE439_ENG_P_IN</v>
      </c>
      <c r="W24" s="852" t="e">
        <f>1.70654844438105E-07*W23^2 + 7.72494047896E-19* - 2.15105711021124E-16</f>
        <v>#VALUE!</v>
      </c>
      <c r="X24" s="843" t="s">
        <v>85</v>
      </c>
      <c r="Y24" s="840"/>
      <c r="AA24" s="61"/>
      <c r="AB24" s="71"/>
      <c r="AC24" s="861"/>
      <c r="AD24" s="71"/>
      <c r="AE24" s="71"/>
      <c r="AF24" s="71"/>
      <c r="AG24" s="71"/>
      <c r="AS24" s="193"/>
      <c r="AT24" s="507"/>
      <c r="AU24" s="789"/>
      <c r="AV24" s="789"/>
      <c r="AW24" s="789"/>
      <c r="AX24" s="791"/>
      <c r="AY24" s="33"/>
      <c r="AZ24" s="33"/>
      <c r="BA24" s="33"/>
      <c r="BB24" s="33"/>
      <c r="BC24" s="33"/>
      <c r="BD24" s="33"/>
      <c r="BE24" s="33"/>
      <c r="BF24" s="33"/>
      <c r="BG24" s="790"/>
      <c r="BH24" s="791"/>
      <c r="BI24" s="33"/>
      <c r="BJ24" s="33"/>
      <c r="BK24" s="33"/>
      <c r="BL24" s="33"/>
      <c r="BM24" s="33"/>
      <c r="BN24" s="33"/>
      <c r="BO24" s="33"/>
      <c r="BP24" s="33"/>
      <c r="BQ24" s="790"/>
      <c r="BR24" s="791"/>
      <c r="BS24" s="33"/>
      <c r="BT24" s="33"/>
      <c r="BU24" s="33"/>
      <c r="BV24" s="33"/>
      <c r="BW24" s="33"/>
      <c r="BX24" s="33"/>
      <c r="BY24" s="33"/>
      <c r="BZ24" s="33"/>
      <c r="CA24" s="790"/>
      <c r="CB24" s="791"/>
      <c r="CC24" s="33"/>
      <c r="CD24" s="33"/>
      <c r="CE24" s="33"/>
      <c r="CF24" s="33"/>
      <c r="CG24" s="33"/>
      <c r="CH24" s="33"/>
      <c r="CI24" s="33"/>
      <c r="CJ24" s="33"/>
      <c r="CK24" s="790"/>
      <c r="CL24" s="791"/>
      <c r="CM24" s="33"/>
      <c r="CN24" s="33"/>
      <c r="CO24" s="33"/>
      <c r="CP24" s="33"/>
      <c r="CQ24" s="33"/>
      <c r="CR24" s="33"/>
      <c r="CS24" s="33"/>
      <c r="CT24" s="33"/>
      <c r="CU24" s="790"/>
      <c r="CV24" s="791"/>
      <c r="CW24" s="33"/>
      <c r="CX24" s="33"/>
      <c r="CY24" s="33"/>
      <c r="CZ24" s="33"/>
      <c r="DA24" s="33"/>
      <c r="DB24" s="33"/>
      <c r="DC24" s="33"/>
      <c r="DD24" s="33"/>
      <c r="DE24" s="790"/>
      <c r="DF24" s="791"/>
      <c r="DG24" s="33"/>
      <c r="DH24" s="33"/>
      <c r="DI24" s="33"/>
      <c r="DJ24" s="33"/>
      <c r="DK24" s="33"/>
      <c r="DL24" s="33"/>
      <c r="DM24" s="33"/>
      <c r="DN24" s="33"/>
      <c r="DO24" s="790"/>
      <c r="DP24" s="791"/>
      <c r="DQ24" s="33"/>
      <c r="DR24" s="33"/>
      <c r="DS24" s="33"/>
      <c r="DT24" s="33"/>
      <c r="DU24" s="33"/>
      <c r="DV24" s="33"/>
      <c r="DW24" s="33"/>
      <c r="DX24" s="33"/>
      <c r="DY24" s="790"/>
      <c r="DZ24" s="791"/>
      <c r="EA24" s="33"/>
      <c r="EB24" s="33"/>
      <c r="EC24" s="33"/>
      <c r="ED24" s="33"/>
      <c r="EE24" s="33"/>
      <c r="EF24" s="33"/>
      <c r="EG24" s="33"/>
      <c r="EH24" s="33"/>
      <c r="EI24" s="790"/>
      <c r="EJ24" s="791"/>
      <c r="EK24" s="33"/>
      <c r="EL24" s="33"/>
      <c r="EM24" s="33"/>
      <c r="EN24" s="33"/>
      <c r="EO24" s="33"/>
      <c r="EP24" s="33"/>
      <c r="EQ24" s="33"/>
      <c r="ER24" s="33"/>
      <c r="ES24" s="790"/>
      <c r="ET24" s="791"/>
      <c r="EU24" s="33"/>
      <c r="EV24" s="33"/>
      <c r="EW24" s="33"/>
      <c r="EX24" s="33"/>
      <c r="EY24" s="33"/>
      <c r="EZ24" s="33"/>
      <c r="FA24" s="33"/>
      <c r="FB24" s="33"/>
      <c r="FC24" s="790"/>
      <c r="FD24" s="791"/>
      <c r="FE24" s="33"/>
      <c r="FF24" s="33"/>
      <c r="FG24" s="33"/>
      <c r="FH24" s="33"/>
      <c r="FI24" s="33"/>
      <c r="FJ24" s="33"/>
      <c r="FK24" s="33"/>
      <c r="FL24" s="33"/>
      <c r="FM24" s="790"/>
      <c r="FN24" s="791"/>
      <c r="FO24" s="33"/>
      <c r="FP24" s="33"/>
      <c r="FQ24" s="33"/>
      <c r="FR24" s="33"/>
      <c r="FS24" s="33"/>
      <c r="FT24" s="33"/>
      <c r="FU24" s="33"/>
      <c r="FV24" s="33"/>
      <c r="FW24" s="790"/>
      <c r="FX24" s="791"/>
      <c r="FY24" s="33"/>
      <c r="FZ24" s="33"/>
      <c r="GA24" s="33"/>
      <c r="GB24" s="33"/>
      <c r="GC24" s="33"/>
      <c r="GD24" s="33"/>
      <c r="GE24" s="33"/>
      <c r="GF24" s="33"/>
      <c r="GG24" s="790"/>
      <c r="GH24" s="791"/>
      <c r="GI24" s="33"/>
      <c r="GJ24" s="33"/>
      <c r="GK24" s="33"/>
      <c r="GL24" s="33"/>
      <c r="GM24" s="33"/>
      <c r="GN24" s="33"/>
      <c r="GO24" s="33"/>
      <c r="GP24" s="33"/>
      <c r="GQ24" s="790"/>
      <c r="GR24" s="791"/>
      <c r="GS24" s="33"/>
      <c r="GT24" s="33"/>
      <c r="GU24" s="33"/>
      <c r="GV24" s="33"/>
      <c r="GW24" s="33"/>
      <c r="GX24" s="33"/>
      <c r="GY24" s="33"/>
      <c r="GZ24" s="33"/>
      <c r="HA24" s="790"/>
      <c r="HB24" s="791"/>
      <c r="HC24" s="33"/>
      <c r="HD24" s="33"/>
      <c r="HE24" s="33"/>
      <c r="HF24" s="33"/>
      <c r="HG24" s="33"/>
      <c r="HH24" s="33"/>
      <c r="HI24" s="33"/>
      <c r="HJ24" s="33"/>
      <c r="HK24" s="790"/>
      <c r="HL24" s="791"/>
      <c r="HM24" s="33"/>
      <c r="HN24" s="33"/>
      <c r="HO24" s="33"/>
      <c r="HP24" s="33"/>
      <c r="HQ24" s="33"/>
      <c r="HR24" s="33"/>
      <c r="HS24" s="33"/>
      <c r="HT24" s="33"/>
      <c r="HU24" s="790"/>
      <c r="HV24" s="791"/>
      <c r="HW24" s="33"/>
      <c r="HX24" s="33"/>
      <c r="HY24" s="33"/>
      <c r="HZ24" s="33"/>
      <c r="IA24" s="33"/>
      <c r="IB24" s="33"/>
      <c r="IC24" s="33"/>
      <c r="ID24" s="33"/>
      <c r="IE24" s="790"/>
      <c r="IF24" s="791"/>
      <c r="IG24" s="33"/>
      <c r="IH24" s="33"/>
      <c r="II24" s="33"/>
      <c r="IJ24" s="33"/>
      <c r="IK24" s="33"/>
      <c r="IL24" s="33"/>
      <c r="IM24" s="33"/>
      <c r="IN24" s="33"/>
      <c r="IO24" s="790"/>
      <c r="IP24" s="790"/>
      <c r="IQ24" s="788"/>
      <c r="IR24" s="792"/>
      <c r="IS24" s="792"/>
      <c r="IT24" s="792"/>
      <c r="IU24" s="792"/>
      <c r="IV24" s="792"/>
      <c r="IW24" s="792"/>
      <c r="IX24" s="507"/>
      <c r="IY24" s="193"/>
      <c r="IZ24" s="193"/>
    </row>
    <row r="25" spans="2:260" ht="19.5" thickBot="1" x14ac:dyDescent="0.35">
      <c r="B25" s="806"/>
      <c r="C25" s="820">
        <v>37.06</v>
      </c>
      <c r="D25" s="821">
        <v>7</v>
      </c>
      <c r="E25" s="821">
        <v>2.6469999999999998</v>
      </c>
      <c r="F25" s="821">
        <v>0.93700000000000006</v>
      </c>
      <c r="G25" s="821">
        <v>2.0459999999999998</v>
      </c>
      <c r="H25" s="192"/>
      <c r="I25" s="828"/>
      <c r="J25" s="877"/>
      <c r="K25" s="876"/>
      <c r="L25" s="876"/>
      <c r="M25" s="876"/>
      <c r="N25" s="883"/>
      <c r="O25" s="82"/>
      <c r="P25" s="51"/>
      <c r="Q25" s="51"/>
      <c r="R25" s="692"/>
      <c r="S25" s="827"/>
      <c r="T25" s="692"/>
      <c r="U25" s="521"/>
      <c r="V25" s="529" t="str">
        <f>C1&amp;"_ENG_P_EX"</f>
        <v>MCZE439_ENG_P_EX</v>
      </c>
      <c r="W25" s="853" t="e">
        <f>1.45002333746652E-07*W23^2 + 7.99599102208E-19*+ 5.27355936696949E-16</f>
        <v>#VALUE!</v>
      </c>
      <c r="X25" s="844" t="s">
        <v>85</v>
      </c>
      <c r="Y25" s="840"/>
      <c r="AA25" s="61"/>
      <c r="AB25" s="71"/>
      <c r="AC25" s="861"/>
      <c r="AD25" s="71"/>
      <c r="AE25" s="71"/>
      <c r="AF25" s="71"/>
      <c r="AG25" s="71"/>
      <c r="AS25" s="193"/>
      <c r="AT25" s="507"/>
      <c r="AU25" s="789"/>
      <c r="AV25" s="789"/>
      <c r="AW25" s="789"/>
      <c r="AX25" s="791"/>
      <c r="AY25" s="33"/>
      <c r="AZ25" s="33"/>
      <c r="BA25" s="33"/>
      <c r="BB25" s="33"/>
      <c r="BC25" s="33"/>
      <c r="BD25" s="33"/>
      <c r="BE25" s="33"/>
      <c r="BF25" s="33"/>
      <c r="BG25" s="790"/>
      <c r="BH25" s="791"/>
      <c r="BI25" s="33"/>
      <c r="BJ25" s="33"/>
      <c r="BK25" s="33"/>
      <c r="BL25" s="33"/>
      <c r="BM25" s="33"/>
      <c r="BN25" s="33"/>
      <c r="BO25" s="33"/>
      <c r="BP25" s="33"/>
      <c r="BQ25" s="790"/>
      <c r="BR25" s="791"/>
      <c r="BS25" s="33"/>
      <c r="BT25" s="33"/>
      <c r="BU25" s="33"/>
      <c r="BV25" s="33"/>
      <c r="BW25" s="33"/>
      <c r="BX25" s="33"/>
      <c r="BY25" s="33"/>
      <c r="BZ25" s="33"/>
      <c r="CA25" s="790"/>
      <c r="CB25" s="791"/>
      <c r="CC25" s="33"/>
      <c r="CD25" s="33"/>
      <c r="CE25" s="33"/>
      <c r="CF25" s="33"/>
      <c r="CG25" s="33"/>
      <c r="CH25" s="33"/>
      <c r="CI25" s="33"/>
      <c r="CJ25" s="33"/>
      <c r="CK25" s="790"/>
      <c r="CL25" s="791"/>
      <c r="CM25" s="33"/>
      <c r="CN25" s="33"/>
      <c r="CO25" s="33"/>
      <c r="CP25" s="33"/>
      <c r="CQ25" s="33"/>
      <c r="CR25" s="33"/>
      <c r="CS25" s="33"/>
      <c r="CT25" s="33"/>
      <c r="CU25" s="790"/>
      <c r="CV25" s="791"/>
      <c r="CW25" s="33"/>
      <c r="CX25" s="33"/>
      <c r="CY25" s="33"/>
      <c r="CZ25" s="33"/>
      <c r="DA25" s="33"/>
      <c r="DB25" s="33"/>
      <c r="DC25" s="33"/>
      <c r="DD25" s="33"/>
      <c r="DE25" s="790"/>
      <c r="DF25" s="791"/>
      <c r="DG25" s="33"/>
      <c r="DH25" s="33"/>
      <c r="DI25" s="33"/>
      <c r="DJ25" s="33"/>
      <c r="DK25" s="33"/>
      <c r="DL25" s="33"/>
      <c r="DM25" s="33"/>
      <c r="DN25" s="33"/>
      <c r="DO25" s="790"/>
      <c r="DP25" s="791"/>
      <c r="DQ25" s="33"/>
      <c r="DR25" s="33"/>
      <c r="DS25" s="33"/>
      <c r="DT25" s="33"/>
      <c r="DU25" s="33"/>
      <c r="DV25" s="33"/>
      <c r="DW25" s="33"/>
      <c r="DX25" s="33"/>
      <c r="DY25" s="790"/>
      <c r="DZ25" s="791"/>
      <c r="EA25" s="33"/>
      <c r="EB25" s="33"/>
      <c r="EC25" s="33"/>
      <c r="ED25" s="33"/>
      <c r="EE25" s="33"/>
      <c r="EF25" s="33"/>
      <c r="EG25" s="33"/>
      <c r="EH25" s="33"/>
      <c r="EI25" s="790"/>
      <c r="EJ25" s="791"/>
      <c r="EK25" s="33"/>
      <c r="EL25" s="33"/>
      <c r="EM25" s="33"/>
      <c r="EN25" s="33"/>
      <c r="EO25" s="33"/>
      <c r="EP25" s="33"/>
      <c r="EQ25" s="33"/>
      <c r="ER25" s="33"/>
      <c r="ES25" s="790"/>
      <c r="ET25" s="791"/>
      <c r="EU25" s="33"/>
      <c r="EV25" s="33"/>
      <c r="EW25" s="33"/>
      <c r="EX25" s="33"/>
      <c r="EY25" s="33"/>
      <c r="EZ25" s="33"/>
      <c r="FA25" s="33"/>
      <c r="FB25" s="33"/>
      <c r="FC25" s="790"/>
      <c r="FD25" s="791"/>
      <c r="FE25" s="33"/>
      <c r="FF25" s="33"/>
      <c r="FG25" s="33"/>
      <c r="FH25" s="33"/>
      <c r="FI25" s="33"/>
      <c r="FJ25" s="33"/>
      <c r="FK25" s="33"/>
      <c r="FL25" s="33"/>
      <c r="FM25" s="790"/>
      <c r="FN25" s="791"/>
      <c r="FO25" s="33"/>
      <c r="FP25" s="33"/>
      <c r="FQ25" s="33"/>
      <c r="FR25" s="33"/>
      <c r="FS25" s="33"/>
      <c r="FT25" s="33"/>
      <c r="FU25" s="33"/>
      <c r="FV25" s="33"/>
      <c r="FW25" s="790"/>
      <c r="FX25" s="791"/>
      <c r="FY25" s="33"/>
      <c r="FZ25" s="33"/>
      <c r="GA25" s="33"/>
      <c r="GB25" s="33"/>
      <c r="GC25" s="33"/>
      <c r="GD25" s="33"/>
      <c r="GE25" s="33"/>
      <c r="GF25" s="33"/>
      <c r="GG25" s="790"/>
      <c r="GH25" s="791"/>
      <c r="GI25" s="33"/>
      <c r="GJ25" s="33"/>
      <c r="GK25" s="33"/>
      <c r="GL25" s="33"/>
      <c r="GM25" s="33"/>
      <c r="GN25" s="33"/>
      <c r="GO25" s="33"/>
      <c r="GP25" s="33"/>
      <c r="GQ25" s="790"/>
      <c r="GR25" s="791"/>
      <c r="GS25" s="33"/>
      <c r="GT25" s="33"/>
      <c r="GU25" s="33"/>
      <c r="GV25" s="33"/>
      <c r="GW25" s="33"/>
      <c r="GX25" s="33"/>
      <c r="GY25" s="33"/>
      <c r="GZ25" s="33"/>
      <c r="HA25" s="790"/>
      <c r="HB25" s="791"/>
      <c r="HC25" s="33"/>
      <c r="HD25" s="33"/>
      <c r="HE25" s="33"/>
      <c r="HF25" s="33"/>
      <c r="HG25" s="33"/>
      <c r="HH25" s="33"/>
      <c r="HI25" s="33"/>
      <c r="HJ25" s="33"/>
      <c r="HK25" s="790"/>
      <c r="HL25" s="791"/>
      <c r="HM25" s="33"/>
      <c r="HN25" s="33"/>
      <c r="HO25" s="33"/>
      <c r="HP25" s="33"/>
      <c r="HQ25" s="33"/>
      <c r="HR25" s="33"/>
      <c r="HS25" s="33"/>
      <c r="HT25" s="33"/>
      <c r="HU25" s="790"/>
      <c r="HV25" s="791"/>
      <c r="HW25" s="33"/>
      <c r="HX25" s="33"/>
      <c r="HY25" s="33"/>
      <c r="HZ25" s="33"/>
      <c r="IA25" s="33"/>
      <c r="IB25" s="33"/>
      <c r="IC25" s="33"/>
      <c r="ID25" s="33"/>
      <c r="IE25" s="790"/>
      <c r="IF25" s="791"/>
      <c r="IG25" s="33"/>
      <c r="IH25" s="33"/>
      <c r="II25" s="33"/>
      <c r="IJ25" s="33"/>
      <c r="IK25" s="33"/>
      <c r="IL25" s="33"/>
      <c r="IM25" s="33"/>
      <c r="IN25" s="33"/>
      <c r="IO25" s="790"/>
      <c r="IP25" s="790"/>
      <c r="IQ25" s="788"/>
      <c r="IR25" s="792"/>
      <c r="IS25" s="792"/>
      <c r="IT25" s="792"/>
      <c r="IU25" s="792"/>
      <c r="IV25" s="792"/>
      <c r="IW25" s="792"/>
      <c r="IX25" s="507"/>
      <c r="IY25" s="193"/>
      <c r="IZ25" s="193"/>
    </row>
    <row r="26" spans="2:260" ht="19.5" thickBot="1" x14ac:dyDescent="0.35">
      <c r="B26" s="805"/>
      <c r="C26" s="820">
        <v>41.06</v>
      </c>
      <c r="D26" s="821">
        <v>8</v>
      </c>
      <c r="E26" s="821">
        <v>2.6469999999999998</v>
      </c>
      <c r="F26" s="821">
        <v>0.93700000000000006</v>
      </c>
      <c r="G26" s="821">
        <v>2.0459999999999998</v>
      </c>
      <c r="H26" s="192"/>
      <c r="I26" s="828"/>
      <c r="J26" s="834" t="s">
        <v>381</v>
      </c>
      <c r="K26" s="884" t="e">
        <f>IF(G13=1,4,IF(G13=2,8,IF(G13=3,10,IF(G13=4,20,IF(G13=5,20,"N/A")))))</f>
        <v>#N/A</v>
      </c>
      <c r="L26" s="876"/>
      <c r="M26" s="876"/>
      <c r="N26" s="885" t="s">
        <v>68</v>
      </c>
      <c r="O26" s="877"/>
      <c r="P26" s="494" t="e">
        <f>C6/P22</f>
        <v>#VALUE!</v>
      </c>
      <c r="Q26" s="159" t="s">
        <v>45</v>
      </c>
      <c r="R26" s="692"/>
      <c r="S26" s="827"/>
      <c r="T26" s="692"/>
      <c r="U26" s="692"/>
      <c r="V26" s="692"/>
      <c r="W26" s="692"/>
      <c r="X26" s="842"/>
      <c r="Y26" s="46"/>
      <c r="AA26" s="61"/>
      <c r="AB26" s="71"/>
      <c r="AC26" s="861"/>
      <c r="AD26" s="71"/>
      <c r="AE26" s="71"/>
      <c r="AF26" s="71"/>
      <c r="AG26" s="71"/>
      <c r="AS26" s="193"/>
      <c r="AT26" s="507"/>
      <c r="AU26" s="789"/>
      <c r="AV26" s="789"/>
      <c r="AW26" s="789"/>
      <c r="AX26" s="791"/>
      <c r="AY26" s="33"/>
      <c r="AZ26" s="33"/>
      <c r="BA26" s="33"/>
      <c r="BB26" s="33"/>
      <c r="BC26" s="33"/>
      <c r="BD26" s="33"/>
      <c r="BE26" s="33"/>
      <c r="BF26" s="33"/>
      <c r="BG26" s="790"/>
      <c r="BH26" s="791"/>
      <c r="BI26" s="33"/>
      <c r="BJ26" s="33"/>
      <c r="BK26" s="33"/>
      <c r="BL26" s="33"/>
      <c r="BM26" s="33"/>
      <c r="BN26" s="33"/>
      <c r="BO26" s="33"/>
      <c r="BP26" s="33"/>
      <c r="BQ26" s="790"/>
      <c r="BR26" s="791"/>
      <c r="BS26" s="33"/>
      <c r="BT26" s="33"/>
      <c r="BU26" s="33"/>
      <c r="BV26" s="33"/>
      <c r="BW26" s="33"/>
      <c r="BX26" s="33"/>
      <c r="BY26" s="33"/>
      <c r="BZ26" s="33"/>
      <c r="CA26" s="790"/>
      <c r="CB26" s="791"/>
      <c r="CC26" s="33"/>
      <c r="CD26" s="33"/>
      <c r="CE26" s="33"/>
      <c r="CF26" s="33"/>
      <c r="CG26" s="33"/>
      <c r="CH26" s="33"/>
      <c r="CI26" s="33"/>
      <c r="CJ26" s="33"/>
      <c r="CK26" s="790"/>
      <c r="CL26" s="791"/>
      <c r="CM26" s="33"/>
      <c r="CN26" s="33"/>
      <c r="CO26" s="33"/>
      <c r="CP26" s="33"/>
      <c r="CQ26" s="33"/>
      <c r="CR26" s="33"/>
      <c r="CS26" s="33"/>
      <c r="CT26" s="33"/>
      <c r="CU26" s="790"/>
      <c r="CV26" s="791"/>
      <c r="CW26" s="33"/>
      <c r="CX26" s="33"/>
      <c r="CY26" s="33"/>
      <c r="CZ26" s="33"/>
      <c r="DA26" s="33"/>
      <c r="DB26" s="33"/>
      <c r="DC26" s="33"/>
      <c r="DD26" s="33"/>
      <c r="DE26" s="790"/>
      <c r="DF26" s="791"/>
      <c r="DG26" s="33"/>
      <c r="DH26" s="33"/>
      <c r="DI26" s="33"/>
      <c r="DJ26" s="33"/>
      <c r="DK26" s="33"/>
      <c r="DL26" s="33"/>
      <c r="DM26" s="33"/>
      <c r="DN26" s="33"/>
      <c r="DO26" s="790"/>
      <c r="DP26" s="791"/>
      <c r="DQ26" s="33"/>
      <c r="DR26" s="33"/>
      <c r="DS26" s="33"/>
      <c r="DT26" s="33"/>
      <c r="DU26" s="33"/>
      <c r="DV26" s="33"/>
      <c r="DW26" s="33"/>
      <c r="DX26" s="33"/>
      <c r="DY26" s="790"/>
      <c r="DZ26" s="791"/>
      <c r="EA26" s="33"/>
      <c r="EB26" s="33"/>
      <c r="EC26" s="33"/>
      <c r="ED26" s="33"/>
      <c r="EE26" s="33"/>
      <c r="EF26" s="33"/>
      <c r="EG26" s="33"/>
      <c r="EH26" s="33"/>
      <c r="EI26" s="790"/>
      <c r="EJ26" s="791"/>
      <c r="EK26" s="33"/>
      <c r="EL26" s="33"/>
      <c r="EM26" s="33"/>
      <c r="EN26" s="33"/>
      <c r="EO26" s="33"/>
      <c r="EP26" s="33"/>
      <c r="EQ26" s="33"/>
      <c r="ER26" s="33"/>
      <c r="ES26" s="790"/>
      <c r="ET26" s="791"/>
      <c r="EU26" s="33"/>
      <c r="EV26" s="33"/>
      <c r="EW26" s="33"/>
      <c r="EX26" s="33"/>
      <c r="EY26" s="33"/>
      <c r="EZ26" s="33"/>
      <c r="FA26" s="33"/>
      <c r="FB26" s="33"/>
      <c r="FC26" s="790"/>
      <c r="FD26" s="791"/>
      <c r="FE26" s="33"/>
      <c r="FF26" s="33"/>
      <c r="FG26" s="33"/>
      <c r="FH26" s="33"/>
      <c r="FI26" s="33"/>
      <c r="FJ26" s="33"/>
      <c r="FK26" s="33"/>
      <c r="FL26" s="33"/>
      <c r="FM26" s="790"/>
      <c r="FN26" s="791"/>
      <c r="FO26" s="33"/>
      <c r="FP26" s="33"/>
      <c r="FQ26" s="33"/>
      <c r="FR26" s="33"/>
      <c r="FS26" s="33"/>
      <c r="FT26" s="33"/>
      <c r="FU26" s="33"/>
      <c r="FV26" s="33"/>
      <c r="FW26" s="790"/>
      <c r="FX26" s="791"/>
      <c r="FY26" s="33"/>
      <c r="FZ26" s="33"/>
      <c r="GA26" s="33"/>
      <c r="GB26" s="33"/>
      <c r="GC26" s="33"/>
      <c r="GD26" s="33"/>
      <c r="GE26" s="33"/>
      <c r="GF26" s="33"/>
      <c r="GG26" s="790"/>
      <c r="GH26" s="791"/>
      <c r="GI26" s="33"/>
      <c r="GJ26" s="33"/>
      <c r="GK26" s="33"/>
      <c r="GL26" s="33"/>
      <c r="GM26" s="33"/>
      <c r="GN26" s="33"/>
      <c r="GO26" s="33"/>
      <c r="GP26" s="33"/>
      <c r="GQ26" s="790"/>
      <c r="GR26" s="791"/>
      <c r="GS26" s="33"/>
      <c r="GT26" s="33"/>
      <c r="GU26" s="33"/>
      <c r="GV26" s="33"/>
      <c r="GW26" s="33"/>
      <c r="GX26" s="33"/>
      <c r="GY26" s="33"/>
      <c r="GZ26" s="33"/>
      <c r="HA26" s="790"/>
      <c r="HB26" s="791"/>
      <c r="HC26" s="33"/>
      <c r="HD26" s="33"/>
      <c r="HE26" s="33"/>
      <c r="HF26" s="33"/>
      <c r="HG26" s="33"/>
      <c r="HH26" s="33"/>
      <c r="HI26" s="33"/>
      <c r="HJ26" s="33"/>
      <c r="HK26" s="790"/>
      <c r="HL26" s="791"/>
      <c r="HM26" s="33"/>
      <c r="HN26" s="33"/>
      <c r="HO26" s="33"/>
      <c r="HP26" s="33"/>
      <c r="HQ26" s="33"/>
      <c r="HR26" s="33"/>
      <c r="HS26" s="33"/>
      <c r="HT26" s="33"/>
      <c r="HU26" s="790"/>
      <c r="HV26" s="791"/>
      <c r="HW26" s="33"/>
      <c r="HX26" s="33"/>
      <c r="HY26" s="33"/>
      <c r="HZ26" s="33"/>
      <c r="IA26" s="33"/>
      <c r="IB26" s="33"/>
      <c r="IC26" s="33"/>
      <c r="ID26" s="33"/>
      <c r="IE26" s="790"/>
      <c r="IF26" s="791"/>
      <c r="IG26" s="33"/>
      <c r="IH26" s="33"/>
      <c r="II26" s="33"/>
      <c r="IJ26" s="33"/>
      <c r="IK26" s="33"/>
      <c r="IL26" s="33"/>
      <c r="IM26" s="33"/>
      <c r="IN26" s="33"/>
      <c r="IO26" s="790"/>
      <c r="IP26" s="790"/>
      <c r="IQ26" s="788"/>
      <c r="IR26" s="792"/>
      <c r="IS26" s="792"/>
      <c r="IT26" s="792"/>
      <c r="IU26" s="792"/>
      <c r="IV26" s="792"/>
      <c r="IW26" s="792"/>
      <c r="IX26" s="507"/>
      <c r="IY26" s="193"/>
      <c r="IZ26" s="193"/>
    </row>
    <row r="27" spans="2:260" ht="19.5" thickBot="1" x14ac:dyDescent="0.35">
      <c r="B27" s="805"/>
      <c r="C27" s="820">
        <v>45.06</v>
      </c>
      <c r="D27" s="821">
        <v>9</v>
      </c>
      <c r="E27" s="821">
        <v>2.6469999999999998</v>
      </c>
      <c r="F27" s="821">
        <v>0.93700000000000006</v>
      </c>
      <c r="G27" s="821">
        <v>2.0459999999999998</v>
      </c>
      <c r="H27" s="192"/>
      <c r="I27" s="547"/>
      <c r="J27" s="834" t="s">
        <v>403</v>
      </c>
      <c r="K27" s="884" t="e">
        <f>IF(G13=1,2,IF(G13=2,4,IF(G13=3,4,IF(G13=4,8,IF(G13=5,8,"N/A")))))</f>
        <v>#N/A</v>
      </c>
      <c r="L27" s="876"/>
      <c r="M27" s="876"/>
      <c r="N27" s="885" t="s">
        <v>69</v>
      </c>
      <c r="O27" s="473" t="s">
        <v>6</v>
      </c>
      <c r="P27" s="494" t="e">
        <f>1.70654844438105E-07*P26^2 + 7.72494047896E-19*P26 - 2.15105711021124E-16</f>
        <v>#VALUE!</v>
      </c>
      <c r="Q27" s="159" t="s">
        <v>85</v>
      </c>
      <c r="R27" s="692"/>
      <c r="S27" s="827"/>
      <c r="T27" s="692"/>
      <c r="U27" s="692"/>
      <c r="V27" s="692"/>
      <c r="W27" s="692"/>
      <c r="X27" s="807"/>
      <c r="Y27" s="46"/>
      <c r="AA27" s="61"/>
      <c r="AB27" s="71"/>
      <c r="AC27" s="861"/>
      <c r="AD27" s="71"/>
      <c r="AE27" s="71"/>
      <c r="AF27" s="71"/>
      <c r="AG27" s="71"/>
      <c r="AS27" s="193"/>
      <c r="AT27" s="507"/>
      <c r="AU27" s="789"/>
      <c r="AV27" s="789"/>
      <c r="AW27" s="789"/>
      <c r="AX27" s="791"/>
      <c r="AY27" s="33"/>
      <c r="AZ27" s="33"/>
      <c r="BA27" s="33"/>
      <c r="BB27" s="33"/>
      <c r="BC27" s="33"/>
      <c r="BD27" s="33"/>
      <c r="BE27" s="33"/>
      <c r="BF27" s="33"/>
      <c r="BG27" s="790"/>
      <c r="BH27" s="791"/>
      <c r="BI27" s="33"/>
      <c r="BJ27" s="33"/>
      <c r="BK27" s="33"/>
      <c r="BL27" s="33"/>
      <c r="BM27" s="33"/>
      <c r="BN27" s="33"/>
      <c r="BO27" s="33"/>
      <c r="BP27" s="33"/>
      <c r="BQ27" s="790"/>
      <c r="BR27" s="791"/>
      <c r="BS27" s="33"/>
      <c r="BT27" s="33"/>
      <c r="BU27" s="33"/>
      <c r="BV27" s="33"/>
      <c r="BW27" s="33"/>
      <c r="BX27" s="33"/>
      <c r="BY27" s="33"/>
      <c r="BZ27" s="33"/>
      <c r="CA27" s="790"/>
      <c r="CB27" s="791"/>
      <c r="CC27" s="33"/>
      <c r="CD27" s="33"/>
      <c r="CE27" s="33"/>
      <c r="CF27" s="33"/>
      <c r="CG27" s="33"/>
      <c r="CH27" s="33"/>
      <c r="CI27" s="33"/>
      <c r="CJ27" s="33"/>
      <c r="CK27" s="790"/>
      <c r="CL27" s="791"/>
      <c r="CM27" s="33"/>
      <c r="CN27" s="33"/>
      <c r="CO27" s="33"/>
      <c r="CP27" s="33"/>
      <c r="CQ27" s="33"/>
      <c r="CR27" s="33"/>
      <c r="CS27" s="33"/>
      <c r="CT27" s="33"/>
      <c r="CU27" s="790"/>
      <c r="CV27" s="791"/>
      <c r="CW27" s="33"/>
      <c r="CX27" s="33"/>
      <c r="CY27" s="33"/>
      <c r="CZ27" s="33"/>
      <c r="DA27" s="33"/>
      <c r="DB27" s="33"/>
      <c r="DC27" s="33"/>
      <c r="DD27" s="33"/>
      <c r="DE27" s="790"/>
      <c r="DF27" s="791"/>
      <c r="DG27" s="33"/>
      <c r="DH27" s="33"/>
      <c r="DI27" s="33"/>
      <c r="DJ27" s="33"/>
      <c r="DK27" s="33"/>
      <c r="DL27" s="33"/>
      <c r="DM27" s="33"/>
      <c r="DN27" s="33"/>
      <c r="DO27" s="790"/>
      <c r="DP27" s="791"/>
      <c r="DQ27" s="33"/>
      <c r="DR27" s="33"/>
      <c r="DS27" s="33"/>
      <c r="DT27" s="33"/>
      <c r="DU27" s="33"/>
      <c r="DV27" s="33"/>
      <c r="DW27" s="33"/>
      <c r="DX27" s="33"/>
      <c r="DY27" s="790"/>
      <c r="DZ27" s="791"/>
      <c r="EA27" s="33"/>
      <c r="EB27" s="33"/>
      <c r="EC27" s="33"/>
      <c r="ED27" s="33"/>
      <c r="EE27" s="33"/>
      <c r="EF27" s="33"/>
      <c r="EG27" s="33"/>
      <c r="EH27" s="33"/>
      <c r="EI27" s="790"/>
      <c r="EJ27" s="791"/>
      <c r="EK27" s="33"/>
      <c r="EL27" s="33"/>
      <c r="EM27" s="33"/>
      <c r="EN27" s="33"/>
      <c r="EO27" s="33"/>
      <c r="EP27" s="33"/>
      <c r="EQ27" s="33"/>
      <c r="ER27" s="33"/>
      <c r="ES27" s="790"/>
      <c r="ET27" s="791"/>
      <c r="EU27" s="33"/>
      <c r="EV27" s="33"/>
      <c r="EW27" s="33"/>
      <c r="EX27" s="33"/>
      <c r="EY27" s="33"/>
      <c r="EZ27" s="33"/>
      <c r="FA27" s="33"/>
      <c r="FB27" s="33"/>
      <c r="FC27" s="790"/>
      <c r="FD27" s="791"/>
      <c r="FE27" s="33"/>
      <c r="FF27" s="33"/>
      <c r="FG27" s="33"/>
      <c r="FH27" s="33"/>
      <c r="FI27" s="33"/>
      <c r="FJ27" s="33"/>
      <c r="FK27" s="33"/>
      <c r="FL27" s="33"/>
      <c r="FM27" s="790"/>
      <c r="FN27" s="791"/>
      <c r="FO27" s="33"/>
      <c r="FP27" s="33"/>
      <c r="FQ27" s="33"/>
      <c r="FR27" s="33"/>
      <c r="FS27" s="33"/>
      <c r="FT27" s="33"/>
      <c r="FU27" s="33"/>
      <c r="FV27" s="33"/>
      <c r="FW27" s="790"/>
      <c r="FX27" s="791"/>
      <c r="FY27" s="33"/>
      <c r="FZ27" s="33"/>
      <c r="GA27" s="33"/>
      <c r="GB27" s="33"/>
      <c r="GC27" s="33"/>
      <c r="GD27" s="33"/>
      <c r="GE27" s="33"/>
      <c r="GF27" s="33"/>
      <c r="GG27" s="790"/>
      <c r="GH27" s="791"/>
      <c r="GI27" s="33"/>
      <c r="GJ27" s="33"/>
      <c r="GK27" s="33"/>
      <c r="GL27" s="33"/>
      <c r="GM27" s="33"/>
      <c r="GN27" s="33"/>
      <c r="GO27" s="33"/>
      <c r="GP27" s="33"/>
      <c r="GQ27" s="790"/>
      <c r="GR27" s="791"/>
      <c r="GS27" s="33"/>
      <c r="GT27" s="33"/>
      <c r="GU27" s="33"/>
      <c r="GV27" s="33"/>
      <c r="GW27" s="33"/>
      <c r="GX27" s="33"/>
      <c r="GY27" s="33"/>
      <c r="GZ27" s="33"/>
      <c r="HA27" s="790"/>
      <c r="HB27" s="791"/>
      <c r="HC27" s="33"/>
      <c r="HD27" s="33"/>
      <c r="HE27" s="33"/>
      <c r="HF27" s="33"/>
      <c r="HG27" s="33"/>
      <c r="HH27" s="33"/>
      <c r="HI27" s="33"/>
      <c r="HJ27" s="33"/>
      <c r="HK27" s="790"/>
      <c r="HL27" s="791"/>
      <c r="HM27" s="33"/>
      <c r="HN27" s="33"/>
      <c r="HO27" s="33"/>
      <c r="HP27" s="33"/>
      <c r="HQ27" s="33"/>
      <c r="HR27" s="33"/>
      <c r="HS27" s="33"/>
      <c r="HT27" s="33"/>
      <c r="HU27" s="790"/>
      <c r="HV27" s="791"/>
      <c r="HW27" s="33"/>
      <c r="HX27" s="33"/>
      <c r="HY27" s="33"/>
      <c r="HZ27" s="33"/>
      <c r="IA27" s="33"/>
      <c r="IB27" s="33"/>
      <c r="IC27" s="33"/>
      <c r="ID27" s="33"/>
      <c r="IE27" s="790"/>
      <c r="IF27" s="791"/>
      <c r="IG27" s="33"/>
      <c r="IH27" s="33"/>
      <c r="II27" s="33"/>
      <c r="IJ27" s="33"/>
      <c r="IK27" s="33"/>
      <c r="IL27" s="33"/>
      <c r="IM27" s="33"/>
      <c r="IN27" s="33"/>
      <c r="IO27" s="790"/>
      <c r="IP27" s="790"/>
      <c r="IQ27" s="788"/>
      <c r="IR27" s="792"/>
      <c r="IS27" s="792"/>
      <c r="IT27" s="792"/>
      <c r="IU27" s="792"/>
      <c r="IV27" s="792"/>
      <c r="IW27" s="792"/>
      <c r="IX27" s="507"/>
      <c r="IY27" s="193"/>
      <c r="IZ27" s="193"/>
    </row>
    <row r="28" spans="2:260" ht="19.5" thickBot="1" x14ac:dyDescent="0.35">
      <c r="B28" s="805"/>
      <c r="C28" s="820">
        <v>49.06</v>
      </c>
      <c r="D28" s="821">
        <v>10</v>
      </c>
      <c r="E28" s="821">
        <v>2.6469999999999998</v>
      </c>
      <c r="F28" s="821">
        <v>0.93700000000000006</v>
      </c>
      <c r="G28" s="821">
        <v>2.0459999999999998</v>
      </c>
      <c r="H28" s="192"/>
      <c r="I28" s="547"/>
      <c r="J28" s="834" t="s">
        <v>371</v>
      </c>
      <c r="K28" s="876" t="e">
        <f>K19-((K26*2)+(K27*4.25))</f>
        <v>#VALUE!</v>
      </c>
      <c r="L28" s="876" t="s">
        <v>151</v>
      </c>
      <c r="M28" s="876"/>
      <c r="N28" s="886"/>
      <c r="O28" s="473" t="s">
        <v>7</v>
      </c>
      <c r="P28" s="494" t="e">
        <f>1.45002333746652E-07*P26^2 + 7.99599102208E-19*P26+ 5.27355936696949E-16</f>
        <v>#VALUE!</v>
      </c>
      <c r="Q28" s="159" t="s">
        <v>85</v>
      </c>
      <c r="R28" s="692"/>
      <c r="S28" s="827"/>
      <c r="T28" s="692"/>
      <c r="U28" s="692"/>
      <c r="V28" s="692"/>
      <c r="W28" s="692"/>
      <c r="X28" s="807"/>
      <c r="Y28" s="46"/>
      <c r="AA28" s="61"/>
      <c r="AB28" s="71"/>
      <c r="AC28" s="861"/>
      <c r="AD28" s="71"/>
      <c r="AE28" s="71"/>
      <c r="AF28" s="71"/>
      <c r="AG28" s="71"/>
      <c r="AS28" s="193"/>
      <c r="AT28" s="507"/>
      <c r="AU28" s="789"/>
      <c r="AV28" s="789"/>
      <c r="AW28" s="789"/>
      <c r="AX28" s="791"/>
      <c r="AY28" s="33"/>
      <c r="AZ28" s="33"/>
      <c r="BA28" s="33"/>
      <c r="BB28" s="33"/>
      <c r="BC28" s="33"/>
      <c r="BD28" s="33"/>
      <c r="BE28" s="33"/>
      <c r="BF28" s="33"/>
      <c r="BG28" s="790"/>
      <c r="BH28" s="791"/>
      <c r="BI28" s="33"/>
      <c r="BJ28" s="33"/>
      <c r="BK28" s="33"/>
      <c r="BL28" s="33"/>
      <c r="BM28" s="33"/>
      <c r="BN28" s="33"/>
      <c r="BO28" s="33"/>
      <c r="BP28" s="33"/>
      <c r="BQ28" s="790"/>
      <c r="BR28" s="791"/>
      <c r="BS28" s="33"/>
      <c r="BT28" s="33"/>
      <c r="BU28" s="33"/>
      <c r="BV28" s="33"/>
      <c r="BW28" s="33"/>
      <c r="BX28" s="33"/>
      <c r="BY28" s="33"/>
      <c r="BZ28" s="33"/>
      <c r="CA28" s="790"/>
      <c r="CB28" s="791"/>
      <c r="CC28" s="33"/>
      <c r="CD28" s="33"/>
      <c r="CE28" s="33"/>
      <c r="CF28" s="33"/>
      <c r="CG28" s="33"/>
      <c r="CH28" s="33"/>
      <c r="CI28" s="33"/>
      <c r="CJ28" s="33"/>
      <c r="CK28" s="790"/>
      <c r="CL28" s="791"/>
      <c r="CM28" s="33"/>
      <c r="CN28" s="33"/>
      <c r="CO28" s="33"/>
      <c r="CP28" s="33"/>
      <c r="CQ28" s="33"/>
      <c r="CR28" s="33"/>
      <c r="CS28" s="33"/>
      <c r="CT28" s="33"/>
      <c r="CU28" s="790"/>
      <c r="CV28" s="791"/>
      <c r="CW28" s="33"/>
      <c r="CX28" s="33"/>
      <c r="CY28" s="33"/>
      <c r="CZ28" s="33"/>
      <c r="DA28" s="33"/>
      <c r="DB28" s="33"/>
      <c r="DC28" s="33"/>
      <c r="DD28" s="33"/>
      <c r="DE28" s="790"/>
      <c r="DF28" s="791"/>
      <c r="DG28" s="33"/>
      <c r="DH28" s="33"/>
      <c r="DI28" s="33"/>
      <c r="DJ28" s="33"/>
      <c r="DK28" s="33"/>
      <c r="DL28" s="33"/>
      <c r="DM28" s="33"/>
      <c r="DN28" s="33"/>
      <c r="DO28" s="790"/>
      <c r="DP28" s="798"/>
      <c r="DQ28" s="799"/>
      <c r="DR28" s="33"/>
      <c r="DS28" s="33"/>
      <c r="DT28" s="33"/>
      <c r="DU28" s="33"/>
      <c r="DV28" s="33"/>
      <c r="DW28" s="33"/>
      <c r="DX28" s="33"/>
      <c r="DY28" s="790"/>
      <c r="DZ28" s="791"/>
      <c r="EA28" s="33"/>
      <c r="EB28" s="33"/>
      <c r="EC28" s="33"/>
      <c r="ED28" s="33"/>
      <c r="EE28" s="33"/>
      <c r="EF28" s="33"/>
      <c r="EG28" s="33"/>
      <c r="EH28" s="33"/>
      <c r="EI28" s="790"/>
      <c r="EJ28" s="791"/>
      <c r="EK28" s="33"/>
      <c r="EL28" s="33"/>
      <c r="EM28" s="33"/>
      <c r="EN28" s="33"/>
      <c r="EO28" s="33"/>
      <c r="EP28" s="33"/>
      <c r="EQ28" s="33"/>
      <c r="ER28" s="33"/>
      <c r="ES28" s="790"/>
      <c r="ET28" s="791"/>
      <c r="EU28" s="33"/>
      <c r="EV28" s="33"/>
      <c r="EW28" s="33"/>
      <c r="EX28" s="33"/>
      <c r="EY28" s="33"/>
      <c r="EZ28" s="33"/>
      <c r="FA28" s="33"/>
      <c r="FB28" s="33"/>
      <c r="FC28" s="790"/>
      <c r="FD28" s="791"/>
      <c r="FE28" s="33"/>
      <c r="FF28" s="33"/>
      <c r="FG28" s="33"/>
      <c r="FH28" s="33"/>
      <c r="FI28" s="33"/>
      <c r="FJ28" s="33"/>
      <c r="FK28" s="33"/>
      <c r="FL28" s="33"/>
      <c r="FM28" s="790"/>
      <c r="FN28" s="791"/>
      <c r="FO28" s="33"/>
      <c r="FP28" s="33"/>
      <c r="FQ28" s="33"/>
      <c r="FR28" s="33"/>
      <c r="FS28" s="33"/>
      <c r="FT28" s="33"/>
      <c r="FU28" s="33"/>
      <c r="FV28" s="33"/>
      <c r="FW28" s="790"/>
      <c r="FX28" s="791"/>
      <c r="FY28" s="33"/>
      <c r="FZ28" s="33"/>
      <c r="GA28" s="33"/>
      <c r="GB28" s="33"/>
      <c r="GC28" s="33"/>
      <c r="GD28" s="33"/>
      <c r="GE28" s="33"/>
      <c r="GF28" s="33"/>
      <c r="GG28" s="790"/>
      <c r="GH28" s="791"/>
      <c r="GI28" s="33"/>
      <c r="GJ28" s="33"/>
      <c r="GK28" s="33"/>
      <c r="GL28" s="33"/>
      <c r="GM28" s="33"/>
      <c r="GN28" s="33"/>
      <c r="GO28" s="33"/>
      <c r="GP28" s="33"/>
      <c r="GQ28" s="790"/>
      <c r="GR28" s="791"/>
      <c r="GS28" s="33"/>
      <c r="GT28" s="33"/>
      <c r="GU28" s="33"/>
      <c r="GV28" s="33"/>
      <c r="GW28" s="33"/>
      <c r="GX28" s="33"/>
      <c r="GY28" s="33"/>
      <c r="GZ28" s="33"/>
      <c r="HA28" s="790"/>
      <c r="HB28" s="791"/>
      <c r="HC28" s="33"/>
      <c r="HD28" s="33"/>
      <c r="HE28" s="33"/>
      <c r="HF28" s="33"/>
      <c r="HG28" s="33"/>
      <c r="HH28" s="33"/>
      <c r="HI28" s="33"/>
      <c r="HJ28" s="33"/>
      <c r="HK28" s="790"/>
      <c r="HL28" s="791"/>
      <c r="HM28" s="33"/>
      <c r="HN28" s="33"/>
      <c r="HO28" s="33"/>
      <c r="HP28" s="33"/>
      <c r="HQ28" s="33"/>
      <c r="HR28" s="33"/>
      <c r="HS28" s="33"/>
      <c r="HT28" s="33"/>
      <c r="HU28" s="790"/>
      <c r="HV28" s="791"/>
      <c r="HW28" s="33"/>
      <c r="HX28" s="33"/>
      <c r="HY28" s="33"/>
      <c r="HZ28" s="33"/>
      <c r="IA28" s="33"/>
      <c r="IB28" s="33"/>
      <c r="IC28" s="33"/>
      <c r="ID28" s="33"/>
      <c r="IE28" s="790"/>
      <c r="IF28" s="791"/>
      <c r="IG28" s="33"/>
      <c r="IH28" s="33"/>
      <c r="II28" s="33"/>
      <c r="IJ28" s="33"/>
      <c r="IK28" s="33"/>
      <c r="IL28" s="33"/>
      <c r="IM28" s="33"/>
      <c r="IN28" s="33"/>
      <c r="IO28" s="790"/>
      <c r="IP28" s="790"/>
      <c r="IQ28" s="788"/>
      <c r="IR28" s="792"/>
      <c r="IS28" s="792"/>
      <c r="IT28" s="792"/>
      <c r="IU28" s="792"/>
      <c r="IV28" s="792"/>
      <c r="IW28" s="792"/>
      <c r="IX28" s="507"/>
      <c r="IY28" s="193"/>
      <c r="IZ28" s="193"/>
    </row>
    <row r="29" spans="2:260" ht="15.75" thickBot="1" x14ac:dyDescent="0.3">
      <c r="B29" s="805"/>
      <c r="C29" s="820">
        <v>53.06</v>
      </c>
      <c r="D29" s="821">
        <v>11</v>
      </c>
      <c r="E29" s="821">
        <v>2.6469999999999998</v>
      </c>
      <c r="F29" s="821">
        <v>0.93700000000000006</v>
      </c>
      <c r="G29" s="821">
        <v>2.0459999999999998</v>
      </c>
      <c r="H29" s="192"/>
      <c r="I29" s="547"/>
      <c r="J29" s="877"/>
      <c r="K29" s="876"/>
      <c r="L29" s="876"/>
      <c r="M29" s="876"/>
      <c r="N29" s="876"/>
      <c r="O29" s="887"/>
      <c r="P29" s="192"/>
      <c r="Q29" s="192"/>
      <c r="R29" s="692"/>
      <c r="S29" s="827"/>
      <c r="T29" s="692"/>
      <c r="U29" s="692"/>
      <c r="V29" s="692"/>
      <c r="W29" s="692"/>
      <c r="X29" s="807"/>
      <c r="Y29" s="46"/>
      <c r="AA29" s="61"/>
      <c r="AB29" s="71"/>
      <c r="AC29" s="861"/>
      <c r="AD29" s="71"/>
      <c r="AE29" s="71"/>
      <c r="AF29" s="71"/>
      <c r="AG29" s="71"/>
      <c r="AS29" s="193"/>
      <c r="AT29" s="507"/>
      <c r="AU29" s="789"/>
      <c r="AV29" s="789"/>
      <c r="AW29" s="789"/>
      <c r="AX29" s="791"/>
      <c r="AY29" s="33"/>
      <c r="AZ29" s="33"/>
      <c r="BA29" s="33"/>
      <c r="BB29" s="33"/>
      <c r="BC29" s="33"/>
      <c r="BD29" s="33"/>
      <c r="BE29" s="33"/>
      <c r="BF29" s="33"/>
      <c r="BG29" s="790"/>
      <c r="BH29" s="791"/>
      <c r="BI29" s="33"/>
      <c r="BJ29" s="33"/>
      <c r="BK29" s="33"/>
      <c r="BL29" s="33"/>
      <c r="BM29" s="33"/>
      <c r="BN29" s="33"/>
      <c r="BO29" s="33"/>
      <c r="BP29" s="33"/>
      <c r="BQ29" s="790"/>
      <c r="BR29" s="791"/>
      <c r="BS29" s="33"/>
      <c r="BT29" s="33"/>
      <c r="BU29" s="33"/>
      <c r="BV29" s="33"/>
      <c r="BW29" s="33"/>
      <c r="BX29" s="33"/>
      <c r="BY29" s="33"/>
      <c r="BZ29" s="33"/>
      <c r="CA29" s="790"/>
      <c r="CB29" s="791"/>
      <c r="CC29" s="33"/>
      <c r="CD29" s="33"/>
      <c r="CE29" s="33"/>
      <c r="CF29" s="33"/>
      <c r="CG29" s="33"/>
      <c r="CH29" s="33"/>
      <c r="CI29" s="33"/>
      <c r="CJ29" s="33"/>
      <c r="CK29" s="790"/>
      <c r="CL29" s="791"/>
      <c r="CM29" s="33"/>
      <c r="CN29" s="33"/>
      <c r="CO29" s="33"/>
      <c r="CP29" s="33"/>
      <c r="CQ29" s="33"/>
      <c r="CR29" s="33"/>
      <c r="CS29" s="33"/>
      <c r="CT29" s="33"/>
      <c r="CU29" s="790"/>
      <c r="CV29" s="791"/>
      <c r="CW29" s="33"/>
      <c r="CX29" s="33"/>
      <c r="CY29" s="33"/>
      <c r="CZ29" s="33"/>
      <c r="DA29" s="33"/>
      <c r="DB29" s="33"/>
      <c r="DC29" s="33"/>
      <c r="DD29" s="33"/>
      <c r="DE29" s="790"/>
      <c r="DF29" s="791"/>
      <c r="DG29" s="33"/>
      <c r="DH29" s="33"/>
      <c r="DI29" s="33"/>
      <c r="DJ29" s="33"/>
      <c r="DK29" s="33"/>
      <c r="DL29" s="33"/>
      <c r="DM29" s="33"/>
      <c r="DN29" s="33"/>
      <c r="DO29" s="790"/>
      <c r="DP29" s="791"/>
      <c r="DQ29" s="33"/>
      <c r="DR29" s="33"/>
      <c r="DS29" s="33"/>
      <c r="DT29" s="33"/>
      <c r="DU29" s="33"/>
      <c r="DV29" s="33"/>
      <c r="DW29" s="33"/>
      <c r="DX29" s="33"/>
      <c r="DY29" s="790"/>
      <c r="DZ29" s="791"/>
      <c r="EA29" s="33"/>
      <c r="EB29" s="33"/>
      <c r="EC29" s="33"/>
      <c r="ED29" s="33"/>
      <c r="EE29" s="33"/>
      <c r="EF29" s="33"/>
      <c r="EG29" s="33"/>
      <c r="EH29" s="33"/>
      <c r="EI29" s="790"/>
      <c r="EJ29" s="791"/>
      <c r="EK29" s="33"/>
      <c r="EL29" s="33"/>
      <c r="EM29" s="33"/>
      <c r="EN29" s="33"/>
      <c r="EO29" s="33"/>
      <c r="EP29" s="33"/>
      <c r="EQ29" s="33"/>
      <c r="ER29" s="33"/>
      <c r="ES29" s="790"/>
      <c r="ET29" s="791"/>
      <c r="EU29" s="33"/>
      <c r="EV29" s="33"/>
      <c r="EW29" s="33"/>
      <c r="EX29" s="33"/>
      <c r="EY29" s="33"/>
      <c r="EZ29" s="33"/>
      <c r="FA29" s="33"/>
      <c r="FB29" s="33"/>
      <c r="FC29" s="790"/>
      <c r="FD29" s="791"/>
      <c r="FE29" s="33"/>
      <c r="FF29" s="33"/>
      <c r="FG29" s="33"/>
      <c r="FH29" s="33"/>
      <c r="FI29" s="33"/>
      <c r="FJ29" s="33"/>
      <c r="FK29" s="33"/>
      <c r="FL29" s="33"/>
      <c r="FM29" s="790"/>
      <c r="FN29" s="791"/>
      <c r="FO29" s="33"/>
      <c r="FP29" s="33"/>
      <c r="FQ29" s="33"/>
      <c r="FR29" s="33"/>
      <c r="FS29" s="33"/>
      <c r="FT29" s="33"/>
      <c r="FU29" s="33"/>
      <c r="FV29" s="33"/>
      <c r="FW29" s="790"/>
      <c r="FX29" s="791"/>
      <c r="FY29" s="33"/>
      <c r="FZ29" s="33"/>
      <c r="GA29" s="33"/>
      <c r="GB29" s="33"/>
      <c r="GC29" s="33"/>
      <c r="GD29" s="33"/>
      <c r="GE29" s="33"/>
      <c r="GF29" s="33"/>
      <c r="GG29" s="790"/>
      <c r="GH29" s="791"/>
      <c r="GI29" s="33"/>
      <c r="GJ29" s="33"/>
      <c r="GK29" s="33"/>
      <c r="GL29" s="33"/>
      <c r="GM29" s="33"/>
      <c r="GN29" s="33"/>
      <c r="GO29" s="33"/>
      <c r="GP29" s="33"/>
      <c r="GQ29" s="790"/>
      <c r="GR29" s="791"/>
      <c r="GS29" s="33"/>
      <c r="GT29" s="33"/>
      <c r="GU29" s="33"/>
      <c r="GV29" s="33"/>
      <c r="GW29" s="33"/>
      <c r="GX29" s="33"/>
      <c r="GY29" s="33"/>
      <c r="GZ29" s="33"/>
      <c r="HA29" s="790"/>
      <c r="HB29" s="791"/>
      <c r="HC29" s="33"/>
      <c r="HD29" s="33"/>
      <c r="HE29" s="33"/>
      <c r="HF29" s="33"/>
      <c r="HG29" s="33"/>
      <c r="HH29" s="33"/>
      <c r="HI29" s="33"/>
      <c r="HJ29" s="33"/>
      <c r="HK29" s="790"/>
      <c r="HL29" s="791"/>
      <c r="HM29" s="33"/>
      <c r="HN29" s="33"/>
      <c r="HO29" s="33"/>
      <c r="HP29" s="33"/>
      <c r="HQ29" s="33"/>
      <c r="HR29" s="33"/>
      <c r="HS29" s="33"/>
      <c r="HT29" s="33"/>
      <c r="HU29" s="790"/>
      <c r="HV29" s="791"/>
      <c r="HW29" s="33"/>
      <c r="HX29" s="33"/>
      <c r="HY29" s="33"/>
      <c r="HZ29" s="33"/>
      <c r="IA29" s="33"/>
      <c r="IB29" s="33"/>
      <c r="IC29" s="33"/>
      <c r="ID29" s="33"/>
      <c r="IE29" s="790"/>
      <c r="IF29" s="791"/>
      <c r="IG29" s="33"/>
      <c r="IH29" s="33"/>
      <c r="II29" s="33"/>
      <c r="IJ29" s="33"/>
      <c r="IK29" s="33"/>
      <c r="IL29" s="33"/>
      <c r="IM29" s="33"/>
      <c r="IN29" s="33"/>
      <c r="IO29" s="790"/>
      <c r="IP29" s="790"/>
      <c r="IQ29" s="788"/>
      <c r="IR29" s="792"/>
      <c r="IS29" s="792"/>
      <c r="IT29" s="792"/>
      <c r="IU29" s="792"/>
      <c r="IV29" s="792"/>
      <c r="IW29" s="792"/>
      <c r="IX29" s="507"/>
      <c r="IY29" s="193"/>
      <c r="IZ29" s="193"/>
    </row>
    <row r="30" spans="2:260" ht="15.75" thickBot="1" x14ac:dyDescent="0.3">
      <c r="B30" s="805"/>
      <c r="C30" s="820">
        <v>57.06</v>
      </c>
      <c r="D30" s="821">
        <v>12</v>
      </c>
      <c r="E30" s="821">
        <v>2.6469999999999998</v>
      </c>
      <c r="F30" s="821">
        <v>0.93700000000000006</v>
      </c>
      <c r="G30" s="821">
        <v>2.0459999999999998</v>
      </c>
      <c r="H30" s="192"/>
      <c r="I30" s="547"/>
      <c r="J30" s="834" t="s">
        <v>43</v>
      </c>
      <c r="K30" s="876" t="e">
        <f>((K28*K22*K21)+(K28*(K23+K24)))</f>
        <v>#VALUE!</v>
      </c>
      <c r="L30" s="876" t="s">
        <v>373</v>
      </c>
      <c r="M30" s="876"/>
      <c r="N30" s="876"/>
      <c r="O30" s="887"/>
      <c r="P30" s="192"/>
      <c r="Q30" s="192"/>
      <c r="R30" s="692"/>
      <c r="S30" s="827"/>
      <c r="T30" s="692"/>
      <c r="U30" s="692"/>
      <c r="V30" s="692"/>
      <c r="W30" s="692"/>
      <c r="X30" s="807"/>
      <c r="Y30" s="46"/>
      <c r="AB30" s="71"/>
      <c r="AC30" s="861"/>
      <c r="AD30" s="71"/>
      <c r="AE30" s="71"/>
      <c r="AF30" s="71"/>
      <c r="AG30" s="71"/>
      <c r="AS30" s="193"/>
      <c r="AT30" s="507"/>
      <c r="AU30" s="789"/>
      <c r="AV30" s="789"/>
      <c r="AW30" s="789"/>
      <c r="AX30" s="791"/>
      <c r="AY30" s="33"/>
      <c r="AZ30" s="33"/>
      <c r="BA30" s="33"/>
      <c r="BB30" s="33"/>
      <c r="BC30" s="33"/>
      <c r="BD30" s="33"/>
      <c r="BE30" s="33"/>
      <c r="BF30" s="33"/>
      <c r="BG30" s="790"/>
      <c r="BH30" s="791"/>
      <c r="BI30" s="33"/>
      <c r="BJ30" s="33"/>
      <c r="BK30" s="33"/>
      <c r="BL30" s="33"/>
      <c r="BM30" s="33"/>
      <c r="BN30" s="33"/>
      <c r="BO30" s="33"/>
      <c r="BP30" s="33"/>
      <c r="BQ30" s="790"/>
      <c r="BR30" s="791"/>
      <c r="BS30" s="33"/>
      <c r="BT30" s="33"/>
      <c r="BU30" s="33"/>
      <c r="BV30" s="33"/>
      <c r="BW30" s="33"/>
      <c r="BX30" s="33"/>
      <c r="BY30" s="33"/>
      <c r="BZ30" s="33"/>
      <c r="CA30" s="790"/>
      <c r="CB30" s="791"/>
      <c r="CC30" s="33"/>
      <c r="CD30" s="33"/>
      <c r="CE30" s="33"/>
      <c r="CF30" s="33"/>
      <c r="CG30" s="33"/>
      <c r="CH30" s="33"/>
      <c r="CI30" s="33"/>
      <c r="CJ30" s="33"/>
      <c r="CK30" s="790"/>
      <c r="CL30" s="791"/>
      <c r="CM30" s="33"/>
      <c r="CN30" s="33"/>
      <c r="CO30" s="33"/>
      <c r="CP30" s="33"/>
      <c r="CQ30" s="33"/>
      <c r="CR30" s="33"/>
      <c r="CS30" s="33"/>
      <c r="CT30" s="33"/>
      <c r="CU30" s="790"/>
      <c r="CV30" s="791"/>
      <c r="CW30" s="33"/>
      <c r="CX30" s="33"/>
      <c r="CY30" s="33"/>
      <c r="CZ30" s="33"/>
      <c r="DA30" s="33"/>
      <c r="DB30" s="33"/>
      <c r="DC30" s="33"/>
      <c r="DD30" s="33"/>
      <c r="DE30" s="790"/>
      <c r="DF30" s="791"/>
      <c r="DG30" s="33"/>
      <c r="DH30" s="33"/>
      <c r="DI30" s="33"/>
      <c r="DJ30" s="33"/>
      <c r="DK30" s="33"/>
      <c r="DL30" s="33"/>
      <c r="DM30" s="33"/>
      <c r="DN30" s="33"/>
      <c r="DO30" s="790"/>
      <c r="DP30" s="791"/>
      <c r="DQ30" s="33"/>
      <c r="DR30" s="33"/>
      <c r="DS30" s="33"/>
      <c r="DT30" s="33"/>
      <c r="DU30" s="33"/>
      <c r="DV30" s="33"/>
      <c r="DW30" s="33"/>
      <c r="DX30" s="33"/>
      <c r="DY30" s="790"/>
      <c r="DZ30" s="791"/>
      <c r="EA30" s="33"/>
      <c r="EB30" s="33"/>
      <c r="EC30" s="33"/>
      <c r="ED30" s="33"/>
      <c r="EE30" s="33"/>
      <c r="EF30" s="33"/>
      <c r="EG30" s="33"/>
      <c r="EH30" s="33"/>
      <c r="EI30" s="790"/>
      <c r="EJ30" s="791"/>
      <c r="EK30" s="33"/>
      <c r="EL30" s="33"/>
      <c r="EM30" s="33"/>
      <c r="EN30" s="33"/>
      <c r="EO30" s="33"/>
      <c r="EP30" s="33"/>
      <c r="EQ30" s="33"/>
      <c r="ER30" s="33"/>
      <c r="ES30" s="790"/>
      <c r="ET30" s="791"/>
      <c r="EU30" s="33"/>
      <c r="EV30" s="33"/>
      <c r="EW30" s="33"/>
      <c r="EX30" s="33"/>
      <c r="EY30" s="33"/>
      <c r="EZ30" s="33"/>
      <c r="FA30" s="33"/>
      <c r="FB30" s="33"/>
      <c r="FC30" s="790"/>
      <c r="FD30" s="791"/>
      <c r="FE30" s="33"/>
      <c r="FF30" s="33"/>
      <c r="FG30" s="33"/>
      <c r="FH30" s="33"/>
      <c r="FI30" s="33"/>
      <c r="FJ30" s="33"/>
      <c r="FK30" s="33"/>
      <c r="FL30" s="33"/>
      <c r="FM30" s="790"/>
      <c r="FN30" s="791"/>
      <c r="FO30" s="33"/>
      <c r="FP30" s="33"/>
      <c r="FQ30" s="33"/>
      <c r="FR30" s="33"/>
      <c r="FS30" s="33"/>
      <c r="FT30" s="33"/>
      <c r="FU30" s="33"/>
      <c r="FV30" s="33"/>
      <c r="FW30" s="790"/>
      <c r="FX30" s="791"/>
      <c r="FY30" s="33"/>
      <c r="FZ30" s="33"/>
      <c r="GA30" s="33"/>
      <c r="GB30" s="33"/>
      <c r="GC30" s="33"/>
      <c r="GD30" s="33"/>
      <c r="GE30" s="33"/>
      <c r="GF30" s="33"/>
      <c r="GG30" s="790"/>
      <c r="GH30" s="791"/>
      <c r="GI30" s="33"/>
      <c r="GJ30" s="33"/>
      <c r="GK30" s="33"/>
      <c r="GL30" s="33"/>
      <c r="GM30" s="33"/>
      <c r="GN30" s="33"/>
      <c r="GO30" s="33"/>
      <c r="GP30" s="33"/>
      <c r="GQ30" s="790"/>
      <c r="GR30" s="791"/>
      <c r="GS30" s="33"/>
      <c r="GT30" s="33"/>
      <c r="GU30" s="33"/>
      <c r="GV30" s="33"/>
      <c r="GW30" s="33"/>
      <c r="GX30" s="33"/>
      <c r="GY30" s="33"/>
      <c r="GZ30" s="33"/>
      <c r="HA30" s="790"/>
      <c r="HB30" s="791"/>
      <c r="HC30" s="33"/>
      <c r="HD30" s="33"/>
      <c r="HE30" s="33"/>
      <c r="HF30" s="33"/>
      <c r="HG30" s="33"/>
      <c r="HH30" s="33"/>
      <c r="HI30" s="33"/>
      <c r="HJ30" s="33"/>
      <c r="HK30" s="790"/>
      <c r="HL30" s="791"/>
      <c r="HM30" s="33"/>
      <c r="HN30" s="33"/>
      <c r="HO30" s="33"/>
      <c r="HP30" s="33"/>
      <c r="HQ30" s="33"/>
      <c r="HR30" s="33"/>
      <c r="HS30" s="33"/>
      <c r="HT30" s="33"/>
      <c r="HU30" s="790"/>
      <c r="HV30" s="791"/>
      <c r="HW30" s="33"/>
      <c r="HX30" s="33"/>
      <c r="HY30" s="33"/>
      <c r="HZ30" s="33"/>
      <c r="IA30" s="33"/>
      <c r="IB30" s="33"/>
      <c r="IC30" s="33"/>
      <c r="ID30" s="33"/>
      <c r="IE30" s="790"/>
      <c r="IF30" s="791"/>
      <c r="IG30" s="33"/>
      <c r="IH30" s="33"/>
      <c r="II30" s="33"/>
      <c r="IJ30" s="33"/>
      <c r="IK30" s="33"/>
      <c r="IL30" s="33"/>
      <c r="IM30" s="33"/>
      <c r="IN30" s="33"/>
      <c r="IO30" s="790"/>
      <c r="IP30" s="790"/>
      <c r="IQ30" s="788"/>
      <c r="IR30" s="792"/>
      <c r="IS30" s="792"/>
      <c r="IT30" s="792"/>
      <c r="IU30" s="792"/>
      <c r="IV30" s="792"/>
      <c r="IW30" s="792"/>
      <c r="IX30" s="507"/>
      <c r="IY30" s="193"/>
      <c r="IZ30" s="193"/>
    </row>
    <row r="31" spans="2:260" ht="15.75" thickBot="1" x14ac:dyDescent="0.3">
      <c r="B31" s="805"/>
      <c r="C31" s="820">
        <v>61.06</v>
      </c>
      <c r="D31" s="821">
        <v>13</v>
      </c>
      <c r="E31" s="821">
        <v>2.6469999999999998</v>
      </c>
      <c r="F31" s="821">
        <v>0.93700000000000006</v>
      </c>
      <c r="G31" s="821">
        <v>2.0459999999999998</v>
      </c>
      <c r="H31" s="192"/>
      <c r="I31" s="547"/>
      <c r="J31" s="877"/>
      <c r="K31" s="876"/>
      <c r="L31" s="876"/>
      <c r="M31" s="876"/>
      <c r="N31" s="876"/>
      <c r="O31" s="887"/>
      <c r="P31" s="192"/>
      <c r="Q31" s="192"/>
      <c r="R31" s="692"/>
      <c r="S31" s="827"/>
      <c r="T31" s="692"/>
      <c r="U31" s="692"/>
      <c r="V31" s="692"/>
      <c r="W31" s="692"/>
      <c r="X31" s="807"/>
      <c r="Y31" s="46"/>
      <c r="AB31" s="71"/>
      <c r="AC31" s="861"/>
      <c r="AD31" s="71"/>
      <c r="AE31" s="71"/>
      <c r="AF31" s="71"/>
      <c r="AG31" s="71"/>
      <c r="AS31" s="193"/>
      <c r="AT31" s="507"/>
      <c r="AU31" s="789"/>
      <c r="AV31" s="789"/>
      <c r="AW31" s="789"/>
      <c r="AX31" s="791"/>
      <c r="AY31" s="33"/>
      <c r="AZ31" s="33"/>
      <c r="BA31" s="33"/>
      <c r="BB31" s="33"/>
      <c r="BC31" s="33"/>
      <c r="BD31" s="33"/>
      <c r="BE31" s="33"/>
      <c r="BF31" s="33"/>
      <c r="BG31" s="790"/>
      <c r="BH31" s="791"/>
      <c r="BI31" s="33"/>
      <c r="BJ31" s="33"/>
      <c r="BK31" s="33"/>
      <c r="BL31" s="33"/>
      <c r="BM31" s="33"/>
      <c r="BN31" s="33"/>
      <c r="BO31" s="33"/>
      <c r="BP31" s="33"/>
      <c r="BQ31" s="790"/>
      <c r="BR31" s="791"/>
      <c r="BS31" s="33"/>
      <c r="BT31" s="33"/>
      <c r="BU31" s="33"/>
      <c r="BV31" s="33"/>
      <c r="BW31" s="33"/>
      <c r="BX31" s="33"/>
      <c r="BY31" s="33"/>
      <c r="BZ31" s="33"/>
      <c r="CA31" s="790"/>
      <c r="CB31" s="791"/>
      <c r="CC31" s="33"/>
      <c r="CD31" s="33"/>
      <c r="CE31" s="33"/>
      <c r="CF31" s="33"/>
      <c r="CG31" s="33"/>
      <c r="CH31" s="33"/>
      <c r="CI31" s="33"/>
      <c r="CJ31" s="33"/>
      <c r="CK31" s="790"/>
      <c r="CL31" s="791"/>
      <c r="CM31" s="33"/>
      <c r="CN31" s="33"/>
      <c r="CO31" s="33"/>
      <c r="CP31" s="33"/>
      <c r="CQ31" s="33"/>
      <c r="CR31" s="33"/>
      <c r="CS31" s="33"/>
      <c r="CT31" s="33"/>
      <c r="CU31" s="790"/>
      <c r="CV31" s="791"/>
      <c r="CW31" s="33"/>
      <c r="CX31" s="33"/>
      <c r="CY31" s="33"/>
      <c r="CZ31" s="33"/>
      <c r="DA31" s="33"/>
      <c r="DB31" s="33"/>
      <c r="DC31" s="33"/>
      <c r="DD31" s="33"/>
      <c r="DE31" s="790"/>
      <c r="DF31" s="791"/>
      <c r="DG31" s="33"/>
      <c r="DH31" s="33"/>
      <c r="DI31" s="33"/>
      <c r="DJ31" s="33"/>
      <c r="DK31" s="33"/>
      <c r="DL31" s="33"/>
      <c r="DM31" s="33"/>
      <c r="DN31" s="33"/>
      <c r="DO31" s="790"/>
      <c r="DP31" s="791"/>
      <c r="DQ31" s="33"/>
      <c r="DR31" s="33"/>
      <c r="DS31" s="33"/>
      <c r="DT31" s="33"/>
      <c r="DU31" s="33"/>
      <c r="DV31" s="33"/>
      <c r="DW31" s="33"/>
      <c r="DX31" s="33"/>
      <c r="DY31" s="790"/>
      <c r="DZ31" s="791"/>
      <c r="EA31" s="33"/>
      <c r="EB31" s="33"/>
      <c r="EC31" s="33"/>
      <c r="ED31" s="33"/>
      <c r="EE31" s="33"/>
      <c r="EF31" s="33"/>
      <c r="EG31" s="33"/>
      <c r="EH31" s="33"/>
      <c r="EI31" s="790"/>
      <c r="EJ31" s="791"/>
      <c r="EK31" s="33"/>
      <c r="EL31" s="33"/>
      <c r="EM31" s="33"/>
      <c r="EN31" s="33"/>
      <c r="EO31" s="33"/>
      <c r="EP31" s="33"/>
      <c r="EQ31" s="33"/>
      <c r="ER31" s="33"/>
      <c r="ES31" s="790"/>
      <c r="ET31" s="791"/>
      <c r="EU31" s="33"/>
      <c r="EV31" s="33"/>
      <c r="EW31" s="33"/>
      <c r="EX31" s="33"/>
      <c r="EY31" s="33"/>
      <c r="EZ31" s="33"/>
      <c r="FA31" s="33"/>
      <c r="FB31" s="33"/>
      <c r="FC31" s="790"/>
      <c r="FD31" s="791"/>
      <c r="FE31" s="33"/>
      <c r="FF31" s="33"/>
      <c r="FG31" s="33"/>
      <c r="FH31" s="33"/>
      <c r="FI31" s="33"/>
      <c r="FJ31" s="33"/>
      <c r="FK31" s="33"/>
      <c r="FL31" s="33"/>
      <c r="FM31" s="790"/>
      <c r="FN31" s="791"/>
      <c r="FO31" s="33"/>
      <c r="FP31" s="33"/>
      <c r="FQ31" s="33"/>
      <c r="FR31" s="33"/>
      <c r="FS31" s="33"/>
      <c r="FT31" s="33"/>
      <c r="FU31" s="33"/>
      <c r="FV31" s="33"/>
      <c r="FW31" s="790"/>
      <c r="FX31" s="791"/>
      <c r="FY31" s="33"/>
      <c r="FZ31" s="33"/>
      <c r="GA31" s="33"/>
      <c r="GB31" s="33"/>
      <c r="GC31" s="33"/>
      <c r="GD31" s="33"/>
      <c r="GE31" s="33"/>
      <c r="GF31" s="33"/>
      <c r="GG31" s="790"/>
      <c r="GH31" s="791"/>
      <c r="GI31" s="33"/>
      <c r="GJ31" s="33"/>
      <c r="GK31" s="33"/>
      <c r="GL31" s="33"/>
      <c r="GM31" s="33"/>
      <c r="GN31" s="33"/>
      <c r="GO31" s="33"/>
      <c r="GP31" s="33"/>
      <c r="GQ31" s="790"/>
      <c r="GR31" s="791"/>
      <c r="GS31" s="33"/>
      <c r="GT31" s="33"/>
      <c r="GU31" s="33"/>
      <c r="GV31" s="33"/>
      <c r="GW31" s="33"/>
      <c r="GX31" s="33"/>
      <c r="GY31" s="33"/>
      <c r="GZ31" s="33"/>
      <c r="HA31" s="790"/>
      <c r="HB31" s="791"/>
      <c r="HC31" s="33"/>
      <c r="HD31" s="33"/>
      <c r="HE31" s="33"/>
      <c r="HF31" s="33"/>
      <c r="HG31" s="33"/>
      <c r="HH31" s="33"/>
      <c r="HI31" s="33"/>
      <c r="HJ31" s="33"/>
      <c r="HK31" s="790"/>
      <c r="HL31" s="791"/>
      <c r="HM31" s="33"/>
      <c r="HN31" s="33"/>
      <c r="HO31" s="33"/>
      <c r="HP31" s="33"/>
      <c r="HQ31" s="33"/>
      <c r="HR31" s="33"/>
      <c r="HS31" s="33"/>
      <c r="HT31" s="33"/>
      <c r="HU31" s="790"/>
      <c r="HV31" s="791"/>
      <c r="HW31" s="33"/>
      <c r="HX31" s="33"/>
      <c r="HY31" s="33"/>
      <c r="HZ31" s="33"/>
      <c r="IA31" s="33"/>
      <c r="IB31" s="33"/>
      <c r="IC31" s="33"/>
      <c r="ID31" s="33"/>
      <c r="IE31" s="790"/>
      <c r="IF31" s="791"/>
      <c r="IG31" s="33"/>
      <c r="IH31" s="33"/>
      <c r="II31" s="33"/>
      <c r="IJ31" s="33"/>
      <c r="IK31" s="33"/>
      <c r="IL31" s="33"/>
      <c r="IM31" s="33"/>
      <c r="IN31" s="33"/>
      <c r="IO31" s="790"/>
      <c r="IP31" s="790"/>
      <c r="IQ31" s="788"/>
      <c r="IR31" s="792"/>
      <c r="IS31" s="792"/>
      <c r="IT31" s="792"/>
      <c r="IU31" s="792"/>
      <c r="IV31" s="792"/>
      <c r="IW31" s="792"/>
      <c r="IX31" s="507"/>
      <c r="IY31" s="193"/>
      <c r="IZ31" s="193"/>
    </row>
    <row r="32" spans="2:260" ht="15.75" thickBot="1" x14ac:dyDescent="0.3">
      <c r="B32" s="805"/>
      <c r="C32" s="820">
        <v>65.06</v>
      </c>
      <c r="D32" s="821">
        <v>14</v>
      </c>
      <c r="E32" s="821">
        <v>2.6469999999999998</v>
      </c>
      <c r="F32" s="821">
        <v>0.93700000000000006</v>
      </c>
      <c r="G32" s="821">
        <v>2.0459999999999998</v>
      </c>
      <c r="H32" s="192"/>
      <c r="I32" s="547"/>
      <c r="J32" s="877"/>
      <c r="K32" s="876"/>
      <c r="L32" s="876"/>
      <c r="M32" s="876"/>
      <c r="N32" s="876"/>
      <c r="O32" s="876"/>
      <c r="P32" s="692"/>
      <c r="Q32" s="692"/>
      <c r="R32" s="692"/>
      <c r="S32" s="827"/>
      <c r="T32" s="692"/>
      <c r="U32" s="692"/>
      <c r="V32" s="692"/>
      <c r="W32" s="692"/>
      <c r="X32" s="807"/>
      <c r="Y32" s="46"/>
      <c r="AB32" s="71"/>
      <c r="AC32" s="861"/>
      <c r="AD32" s="71"/>
      <c r="AE32" s="71"/>
      <c r="AF32" s="71"/>
      <c r="AG32" s="71"/>
      <c r="AS32" s="193"/>
      <c r="AT32" s="507"/>
      <c r="AU32" s="789"/>
      <c r="AV32" s="789"/>
      <c r="AW32" s="789"/>
      <c r="AX32" s="791"/>
      <c r="AY32" s="33"/>
      <c r="AZ32" s="33"/>
      <c r="BA32" s="33"/>
      <c r="BB32" s="33"/>
      <c r="BC32" s="33"/>
      <c r="BD32" s="33"/>
      <c r="BE32" s="33"/>
      <c r="BF32" s="33"/>
      <c r="BG32" s="790"/>
      <c r="BH32" s="791"/>
      <c r="BI32" s="33"/>
      <c r="BJ32" s="33"/>
      <c r="BK32" s="33"/>
      <c r="BL32" s="33"/>
      <c r="BM32" s="33"/>
      <c r="BN32" s="33"/>
      <c r="BO32" s="33"/>
      <c r="BP32" s="33"/>
      <c r="BQ32" s="790"/>
      <c r="BR32" s="791"/>
      <c r="BS32" s="33"/>
      <c r="BT32" s="33"/>
      <c r="BU32" s="33"/>
      <c r="BV32" s="33"/>
      <c r="BW32" s="33"/>
      <c r="BX32" s="33"/>
      <c r="BY32" s="33"/>
      <c r="BZ32" s="33"/>
      <c r="CA32" s="790"/>
      <c r="CB32" s="791"/>
      <c r="CC32" s="33"/>
      <c r="CD32" s="33"/>
      <c r="CE32" s="33"/>
      <c r="CF32" s="33"/>
      <c r="CG32" s="33"/>
      <c r="CH32" s="33"/>
      <c r="CI32" s="33"/>
      <c r="CJ32" s="33"/>
      <c r="CK32" s="790"/>
      <c r="CL32" s="791"/>
      <c r="CM32" s="33"/>
      <c r="CN32" s="33"/>
      <c r="CO32" s="33"/>
      <c r="CP32" s="33"/>
      <c r="CQ32" s="33"/>
      <c r="CR32" s="33"/>
      <c r="CS32" s="33"/>
      <c r="CT32" s="33"/>
      <c r="CU32" s="790"/>
      <c r="CV32" s="791"/>
      <c r="CW32" s="33"/>
      <c r="CX32" s="33"/>
      <c r="CY32" s="33"/>
      <c r="CZ32" s="33"/>
      <c r="DA32" s="33"/>
      <c r="DB32" s="33"/>
      <c r="DC32" s="33"/>
      <c r="DD32" s="33"/>
      <c r="DE32" s="790"/>
      <c r="DF32" s="791"/>
      <c r="DG32" s="33"/>
      <c r="DH32" s="33"/>
      <c r="DI32" s="33"/>
      <c r="DJ32" s="33"/>
      <c r="DK32" s="33"/>
      <c r="DL32" s="33"/>
      <c r="DM32" s="33"/>
      <c r="DN32" s="33"/>
      <c r="DO32" s="790"/>
      <c r="DP32" s="791"/>
      <c r="DQ32" s="33"/>
      <c r="DR32" s="33"/>
      <c r="DS32" s="33"/>
      <c r="DT32" s="33"/>
      <c r="DU32" s="33"/>
      <c r="DV32" s="33"/>
      <c r="DW32" s="33"/>
      <c r="DX32" s="33"/>
      <c r="DY32" s="790"/>
      <c r="DZ32" s="791"/>
      <c r="EA32" s="33"/>
      <c r="EB32" s="33"/>
      <c r="EC32" s="33"/>
      <c r="ED32" s="33"/>
      <c r="EE32" s="33"/>
      <c r="EF32" s="33"/>
      <c r="EG32" s="33"/>
      <c r="EH32" s="33"/>
      <c r="EI32" s="790"/>
      <c r="EJ32" s="791"/>
      <c r="EK32" s="33"/>
      <c r="EL32" s="33"/>
      <c r="EM32" s="33"/>
      <c r="EN32" s="33"/>
      <c r="EO32" s="33"/>
      <c r="EP32" s="33"/>
      <c r="EQ32" s="33"/>
      <c r="ER32" s="33"/>
      <c r="ES32" s="790"/>
      <c r="ET32" s="791"/>
      <c r="EU32" s="33"/>
      <c r="EV32" s="33"/>
      <c r="EW32" s="33"/>
      <c r="EX32" s="33"/>
      <c r="EY32" s="33"/>
      <c r="EZ32" s="33"/>
      <c r="FA32" s="33"/>
      <c r="FB32" s="33"/>
      <c r="FC32" s="790"/>
      <c r="FD32" s="791"/>
      <c r="FE32" s="33"/>
      <c r="FF32" s="33"/>
      <c r="FG32" s="33"/>
      <c r="FH32" s="33"/>
      <c r="FI32" s="33"/>
      <c r="FJ32" s="33"/>
      <c r="FK32" s="33"/>
      <c r="FL32" s="33"/>
      <c r="FM32" s="790"/>
      <c r="FN32" s="791"/>
      <c r="FO32" s="33"/>
      <c r="FP32" s="33"/>
      <c r="FQ32" s="33"/>
      <c r="FR32" s="33"/>
      <c r="FS32" s="33"/>
      <c r="FT32" s="33"/>
      <c r="FU32" s="33"/>
      <c r="FV32" s="33"/>
      <c r="FW32" s="790"/>
      <c r="FX32" s="791"/>
      <c r="FY32" s="33"/>
      <c r="FZ32" s="33"/>
      <c r="GA32" s="33"/>
      <c r="GB32" s="33"/>
      <c r="GC32" s="33"/>
      <c r="GD32" s="33"/>
      <c r="GE32" s="33"/>
      <c r="GF32" s="33"/>
      <c r="GG32" s="790"/>
      <c r="GH32" s="791"/>
      <c r="GI32" s="33"/>
      <c r="GJ32" s="33"/>
      <c r="GK32" s="33"/>
      <c r="GL32" s="33"/>
      <c r="GM32" s="33"/>
      <c r="GN32" s="33"/>
      <c r="GO32" s="33"/>
      <c r="GP32" s="33"/>
      <c r="GQ32" s="790"/>
      <c r="GR32" s="791"/>
      <c r="GS32" s="33"/>
      <c r="GT32" s="33"/>
      <c r="GU32" s="33"/>
      <c r="GV32" s="33"/>
      <c r="GW32" s="33"/>
      <c r="GX32" s="33"/>
      <c r="GY32" s="33"/>
      <c r="GZ32" s="33"/>
      <c r="HA32" s="790"/>
      <c r="HB32" s="791"/>
      <c r="HC32" s="33"/>
      <c r="HD32" s="33"/>
      <c r="HE32" s="33"/>
      <c r="HF32" s="33"/>
      <c r="HG32" s="33"/>
      <c r="HH32" s="33"/>
      <c r="HI32" s="33"/>
      <c r="HJ32" s="33"/>
      <c r="HK32" s="790"/>
      <c r="HL32" s="791"/>
      <c r="HM32" s="33"/>
      <c r="HN32" s="33"/>
      <c r="HO32" s="33"/>
      <c r="HP32" s="33"/>
      <c r="HQ32" s="33"/>
      <c r="HR32" s="33"/>
      <c r="HS32" s="33"/>
      <c r="HT32" s="33"/>
      <c r="HU32" s="790"/>
      <c r="HV32" s="791"/>
      <c r="HW32" s="33"/>
      <c r="HX32" s="33"/>
      <c r="HY32" s="33"/>
      <c r="HZ32" s="33"/>
      <c r="IA32" s="33"/>
      <c r="IB32" s="33"/>
      <c r="IC32" s="33"/>
      <c r="ID32" s="33"/>
      <c r="IE32" s="790"/>
      <c r="IF32" s="791"/>
      <c r="IG32" s="33"/>
      <c r="IH32" s="33"/>
      <c r="II32" s="33"/>
      <c r="IJ32" s="33"/>
      <c r="IK32" s="33"/>
      <c r="IL32" s="33"/>
      <c r="IM32" s="33"/>
      <c r="IN32" s="33"/>
      <c r="IO32" s="790"/>
      <c r="IP32" s="790"/>
      <c r="IQ32" s="788"/>
      <c r="IR32" s="792"/>
      <c r="IS32" s="792"/>
      <c r="IT32" s="792"/>
      <c r="IU32" s="792"/>
      <c r="IV32" s="792"/>
      <c r="IW32" s="792"/>
      <c r="IX32" s="507"/>
      <c r="IY32" s="193"/>
      <c r="IZ32" s="193"/>
    </row>
    <row r="33" spans="2:260" ht="15.75" thickBot="1" x14ac:dyDescent="0.3">
      <c r="B33" s="805"/>
      <c r="C33" s="820">
        <v>69.06</v>
      </c>
      <c r="D33" s="821">
        <v>15</v>
      </c>
      <c r="E33" s="821">
        <v>2.6469999999999998</v>
      </c>
      <c r="F33" s="821">
        <v>0.93700000000000006</v>
      </c>
      <c r="G33" s="821">
        <v>2.0459999999999998</v>
      </c>
      <c r="H33" s="192"/>
      <c r="I33" s="547"/>
      <c r="J33" s="40"/>
      <c r="K33" s="692"/>
      <c r="L33" s="692"/>
      <c r="M33" s="692"/>
      <c r="N33" s="692"/>
      <c r="O33" s="692"/>
      <c r="P33" s="692"/>
      <c r="Q33" s="692"/>
      <c r="R33" s="692"/>
      <c r="S33" s="827"/>
      <c r="T33" s="692"/>
      <c r="U33" s="692"/>
      <c r="V33" s="692"/>
      <c r="W33" s="692"/>
      <c r="X33" s="807"/>
      <c r="Y33" s="46"/>
      <c r="AB33" s="71"/>
      <c r="AC33" s="861"/>
      <c r="AD33" s="71"/>
      <c r="AE33" s="71"/>
      <c r="AF33" s="71"/>
      <c r="AG33" s="71"/>
      <c r="AS33" s="193"/>
      <c r="AT33" s="507"/>
      <c r="AU33" s="789"/>
      <c r="AV33" s="789"/>
      <c r="AW33" s="789"/>
      <c r="AX33" s="791"/>
      <c r="AY33" s="33"/>
      <c r="AZ33" s="33"/>
      <c r="BA33" s="33"/>
      <c r="BB33" s="33"/>
      <c r="BC33" s="33"/>
      <c r="BD33" s="33"/>
      <c r="BE33" s="33"/>
      <c r="BF33" s="33"/>
      <c r="BG33" s="790"/>
      <c r="BH33" s="791"/>
      <c r="BI33" s="33"/>
      <c r="BJ33" s="33"/>
      <c r="BK33" s="33"/>
      <c r="BL33" s="33"/>
      <c r="BM33" s="33"/>
      <c r="BN33" s="33"/>
      <c r="BO33" s="33"/>
      <c r="BP33" s="33"/>
      <c r="BQ33" s="790"/>
      <c r="BR33" s="791"/>
      <c r="BS33" s="33"/>
      <c r="BT33" s="33"/>
      <c r="BU33" s="33"/>
      <c r="BV33" s="33"/>
      <c r="BW33" s="33"/>
      <c r="BX33" s="33"/>
      <c r="BY33" s="33"/>
      <c r="BZ33" s="33"/>
      <c r="CA33" s="790"/>
      <c r="CB33" s="791"/>
      <c r="CC33" s="33"/>
      <c r="CD33" s="33"/>
      <c r="CE33" s="33"/>
      <c r="CF33" s="33"/>
      <c r="CG33" s="33"/>
      <c r="CH33" s="33"/>
      <c r="CI33" s="33"/>
      <c r="CJ33" s="33"/>
      <c r="CK33" s="790"/>
      <c r="CL33" s="791"/>
      <c r="CM33" s="33"/>
      <c r="CN33" s="33"/>
      <c r="CO33" s="33"/>
      <c r="CP33" s="33"/>
      <c r="CQ33" s="33"/>
      <c r="CR33" s="33"/>
      <c r="CS33" s="33"/>
      <c r="CT33" s="33"/>
      <c r="CU33" s="790"/>
      <c r="CV33" s="791"/>
      <c r="CW33" s="33"/>
      <c r="CX33" s="33"/>
      <c r="CY33" s="33"/>
      <c r="CZ33" s="33"/>
      <c r="DA33" s="33"/>
      <c r="DB33" s="33"/>
      <c r="DC33" s="33"/>
      <c r="DD33" s="33"/>
      <c r="DE33" s="790"/>
      <c r="DF33" s="791"/>
      <c r="DG33" s="33"/>
      <c r="DH33" s="33"/>
      <c r="DI33" s="33"/>
      <c r="DJ33" s="33"/>
      <c r="DK33" s="33"/>
      <c r="DL33" s="33"/>
      <c r="DM33" s="33"/>
      <c r="DN33" s="33"/>
      <c r="DO33" s="790"/>
      <c r="DP33" s="791"/>
      <c r="DQ33" s="33"/>
      <c r="DR33" s="33"/>
      <c r="DS33" s="33"/>
      <c r="DT33" s="33"/>
      <c r="DU33" s="33"/>
      <c r="DV33" s="33"/>
      <c r="DW33" s="33"/>
      <c r="DX33" s="33"/>
      <c r="DY33" s="790"/>
      <c r="DZ33" s="791"/>
      <c r="EA33" s="33"/>
      <c r="EB33" s="33"/>
      <c r="EC33" s="33"/>
      <c r="ED33" s="33"/>
      <c r="EE33" s="33"/>
      <c r="EF33" s="33"/>
      <c r="EG33" s="33"/>
      <c r="EH33" s="33"/>
      <c r="EI33" s="790"/>
      <c r="EJ33" s="791"/>
      <c r="EK33" s="33"/>
      <c r="EL33" s="33"/>
      <c r="EM33" s="33"/>
      <c r="EN33" s="33"/>
      <c r="EO33" s="33"/>
      <c r="EP33" s="33"/>
      <c r="EQ33" s="33"/>
      <c r="ER33" s="33"/>
      <c r="ES33" s="790"/>
      <c r="ET33" s="791"/>
      <c r="EU33" s="33"/>
      <c r="EV33" s="33"/>
      <c r="EW33" s="33"/>
      <c r="EX33" s="33"/>
      <c r="EY33" s="33"/>
      <c r="EZ33" s="33"/>
      <c r="FA33" s="33"/>
      <c r="FB33" s="33"/>
      <c r="FC33" s="790"/>
      <c r="FD33" s="791"/>
      <c r="FE33" s="33"/>
      <c r="FF33" s="33"/>
      <c r="FG33" s="33"/>
      <c r="FH33" s="33"/>
      <c r="FI33" s="33"/>
      <c r="FJ33" s="33"/>
      <c r="FK33" s="33"/>
      <c r="FL33" s="33"/>
      <c r="FM33" s="790"/>
      <c r="FN33" s="791"/>
      <c r="FO33" s="791"/>
      <c r="FP33" s="33"/>
      <c r="FQ33" s="33"/>
      <c r="FR33" s="33"/>
      <c r="FS33" s="33"/>
      <c r="FT33" s="33"/>
      <c r="FU33" s="33"/>
      <c r="FV33" s="33"/>
      <c r="FW33" s="33"/>
      <c r="FX33" s="791"/>
      <c r="FY33" s="791"/>
      <c r="FZ33" s="33"/>
      <c r="GA33" s="33"/>
      <c r="GB33" s="33"/>
      <c r="GC33" s="33"/>
      <c r="GD33" s="33"/>
      <c r="GE33" s="33"/>
      <c r="GF33" s="33"/>
      <c r="GG33" s="33"/>
      <c r="GH33" s="791"/>
      <c r="GI33" s="791"/>
      <c r="GJ33" s="33"/>
      <c r="GK33" s="33"/>
      <c r="GL33" s="33"/>
      <c r="GM33" s="33"/>
      <c r="GN33" s="33"/>
      <c r="GO33" s="33"/>
      <c r="GP33" s="33"/>
      <c r="GQ33" s="33"/>
      <c r="GR33" s="791"/>
      <c r="GS33" s="791"/>
      <c r="GT33" s="33"/>
      <c r="GU33" s="33"/>
      <c r="GV33" s="33"/>
      <c r="GW33" s="33"/>
      <c r="GX33" s="33"/>
      <c r="GY33" s="33"/>
      <c r="GZ33" s="33"/>
      <c r="HA33" s="33"/>
      <c r="HB33" s="791"/>
      <c r="HC33" s="791"/>
      <c r="HD33" s="33"/>
      <c r="HE33" s="33"/>
      <c r="HF33" s="33"/>
      <c r="HG33" s="33"/>
      <c r="HH33" s="33"/>
      <c r="HI33" s="33"/>
      <c r="HJ33" s="33"/>
      <c r="HK33" s="33"/>
      <c r="HL33" s="791"/>
      <c r="HM33" s="791"/>
      <c r="HN33" s="33"/>
      <c r="HO33" s="33"/>
      <c r="HP33" s="33"/>
      <c r="HQ33" s="33"/>
      <c r="HR33" s="33"/>
      <c r="HS33" s="33"/>
      <c r="HT33" s="33"/>
      <c r="HU33" s="33"/>
      <c r="HV33" s="791"/>
      <c r="HW33" s="791"/>
      <c r="HX33" s="33"/>
      <c r="HY33" s="33"/>
      <c r="HZ33" s="33"/>
      <c r="IA33" s="33"/>
      <c r="IB33" s="33"/>
      <c r="IC33" s="33"/>
      <c r="ID33" s="33"/>
      <c r="IE33" s="33"/>
      <c r="IF33" s="791"/>
      <c r="IG33" s="791"/>
      <c r="IH33" s="33"/>
      <c r="II33" s="33"/>
      <c r="IJ33" s="33"/>
      <c r="IK33" s="33"/>
      <c r="IL33" s="33"/>
      <c r="IM33" s="33"/>
      <c r="IN33" s="792"/>
      <c r="IO33" s="792"/>
      <c r="IP33" s="792"/>
      <c r="IQ33" s="788"/>
      <c r="IR33" s="792"/>
      <c r="IS33" s="792"/>
      <c r="IT33" s="792"/>
      <c r="IU33" s="792"/>
      <c r="IV33" s="792"/>
      <c r="IW33" s="792"/>
      <c r="IX33" s="507"/>
      <c r="IY33" s="193"/>
      <c r="IZ33" s="193"/>
    </row>
    <row r="34" spans="2:260" ht="15.75" thickBot="1" x14ac:dyDescent="0.3">
      <c r="B34" s="805"/>
      <c r="C34" s="820">
        <v>73.06</v>
      </c>
      <c r="D34" s="821">
        <v>16</v>
      </c>
      <c r="E34" s="821">
        <v>2.6469999999999998</v>
      </c>
      <c r="F34" s="821">
        <v>0.93700000000000006</v>
      </c>
      <c r="G34" s="821">
        <v>2.0459999999999998</v>
      </c>
      <c r="H34" s="192"/>
      <c r="I34" s="829"/>
      <c r="J34" s="405"/>
      <c r="K34" s="822"/>
      <c r="L34" s="822"/>
      <c r="M34" s="822"/>
      <c r="N34" s="822"/>
      <c r="O34" s="822"/>
      <c r="P34" s="822"/>
      <c r="Q34" s="822"/>
      <c r="R34" s="822"/>
      <c r="S34" s="830"/>
      <c r="T34" s="692"/>
      <c r="U34" s="692"/>
      <c r="V34" s="692"/>
      <c r="W34" s="692"/>
      <c r="X34" s="807"/>
      <c r="Y34" s="46"/>
      <c r="AB34" s="71"/>
      <c r="AC34" s="71"/>
      <c r="AD34" s="71"/>
      <c r="AE34" s="71"/>
      <c r="AF34" s="71"/>
      <c r="AG34" s="71"/>
      <c r="AS34" s="193"/>
      <c r="AT34" s="507"/>
      <c r="AU34" s="789"/>
      <c r="AV34" s="789"/>
      <c r="AW34" s="789"/>
      <c r="AX34" s="791"/>
      <c r="AY34" s="33"/>
      <c r="AZ34" s="33"/>
      <c r="BA34" s="33"/>
      <c r="BB34" s="33"/>
      <c r="BC34" s="33"/>
      <c r="BD34" s="33"/>
      <c r="BE34" s="33"/>
      <c r="BF34" s="33"/>
      <c r="BG34" s="790"/>
      <c r="BH34" s="791"/>
      <c r="BI34" s="33"/>
      <c r="BJ34" s="33"/>
      <c r="BK34" s="33"/>
      <c r="BL34" s="33"/>
      <c r="BM34" s="33"/>
      <c r="BN34" s="33"/>
      <c r="BO34" s="33"/>
      <c r="BP34" s="33"/>
      <c r="BQ34" s="790"/>
      <c r="BR34" s="791"/>
      <c r="BS34" s="33"/>
      <c r="BT34" s="33"/>
      <c r="BU34" s="33"/>
      <c r="BV34" s="33"/>
      <c r="BW34" s="33"/>
      <c r="BX34" s="33"/>
      <c r="BY34" s="33"/>
      <c r="BZ34" s="33"/>
      <c r="CA34" s="790"/>
      <c r="CB34" s="791"/>
      <c r="CC34" s="33"/>
      <c r="CD34" s="33"/>
      <c r="CE34" s="33"/>
      <c r="CF34" s="33"/>
      <c r="CG34" s="33"/>
      <c r="CH34" s="33"/>
      <c r="CI34" s="33"/>
      <c r="CJ34" s="33"/>
      <c r="CK34" s="790"/>
      <c r="CL34" s="791"/>
      <c r="CM34" s="33"/>
      <c r="CN34" s="33"/>
      <c r="CO34" s="33"/>
      <c r="CP34" s="33"/>
      <c r="CQ34" s="33"/>
      <c r="CR34" s="33"/>
      <c r="CS34" s="33"/>
      <c r="CT34" s="33"/>
      <c r="CU34" s="790"/>
      <c r="CV34" s="791"/>
      <c r="CW34" s="33"/>
      <c r="CX34" s="33"/>
      <c r="CY34" s="33"/>
      <c r="CZ34" s="33"/>
      <c r="DA34" s="33"/>
      <c r="DB34" s="33"/>
      <c r="DC34" s="33"/>
      <c r="DD34" s="33"/>
      <c r="DE34" s="790"/>
      <c r="DF34" s="791"/>
      <c r="DG34" s="33"/>
      <c r="DH34" s="33"/>
      <c r="DI34" s="33"/>
      <c r="DJ34" s="33"/>
      <c r="DK34" s="33"/>
      <c r="DL34" s="33"/>
      <c r="DM34" s="33"/>
      <c r="DN34" s="33"/>
      <c r="DO34" s="790"/>
      <c r="DP34" s="791"/>
      <c r="DQ34" s="33"/>
      <c r="DR34" s="33"/>
      <c r="DS34" s="33"/>
      <c r="DT34" s="33"/>
      <c r="DU34" s="33"/>
      <c r="DV34" s="33"/>
      <c r="DW34" s="33"/>
      <c r="DX34" s="33"/>
      <c r="DY34" s="790"/>
      <c r="DZ34" s="791"/>
      <c r="EA34" s="33"/>
      <c r="EB34" s="33"/>
      <c r="EC34" s="33"/>
      <c r="ED34" s="33"/>
      <c r="EE34" s="33"/>
      <c r="EF34" s="33"/>
      <c r="EG34" s="33"/>
      <c r="EH34" s="33"/>
      <c r="EI34" s="790"/>
      <c r="EJ34" s="791"/>
      <c r="EK34" s="33"/>
      <c r="EL34" s="33"/>
      <c r="EM34" s="33"/>
      <c r="EN34" s="33"/>
      <c r="EO34" s="33"/>
      <c r="EP34" s="33"/>
      <c r="EQ34" s="33"/>
      <c r="ER34" s="33"/>
      <c r="ES34" s="790"/>
      <c r="ET34" s="791"/>
      <c r="EU34" s="33"/>
      <c r="EV34" s="33"/>
      <c r="EW34" s="33"/>
      <c r="EX34" s="33"/>
      <c r="EY34" s="33"/>
      <c r="EZ34" s="33"/>
      <c r="FA34" s="33"/>
      <c r="FB34" s="33"/>
      <c r="FC34" s="790"/>
      <c r="FD34" s="791"/>
      <c r="FE34" s="33"/>
      <c r="FF34" s="33"/>
      <c r="FG34" s="33"/>
      <c r="FH34" s="33"/>
      <c r="FI34" s="33"/>
      <c r="FJ34" s="33"/>
      <c r="FK34" s="33"/>
      <c r="FL34" s="33"/>
      <c r="FM34" s="790"/>
      <c r="FN34" s="791"/>
      <c r="FO34" s="791"/>
      <c r="FP34" s="33"/>
      <c r="FQ34" s="33"/>
      <c r="FR34" s="33"/>
      <c r="FS34" s="33"/>
      <c r="FT34" s="33"/>
      <c r="FU34" s="33"/>
      <c r="FV34" s="33"/>
      <c r="FW34" s="33"/>
      <c r="FX34" s="791"/>
      <c r="FY34" s="791"/>
      <c r="FZ34" s="33"/>
      <c r="GA34" s="33"/>
      <c r="GB34" s="33"/>
      <c r="GC34" s="33"/>
      <c r="GD34" s="33"/>
      <c r="GE34" s="33"/>
      <c r="GF34" s="33"/>
      <c r="GG34" s="33"/>
      <c r="GH34" s="791"/>
      <c r="GI34" s="791"/>
      <c r="GJ34" s="33"/>
      <c r="GK34" s="33"/>
      <c r="GL34" s="33"/>
      <c r="GM34" s="33"/>
      <c r="GN34" s="791"/>
      <c r="GO34" s="791"/>
      <c r="GP34" s="791"/>
      <c r="GQ34" s="791"/>
      <c r="GR34" s="791"/>
      <c r="GS34" s="791"/>
      <c r="GT34" s="791"/>
      <c r="GU34" s="791"/>
      <c r="GV34" s="791"/>
      <c r="GW34" s="791"/>
      <c r="GX34" s="791"/>
      <c r="GY34" s="791"/>
      <c r="GZ34" s="791"/>
      <c r="HA34" s="791"/>
      <c r="HB34" s="791"/>
      <c r="HC34" s="791"/>
      <c r="HD34" s="791"/>
      <c r="HE34" s="791"/>
      <c r="HF34" s="791"/>
      <c r="HG34" s="791"/>
      <c r="HH34" s="791"/>
      <c r="HI34" s="791"/>
      <c r="HJ34" s="791"/>
      <c r="HK34" s="791"/>
      <c r="HL34" s="791"/>
      <c r="HM34" s="791"/>
      <c r="HN34" s="33"/>
      <c r="HO34" s="33"/>
      <c r="HP34" s="33"/>
      <c r="HQ34" s="33"/>
      <c r="HR34" s="33"/>
      <c r="HS34" s="33"/>
      <c r="HT34" s="33"/>
      <c r="HU34" s="33"/>
      <c r="HV34" s="33"/>
      <c r="HW34" s="33"/>
      <c r="HX34" s="33"/>
      <c r="HY34" s="33"/>
      <c r="HZ34" s="33"/>
      <c r="IA34" s="33"/>
      <c r="IB34" s="33"/>
      <c r="IC34" s="33"/>
      <c r="ID34" s="33"/>
      <c r="IE34" s="33"/>
      <c r="IF34" s="791"/>
      <c r="IG34" s="791"/>
      <c r="IH34" s="33"/>
      <c r="II34" s="33"/>
      <c r="IJ34" s="33"/>
      <c r="IK34" s="33"/>
      <c r="IL34" s="33"/>
      <c r="IM34" s="33"/>
      <c r="IN34" s="792"/>
      <c r="IO34" s="792"/>
      <c r="IP34" s="792"/>
      <c r="IQ34" s="788"/>
      <c r="IR34" s="792"/>
      <c r="IS34" s="792"/>
      <c r="IT34" s="792"/>
      <c r="IU34" s="792"/>
      <c r="IV34" s="792"/>
      <c r="IW34" s="792"/>
      <c r="IX34" s="507"/>
      <c r="IY34" s="193"/>
      <c r="IZ34" s="193"/>
    </row>
    <row r="35" spans="2:260" ht="15.75" thickBot="1" x14ac:dyDescent="0.3">
      <c r="B35" s="805"/>
      <c r="C35" s="809"/>
      <c r="D35" s="692"/>
      <c r="E35" s="692"/>
      <c r="F35" s="692"/>
      <c r="G35" s="692"/>
      <c r="H35" s="692"/>
      <c r="I35" s="692"/>
      <c r="J35" s="692"/>
      <c r="K35" s="692"/>
      <c r="L35" s="692"/>
      <c r="M35" s="692"/>
      <c r="N35" s="692"/>
      <c r="O35" s="692"/>
      <c r="P35" s="692"/>
      <c r="Q35" s="692"/>
      <c r="R35" s="692"/>
      <c r="S35" s="692"/>
      <c r="T35" s="692"/>
      <c r="U35" s="692"/>
      <c r="V35" s="692"/>
      <c r="W35" s="692"/>
      <c r="X35" s="807"/>
      <c r="Y35" s="46"/>
      <c r="AB35" s="71"/>
      <c r="AC35" s="71"/>
      <c r="AD35" s="71"/>
      <c r="AE35" s="71"/>
      <c r="AF35" s="71"/>
      <c r="AG35" s="71"/>
      <c r="AS35" s="193"/>
      <c r="AT35" s="507"/>
      <c r="AU35" s="789"/>
      <c r="AV35" s="789"/>
      <c r="AW35" s="789"/>
      <c r="AX35" s="791"/>
      <c r="AY35" s="33"/>
      <c r="AZ35" s="33"/>
      <c r="BA35" s="33"/>
      <c r="BB35" s="33"/>
      <c r="BC35" s="33"/>
      <c r="BD35" s="33"/>
      <c r="BE35" s="33"/>
      <c r="BF35" s="33"/>
      <c r="BG35" s="790"/>
      <c r="BH35" s="791"/>
      <c r="BI35" s="33"/>
      <c r="BJ35" s="33"/>
      <c r="BK35" s="33"/>
      <c r="BL35" s="33"/>
      <c r="BM35" s="33"/>
      <c r="BN35" s="33"/>
      <c r="BO35" s="33"/>
      <c r="BP35" s="33"/>
      <c r="BQ35" s="790"/>
      <c r="BR35" s="791"/>
      <c r="BS35" s="33"/>
      <c r="BT35" s="33"/>
      <c r="BU35" s="33"/>
      <c r="BV35" s="33"/>
      <c r="BW35" s="33"/>
      <c r="BX35" s="33"/>
      <c r="BY35" s="33"/>
      <c r="BZ35" s="33"/>
      <c r="CA35" s="790"/>
      <c r="CB35" s="791"/>
      <c r="CC35" s="33"/>
      <c r="CD35" s="33"/>
      <c r="CE35" s="33"/>
      <c r="CF35" s="33"/>
      <c r="CG35" s="33"/>
      <c r="CH35" s="33"/>
      <c r="CI35" s="33"/>
      <c r="CJ35" s="33"/>
      <c r="CK35" s="790"/>
      <c r="CL35" s="791"/>
      <c r="CM35" s="33"/>
      <c r="CN35" s="33"/>
      <c r="CO35" s="33"/>
      <c r="CP35" s="33"/>
      <c r="CQ35" s="33"/>
      <c r="CR35" s="33"/>
      <c r="CS35" s="33"/>
      <c r="CT35" s="33"/>
      <c r="CU35" s="790"/>
      <c r="CV35" s="791"/>
      <c r="CW35" s="33"/>
      <c r="CX35" s="33"/>
      <c r="CY35" s="33"/>
      <c r="CZ35" s="33"/>
      <c r="DA35" s="33"/>
      <c r="DB35" s="33"/>
      <c r="DC35" s="33"/>
      <c r="DD35" s="33"/>
      <c r="DE35" s="790"/>
      <c r="DF35" s="791"/>
      <c r="DG35" s="33"/>
      <c r="DH35" s="33"/>
      <c r="DI35" s="33"/>
      <c r="DJ35" s="33"/>
      <c r="DK35" s="33"/>
      <c r="DL35" s="33"/>
      <c r="DM35" s="33"/>
      <c r="DN35" s="33"/>
      <c r="DO35" s="790"/>
      <c r="DP35" s="791"/>
      <c r="DQ35" s="33"/>
      <c r="DR35" s="33"/>
      <c r="DS35" s="33"/>
      <c r="DT35" s="33"/>
      <c r="DU35" s="33"/>
      <c r="DV35" s="33"/>
      <c r="DW35" s="33"/>
      <c r="DX35" s="33"/>
      <c r="DY35" s="790"/>
      <c r="DZ35" s="791"/>
      <c r="EA35" s="33"/>
      <c r="EB35" s="33"/>
      <c r="EC35" s="33"/>
      <c r="ED35" s="33"/>
      <c r="EE35" s="33"/>
      <c r="EF35" s="33"/>
      <c r="EG35" s="33"/>
      <c r="EH35" s="33"/>
      <c r="EI35" s="790"/>
      <c r="EJ35" s="791"/>
      <c r="EK35" s="33"/>
      <c r="EL35" s="33"/>
      <c r="EM35" s="33"/>
      <c r="EN35" s="33"/>
      <c r="EO35" s="33"/>
      <c r="EP35" s="33"/>
      <c r="EQ35" s="33"/>
      <c r="ER35" s="33"/>
      <c r="ES35" s="790"/>
      <c r="ET35" s="791"/>
      <c r="EU35" s="33"/>
      <c r="EV35" s="33"/>
      <c r="EW35" s="33"/>
      <c r="EX35" s="33"/>
      <c r="EY35" s="33"/>
      <c r="EZ35" s="33"/>
      <c r="FA35" s="33"/>
      <c r="FB35" s="33"/>
      <c r="FC35" s="790"/>
      <c r="FD35" s="791"/>
      <c r="FE35" s="33"/>
      <c r="FF35" s="33"/>
      <c r="FG35" s="33"/>
      <c r="FH35" s="33"/>
      <c r="FI35" s="33"/>
      <c r="FJ35" s="33"/>
      <c r="FK35" s="33"/>
      <c r="FL35" s="33"/>
      <c r="FM35" s="790"/>
      <c r="FN35" s="791"/>
      <c r="FO35" s="791"/>
      <c r="FP35" s="33"/>
      <c r="FQ35" s="33"/>
      <c r="FR35" s="33"/>
      <c r="FS35" s="33"/>
      <c r="FT35" s="33"/>
      <c r="FU35" s="33"/>
      <c r="FV35" s="791"/>
      <c r="FW35" s="791"/>
      <c r="FX35" s="791"/>
      <c r="FY35" s="791"/>
      <c r="FZ35" s="791"/>
      <c r="GA35" s="791"/>
      <c r="GB35" s="791"/>
      <c r="GC35" s="791"/>
      <c r="GD35" s="791"/>
      <c r="GE35" s="791"/>
      <c r="GF35" s="791"/>
      <c r="GG35" s="791"/>
      <c r="GH35" s="791"/>
      <c r="GI35" s="791"/>
      <c r="GJ35" s="33"/>
      <c r="GK35" s="33"/>
      <c r="GL35" s="33"/>
      <c r="GM35" s="33"/>
      <c r="GN35" s="791"/>
      <c r="GO35" s="791"/>
      <c r="GP35" s="791"/>
      <c r="GQ35" s="791"/>
      <c r="GR35" s="791"/>
      <c r="GS35" s="791"/>
      <c r="GT35" s="791"/>
      <c r="GU35" s="791"/>
      <c r="GV35" s="791"/>
      <c r="GW35" s="791"/>
      <c r="GX35" s="791"/>
      <c r="GY35" s="791"/>
      <c r="GZ35" s="791"/>
      <c r="HA35" s="791"/>
      <c r="HB35" s="791"/>
      <c r="HC35" s="791"/>
      <c r="HD35" s="791"/>
      <c r="HE35" s="791"/>
      <c r="HF35" s="791"/>
      <c r="HG35" s="791"/>
      <c r="HH35" s="791"/>
      <c r="HI35" s="791"/>
      <c r="HJ35" s="791"/>
      <c r="HK35" s="791"/>
      <c r="HL35" s="791"/>
      <c r="HM35" s="791"/>
      <c r="HN35" s="33"/>
      <c r="HO35" s="33"/>
      <c r="HP35" s="33"/>
      <c r="HQ35" s="33"/>
      <c r="HR35" s="33"/>
      <c r="HS35" s="33"/>
      <c r="HT35" s="33"/>
      <c r="HU35" s="33"/>
      <c r="HV35" s="33"/>
      <c r="HW35" s="33"/>
      <c r="HX35" s="33"/>
      <c r="HY35" s="33"/>
      <c r="HZ35" s="33"/>
      <c r="IA35" s="33"/>
      <c r="IB35" s="33"/>
      <c r="IC35" s="33"/>
      <c r="ID35" s="33"/>
      <c r="IE35" s="33"/>
      <c r="IF35" s="791"/>
      <c r="IG35" s="791"/>
      <c r="IH35" s="33"/>
      <c r="II35" s="33"/>
      <c r="IJ35" s="33"/>
      <c r="IK35" s="33"/>
      <c r="IL35" s="33"/>
      <c r="IM35" s="33"/>
      <c r="IN35" s="792"/>
      <c r="IO35" s="792"/>
      <c r="IP35" s="792"/>
      <c r="IQ35" s="788"/>
      <c r="IR35" s="792"/>
      <c r="IS35" s="792"/>
      <c r="IT35" s="792"/>
      <c r="IU35" s="792"/>
      <c r="IV35" s="792"/>
      <c r="IW35" s="792"/>
      <c r="IX35" s="507"/>
      <c r="IY35" s="193"/>
      <c r="IZ35" s="193"/>
    </row>
    <row r="36" spans="2:260" ht="15.75" thickBot="1" x14ac:dyDescent="0.3">
      <c r="B36" s="805"/>
      <c r="C36" s="809"/>
      <c r="D36" s="692"/>
      <c r="E36" s="692"/>
      <c r="F36" s="692"/>
      <c r="G36" s="692"/>
      <c r="H36" s="692"/>
      <c r="I36" s="692"/>
      <c r="J36" s="692"/>
      <c r="K36" s="692"/>
      <c r="L36" s="692"/>
      <c r="M36" s="692"/>
      <c r="N36" s="692"/>
      <c r="O36" s="692"/>
      <c r="P36" s="692"/>
      <c r="Q36" s="692"/>
      <c r="R36" s="692"/>
      <c r="S36" s="692"/>
      <c r="T36" s="692"/>
      <c r="U36" s="692"/>
      <c r="V36" s="692"/>
      <c r="W36" s="692"/>
      <c r="X36" s="807"/>
      <c r="Y36" s="46"/>
      <c r="AB36" s="71"/>
      <c r="AC36" s="71"/>
      <c r="AD36" s="71"/>
      <c r="AE36" s="71"/>
      <c r="AF36" s="71"/>
      <c r="AG36" s="71"/>
      <c r="AS36" s="193"/>
      <c r="AT36" s="507"/>
      <c r="AU36" s="789"/>
      <c r="AV36" s="789"/>
      <c r="AW36" s="789"/>
      <c r="AX36" s="791"/>
      <c r="AY36" s="33"/>
      <c r="AZ36" s="33"/>
      <c r="BA36" s="33"/>
      <c r="BB36" s="33"/>
      <c r="BC36" s="33"/>
      <c r="BD36" s="33"/>
      <c r="BE36" s="33"/>
      <c r="BF36" s="33"/>
      <c r="BG36" s="790"/>
      <c r="BH36" s="791"/>
      <c r="BI36" s="33"/>
      <c r="BJ36" s="33"/>
      <c r="BK36" s="33"/>
      <c r="BL36" s="33"/>
      <c r="BM36" s="33"/>
      <c r="BN36" s="33"/>
      <c r="BO36" s="33"/>
      <c r="BP36" s="33"/>
      <c r="BQ36" s="790"/>
      <c r="BR36" s="791"/>
      <c r="BS36" s="33"/>
      <c r="BT36" s="33"/>
      <c r="BU36" s="33"/>
      <c r="BV36" s="33"/>
      <c r="BW36" s="33"/>
      <c r="BX36" s="33"/>
      <c r="BY36" s="33"/>
      <c r="BZ36" s="33"/>
      <c r="CA36" s="790"/>
      <c r="CB36" s="791"/>
      <c r="CC36" s="33"/>
      <c r="CD36" s="33"/>
      <c r="CE36" s="33"/>
      <c r="CF36" s="33"/>
      <c r="CG36" s="33"/>
      <c r="CH36" s="33"/>
      <c r="CI36" s="33"/>
      <c r="CJ36" s="33"/>
      <c r="CK36" s="790"/>
      <c r="CL36" s="791"/>
      <c r="CM36" s="33"/>
      <c r="CN36" s="33"/>
      <c r="CO36" s="33"/>
      <c r="CP36" s="33"/>
      <c r="CQ36" s="33"/>
      <c r="CR36" s="33"/>
      <c r="CS36" s="33"/>
      <c r="CT36" s="33"/>
      <c r="CU36" s="790"/>
      <c r="CV36" s="791"/>
      <c r="CW36" s="33"/>
      <c r="CX36" s="33"/>
      <c r="CY36" s="33"/>
      <c r="CZ36" s="33"/>
      <c r="DA36" s="33"/>
      <c r="DB36" s="33"/>
      <c r="DC36" s="33"/>
      <c r="DD36" s="33"/>
      <c r="DE36" s="790"/>
      <c r="DF36" s="791"/>
      <c r="DG36" s="33"/>
      <c r="DH36" s="33"/>
      <c r="DI36" s="33"/>
      <c r="DJ36" s="33"/>
      <c r="DK36" s="33"/>
      <c r="DL36" s="33"/>
      <c r="DM36" s="33"/>
      <c r="DN36" s="33"/>
      <c r="DO36" s="790"/>
      <c r="DP36" s="791"/>
      <c r="DQ36" s="33"/>
      <c r="DR36" s="33"/>
      <c r="DS36" s="33"/>
      <c r="DT36" s="33"/>
      <c r="DU36" s="33"/>
      <c r="DV36" s="33"/>
      <c r="DW36" s="33"/>
      <c r="DX36" s="33"/>
      <c r="DY36" s="790"/>
      <c r="DZ36" s="791"/>
      <c r="EA36" s="33"/>
      <c r="EB36" s="33"/>
      <c r="EC36" s="33"/>
      <c r="ED36" s="33"/>
      <c r="EE36" s="33"/>
      <c r="EF36" s="33"/>
      <c r="EG36" s="33"/>
      <c r="EH36" s="33"/>
      <c r="EI36" s="790"/>
      <c r="EJ36" s="791"/>
      <c r="EK36" s="33"/>
      <c r="EL36" s="33"/>
      <c r="EM36" s="33"/>
      <c r="EN36" s="33"/>
      <c r="EO36" s="33"/>
      <c r="EP36" s="33"/>
      <c r="EQ36" s="33"/>
      <c r="ER36" s="33"/>
      <c r="ES36" s="790"/>
      <c r="ET36" s="791"/>
      <c r="EU36" s="33"/>
      <c r="EV36" s="33"/>
      <c r="EW36" s="33"/>
      <c r="EX36" s="33"/>
      <c r="EY36" s="33"/>
      <c r="EZ36" s="33"/>
      <c r="FA36" s="33"/>
      <c r="FB36" s="33"/>
      <c r="FC36" s="790"/>
      <c r="FD36" s="791"/>
      <c r="FE36" s="33"/>
      <c r="FF36" s="33"/>
      <c r="FG36" s="33"/>
      <c r="FH36" s="33"/>
      <c r="FI36" s="33"/>
      <c r="FJ36" s="33"/>
      <c r="FK36" s="33"/>
      <c r="FL36" s="33"/>
      <c r="FM36" s="790"/>
      <c r="FN36" s="791"/>
      <c r="FO36" s="791"/>
      <c r="FP36" s="33"/>
      <c r="FQ36" s="33"/>
      <c r="FR36" s="33"/>
      <c r="FS36" s="33"/>
      <c r="FT36" s="33"/>
      <c r="FU36" s="33"/>
      <c r="FV36" s="791"/>
      <c r="FW36" s="791"/>
      <c r="FX36" s="791"/>
      <c r="FY36" s="791"/>
      <c r="FZ36" s="791"/>
      <c r="GA36" s="791"/>
      <c r="GB36" s="791"/>
      <c r="GC36" s="791"/>
      <c r="GD36" s="791"/>
      <c r="GE36" s="791"/>
      <c r="GF36" s="791"/>
      <c r="GG36" s="791"/>
      <c r="GH36" s="791"/>
      <c r="GI36" s="791"/>
      <c r="GJ36" s="33"/>
      <c r="GK36" s="33"/>
      <c r="GL36" s="33"/>
      <c r="GM36" s="33"/>
      <c r="GN36" s="791"/>
      <c r="GO36" s="791"/>
      <c r="GP36" s="791"/>
      <c r="GQ36" s="791"/>
      <c r="GR36" s="791"/>
      <c r="GS36" s="791"/>
      <c r="GT36" s="791"/>
      <c r="GU36" s="791"/>
      <c r="GV36" s="791"/>
      <c r="GW36" s="791"/>
      <c r="GX36" s="791"/>
      <c r="GY36" s="791"/>
      <c r="GZ36" s="791"/>
      <c r="HA36" s="791"/>
      <c r="HB36" s="791"/>
      <c r="HC36" s="791"/>
      <c r="HD36" s="791"/>
      <c r="HE36" s="791"/>
      <c r="HF36" s="791"/>
      <c r="HG36" s="791"/>
      <c r="HH36" s="791"/>
      <c r="HI36" s="791"/>
      <c r="HJ36" s="791"/>
      <c r="HK36" s="791"/>
      <c r="HL36" s="791"/>
      <c r="HM36" s="791"/>
      <c r="HN36" s="33"/>
      <c r="HO36" s="33"/>
      <c r="HP36" s="33"/>
      <c r="HQ36" s="33"/>
      <c r="HR36" s="33"/>
      <c r="HS36" s="33"/>
      <c r="HT36" s="33"/>
      <c r="HU36" s="33"/>
      <c r="HV36" s="33"/>
      <c r="HW36" s="33"/>
      <c r="HX36" s="33"/>
      <c r="HY36" s="33"/>
      <c r="HZ36" s="33"/>
      <c r="IA36" s="33"/>
      <c r="IB36" s="33"/>
      <c r="IC36" s="33"/>
      <c r="ID36" s="33"/>
      <c r="IE36" s="33"/>
      <c r="IF36" s="791"/>
      <c r="IG36" s="791"/>
      <c r="IH36" s="33"/>
      <c r="II36" s="33"/>
      <c r="IJ36" s="33"/>
      <c r="IK36" s="33"/>
      <c r="IL36" s="33"/>
      <c r="IM36" s="33"/>
      <c r="IN36" s="792"/>
      <c r="IO36" s="792"/>
      <c r="IP36" s="792"/>
      <c r="IQ36" s="788"/>
      <c r="IR36" s="792"/>
      <c r="IS36" s="792"/>
      <c r="IT36" s="792"/>
      <c r="IU36" s="792"/>
      <c r="IV36" s="792"/>
      <c r="IW36" s="792"/>
      <c r="IX36" s="507"/>
      <c r="IY36" s="193"/>
      <c r="IZ36" s="193"/>
    </row>
    <row r="37" spans="2:260" ht="15.75" thickBot="1" x14ac:dyDescent="0.3">
      <c r="B37" s="805"/>
      <c r="C37" s="809"/>
      <c r="D37" s="692"/>
      <c r="E37" s="692"/>
      <c r="F37" s="692"/>
      <c r="G37" s="692"/>
      <c r="H37" s="692"/>
      <c r="I37" s="692"/>
      <c r="J37" s="692"/>
      <c r="K37" s="692"/>
      <c r="L37" s="692"/>
      <c r="M37" s="692"/>
      <c r="N37" s="692"/>
      <c r="O37" s="692"/>
      <c r="P37" s="692"/>
      <c r="Q37" s="692"/>
      <c r="R37" s="692"/>
      <c r="S37" s="692"/>
      <c r="T37" s="692"/>
      <c r="U37" s="692"/>
      <c r="V37" s="692"/>
      <c r="W37" s="692"/>
      <c r="X37" s="807"/>
      <c r="Y37" s="46"/>
      <c r="AB37" s="71"/>
      <c r="AC37" s="71"/>
      <c r="AD37" s="71"/>
      <c r="AE37" s="71"/>
      <c r="AF37" s="71"/>
      <c r="AG37" s="71"/>
      <c r="AS37" s="193"/>
      <c r="AT37" s="507"/>
      <c r="AU37" s="789"/>
      <c r="AV37" s="789"/>
      <c r="AW37" s="789"/>
      <c r="AX37" s="791"/>
      <c r="AY37" s="33"/>
      <c r="AZ37" s="33"/>
      <c r="BA37" s="33"/>
      <c r="BB37" s="33"/>
      <c r="BC37" s="33"/>
      <c r="BD37" s="33"/>
      <c r="BE37" s="33"/>
      <c r="BF37" s="33"/>
      <c r="BG37" s="790"/>
      <c r="BH37" s="791"/>
      <c r="BI37" s="33"/>
      <c r="BJ37" s="33"/>
      <c r="BK37" s="33"/>
      <c r="BL37" s="33"/>
      <c r="BM37" s="33"/>
      <c r="BN37" s="33"/>
      <c r="BO37" s="33"/>
      <c r="BP37" s="33"/>
      <c r="BQ37" s="790"/>
      <c r="BR37" s="791"/>
      <c r="BS37" s="33"/>
      <c r="BT37" s="33"/>
      <c r="BU37" s="33"/>
      <c r="BV37" s="33"/>
      <c r="BW37" s="33"/>
      <c r="BX37" s="33"/>
      <c r="BY37" s="33"/>
      <c r="BZ37" s="33"/>
      <c r="CA37" s="790"/>
      <c r="CB37" s="791"/>
      <c r="CC37" s="33"/>
      <c r="CD37" s="33"/>
      <c r="CE37" s="33"/>
      <c r="CF37" s="33"/>
      <c r="CG37" s="33"/>
      <c r="CH37" s="33"/>
      <c r="CI37" s="33"/>
      <c r="CJ37" s="33"/>
      <c r="CK37" s="790"/>
      <c r="CL37" s="791"/>
      <c r="CM37" s="33"/>
      <c r="CN37" s="33"/>
      <c r="CO37" s="33"/>
      <c r="CP37" s="33"/>
      <c r="CQ37" s="33"/>
      <c r="CR37" s="33"/>
      <c r="CS37" s="33"/>
      <c r="CT37" s="33"/>
      <c r="CU37" s="790"/>
      <c r="CV37" s="791"/>
      <c r="CW37" s="33"/>
      <c r="CX37" s="33"/>
      <c r="CY37" s="33"/>
      <c r="CZ37" s="33"/>
      <c r="DA37" s="33"/>
      <c r="DB37" s="33"/>
      <c r="DC37" s="33"/>
      <c r="DD37" s="33"/>
      <c r="DE37" s="790"/>
      <c r="DF37" s="791"/>
      <c r="DG37" s="33"/>
      <c r="DH37" s="33"/>
      <c r="DI37" s="33"/>
      <c r="DJ37" s="33"/>
      <c r="DK37" s="33"/>
      <c r="DL37" s="33"/>
      <c r="DM37" s="33"/>
      <c r="DN37" s="33"/>
      <c r="DO37" s="790"/>
      <c r="DP37" s="791"/>
      <c r="DQ37" s="33"/>
      <c r="DR37" s="33"/>
      <c r="DS37" s="33"/>
      <c r="DT37" s="33"/>
      <c r="DU37" s="33"/>
      <c r="DV37" s="33"/>
      <c r="DW37" s="33"/>
      <c r="DX37" s="33"/>
      <c r="DY37" s="790"/>
      <c r="DZ37" s="791"/>
      <c r="EA37" s="33"/>
      <c r="EB37" s="33"/>
      <c r="EC37" s="33"/>
      <c r="ED37" s="33"/>
      <c r="EE37" s="33"/>
      <c r="EF37" s="33"/>
      <c r="EG37" s="33"/>
      <c r="EH37" s="33"/>
      <c r="EI37" s="790"/>
      <c r="EJ37" s="791"/>
      <c r="EK37" s="33"/>
      <c r="EL37" s="33"/>
      <c r="EM37" s="33"/>
      <c r="EN37" s="33"/>
      <c r="EO37" s="33"/>
      <c r="EP37" s="33"/>
      <c r="EQ37" s="33"/>
      <c r="ER37" s="33"/>
      <c r="ES37" s="790"/>
      <c r="ET37" s="791"/>
      <c r="EU37" s="33"/>
      <c r="EV37" s="33"/>
      <c r="EW37" s="33"/>
      <c r="EX37" s="33"/>
      <c r="EY37" s="33"/>
      <c r="EZ37" s="33"/>
      <c r="FA37" s="33"/>
      <c r="FB37" s="33"/>
      <c r="FC37" s="790"/>
      <c r="FD37" s="791"/>
      <c r="FE37" s="33"/>
      <c r="FF37" s="33"/>
      <c r="FG37" s="33"/>
      <c r="FH37" s="33"/>
      <c r="FI37" s="33"/>
      <c r="FJ37" s="33"/>
      <c r="FK37" s="33"/>
      <c r="FL37" s="33"/>
      <c r="FM37" s="790"/>
      <c r="FN37" s="791"/>
      <c r="FO37" s="791"/>
      <c r="FP37" s="33"/>
      <c r="FQ37" s="33"/>
      <c r="FR37" s="33"/>
      <c r="FS37" s="33"/>
      <c r="FT37" s="33"/>
      <c r="FU37" s="33"/>
      <c r="FV37" s="791"/>
      <c r="FW37" s="791"/>
      <c r="FX37" s="791"/>
      <c r="FY37" s="791"/>
      <c r="FZ37" s="791"/>
      <c r="GA37" s="791"/>
      <c r="GB37" s="791"/>
      <c r="GC37" s="791"/>
      <c r="GD37" s="791"/>
      <c r="GE37" s="791"/>
      <c r="GF37" s="791"/>
      <c r="GG37" s="791"/>
      <c r="GH37" s="791"/>
      <c r="GI37" s="791"/>
      <c r="GJ37" s="33"/>
      <c r="GK37" s="33"/>
      <c r="GL37" s="33"/>
      <c r="GM37" s="33"/>
      <c r="GN37" s="791"/>
      <c r="GO37" s="791"/>
      <c r="GP37" s="791"/>
      <c r="GQ37" s="791"/>
      <c r="GR37" s="791"/>
      <c r="GS37" s="791"/>
      <c r="GT37" s="791"/>
      <c r="GU37" s="791"/>
      <c r="GV37" s="791"/>
      <c r="GW37" s="791"/>
      <c r="GX37" s="791"/>
      <c r="GY37" s="791"/>
      <c r="GZ37" s="791"/>
      <c r="HA37" s="791"/>
      <c r="HB37" s="791"/>
      <c r="HC37" s="791"/>
      <c r="HD37" s="791"/>
      <c r="HE37" s="791"/>
      <c r="HF37" s="791"/>
      <c r="HG37" s="791"/>
      <c r="HH37" s="791"/>
      <c r="HI37" s="791"/>
      <c r="HJ37" s="791"/>
      <c r="HK37" s="791"/>
      <c r="HL37" s="791"/>
      <c r="HM37" s="791"/>
      <c r="HN37" s="33"/>
      <c r="HO37" s="33"/>
      <c r="HP37" s="33"/>
      <c r="HQ37" s="33"/>
      <c r="HR37" s="33"/>
      <c r="HS37" s="33"/>
      <c r="HT37" s="33"/>
      <c r="HU37" s="33"/>
      <c r="HV37" s="33"/>
      <c r="HW37" s="33"/>
      <c r="HX37" s="33"/>
      <c r="HY37" s="33"/>
      <c r="HZ37" s="33"/>
      <c r="IA37" s="33"/>
      <c r="IB37" s="33"/>
      <c r="IC37" s="33"/>
      <c r="ID37" s="33"/>
      <c r="IE37" s="33"/>
      <c r="IF37" s="791"/>
      <c r="IG37" s="791"/>
      <c r="IH37" s="33"/>
      <c r="II37" s="33"/>
      <c r="IJ37" s="33"/>
      <c r="IK37" s="33"/>
      <c r="IL37" s="33"/>
      <c r="IM37" s="33"/>
      <c r="IN37" s="792"/>
      <c r="IO37" s="792"/>
      <c r="IP37" s="792"/>
      <c r="IQ37" s="788"/>
      <c r="IR37" s="792"/>
      <c r="IS37" s="792"/>
      <c r="IT37" s="792"/>
      <c r="IU37" s="792"/>
      <c r="IV37" s="792"/>
      <c r="IW37" s="792"/>
      <c r="IX37" s="507"/>
      <c r="IY37" s="193"/>
      <c r="IZ37" s="193"/>
    </row>
    <row r="38" spans="2:260" ht="15.75" thickBot="1" x14ac:dyDescent="0.3">
      <c r="B38" s="47"/>
      <c r="C38" s="808"/>
      <c r="D38" s="808"/>
      <c r="E38" s="808"/>
      <c r="F38" s="808"/>
      <c r="G38" s="808"/>
      <c r="H38" s="808"/>
      <c r="I38" s="808"/>
      <c r="J38" s="808"/>
      <c r="K38" s="808"/>
      <c r="L38" s="808"/>
      <c r="M38" s="808"/>
      <c r="N38" s="808"/>
      <c r="O38" s="808"/>
      <c r="P38" s="808"/>
      <c r="Q38" s="808"/>
      <c r="R38" s="808"/>
      <c r="S38" s="808"/>
      <c r="T38" s="808"/>
      <c r="U38" s="808"/>
      <c r="V38" s="808"/>
      <c r="W38" s="808"/>
      <c r="X38" s="76"/>
      <c r="Y38" s="46"/>
      <c r="AB38" s="71"/>
      <c r="AC38" s="71"/>
      <c r="AD38" s="71"/>
      <c r="AE38" s="71"/>
      <c r="AF38" s="71"/>
      <c r="AG38" s="71"/>
      <c r="AS38" s="193"/>
      <c r="AT38" s="507"/>
      <c r="AU38" s="789"/>
      <c r="AV38" s="789"/>
      <c r="AW38" s="789"/>
      <c r="AX38" s="791"/>
      <c r="AY38" s="33"/>
      <c r="AZ38" s="33"/>
      <c r="BA38" s="33"/>
      <c r="BB38" s="33"/>
      <c r="BC38" s="33"/>
      <c r="BD38" s="33"/>
      <c r="BE38" s="33"/>
      <c r="BF38" s="33"/>
      <c r="BG38" s="790"/>
      <c r="BH38" s="791"/>
      <c r="BI38" s="33"/>
      <c r="BJ38" s="33"/>
      <c r="BK38" s="33"/>
      <c r="BL38" s="33"/>
      <c r="BM38" s="33"/>
      <c r="BN38" s="33"/>
      <c r="BO38" s="33"/>
      <c r="BP38" s="33"/>
      <c r="BQ38" s="790"/>
      <c r="BR38" s="791"/>
      <c r="BS38" s="33"/>
      <c r="BT38" s="33"/>
      <c r="BU38" s="33"/>
      <c r="BV38" s="33"/>
      <c r="BW38" s="33"/>
      <c r="BX38" s="33"/>
      <c r="BY38" s="33"/>
      <c r="BZ38" s="33"/>
      <c r="CA38" s="790"/>
      <c r="CB38" s="791"/>
      <c r="CC38" s="33"/>
      <c r="CD38" s="33"/>
      <c r="CE38" s="33"/>
      <c r="CF38" s="33"/>
      <c r="CG38" s="33"/>
      <c r="CH38" s="33"/>
      <c r="CI38" s="33"/>
      <c r="CJ38" s="33"/>
      <c r="CK38" s="790"/>
      <c r="CL38" s="791"/>
      <c r="CM38" s="33"/>
      <c r="CN38" s="33"/>
      <c r="CO38" s="33"/>
      <c r="CP38" s="33"/>
      <c r="CQ38" s="33"/>
      <c r="CR38" s="33"/>
      <c r="CS38" s="33"/>
      <c r="CT38" s="33"/>
      <c r="CU38" s="790"/>
      <c r="CV38" s="791"/>
      <c r="CW38" s="33"/>
      <c r="CX38" s="33"/>
      <c r="CY38" s="33"/>
      <c r="CZ38" s="33"/>
      <c r="DA38" s="33"/>
      <c r="DB38" s="33"/>
      <c r="DC38" s="33"/>
      <c r="DD38" s="33"/>
      <c r="DE38" s="790"/>
      <c r="DF38" s="791"/>
      <c r="DG38" s="33"/>
      <c r="DH38" s="33"/>
      <c r="DI38" s="33"/>
      <c r="DJ38" s="33"/>
      <c r="DK38" s="33"/>
      <c r="DL38" s="33"/>
      <c r="DM38" s="33"/>
      <c r="DN38" s="33"/>
      <c r="DO38" s="790"/>
      <c r="DP38" s="791"/>
      <c r="DQ38" s="33"/>
      <c r="DR38" s="33"/>
      <c r="DS38" s="33"/>
      <c r="DT38" s="33"/>
      <c r="DU38" s="33"/>
      <c r="DV38" s="33"/>
      <c r="DW38" s="33"/>
      <c r="DX38" s="33"/>
      <c r="DY38" s="790"/>
      <c r="DZ38" s="791"/>
      <c r="EA38" s="33"/>
      <c r="EB38" s="33"/>
      <c r="EC38" s="33"/>
      <c r="ED38" s="33"/>
      <c r="EE38" s="33"/>
      <c r="EF38" s="33"/>
      <c r="EG38" s="33"/>
      <c r="EH38" s="33"/>
      <c r="EI38" s="790"/>
      <c r="EJ38" s="791"/>
      <c r="EK38" s="33"/>
      <c r="EL38" s="33"/>
      <c r="EM38" s="33"/>
      <c r="EN38" s="33"/>
      <c r="EO38" s="33"/>
      <c r="EP38" s="33"/>
      <c r="EQ38" s="33"/>
      <c r="ER38" s="33"/>
      <c r="ES38" s="790"/>
      <c r="ET38" s="791"/>
      <c r="EU38" s="33"/>
      <c r="EV38" s="33"/>
      <c r="EW38" s="33"/>
      <c r="EX38" s="33"/>
      <c r="EY38" s="33"/>
      <c r="EZ38" s="33"/>
      <c r="FA38" s="33"/>
      <c r="FB38" s="33"/>
      <c r="FC38" s="790"/>
      <c r="FD38" s="791"/>
      <c r="FE38" s="33"/>
      <c r="FF38" s="33"/>
      <c r="FG38" s="33"/>
      <c r="FH38" s="33"/>
      <c r="FI38" s="33"/>
      <c r="FJ38" s="33"/>
      <c r="FK38" s="33"/>
      <c r="FL38" s="33"/>
      <c r="FM38" s="790"/>
      <c r="FN38" s="791"/>
      <c r="FO38" s="791"/>
      <c r="FP38" s="33"/>
      <c r="FQ38" s="33"/>
      <c r="FR38" s="33"/>
      <c r="FS38" s="33"/>
      <c r="FT38" s="33"/>
      <c r="FU38" s="33"/>
      <c r="FV38" s="791"/>
      <c r="FW38" s="791"/>
      <c r="FX38" s="791"/>
      <c r="FY38" s="791"/>
      <c r="FZ38" s="791"/>
      <c r="GA38" s="791"/>
      <c r="GB38" s="791"/>
      <c r="GC38" s="791"/>
      <c r="GD38" s="791"/>
      <c r="GE38" s="791"/>
      <c r="GF38" s="791"/>
      <c r="GG38" s="791"/>
      <c r="GH38" s="791"/>
      <c r="GI38" s="791"/>
      <c r="GJ38" s="33"/>
      <c r="GK38" s="33"/>
      <c r="GL38" s="33"/>
      <c r="GM38" s="33"/>
      <c r="GN38" s="791"/>
      <c r="GO38" s="791"/>
      <c r="GP38" s="791"/>
      <c r="GQ38" s="791"/>
      <c r="GR38" s="791"/>
      <c r="GS38" s="791"/>
      <c r="GT38" s="791"/>
      <c r="GU38" s="791"/>
      <c r="GV38" s="791"/>
      <c r="GW38" s="791"/>
      <c r="GX38" s="791"/>
      <c r="GY38" s="791"/>
      <c r="GZ38" s="791"/>
      <c r="HA38" s="791"/>
      <c r="HB38" s="791"/>
      <c r="HC38" s="791"/>
      <c r="HD38" s="791"/>
      <c r="HE38" s="791"/>
      <c r="HF38" s="791"/>
      <c r="HG38" s="791"/>
      <c r="HH38" s="791"/>
      <c r="HI38" s="791"/>
      <c r="HJ38" s="791"/>
      <c r="HK38" s="791"/>
      <c r="HL38" s="791"/>
      <c r="HM38" s="791"/>
      <c r="HN38" s="33"/>
      <c r="HO38" s="33"/>
      <c r="HP38" s="33"/>
      <c r="HQ38" s="33"/>
      <c r="HR38" s="33"/>
      <c r="HS38" s="33"/>
      <c r="HT38" s="33"/>
      <c r="HU38" s="33"/>
      <c r="HV38" s="33"/>
      <c r="HW38" s="33"/>
      <c r="HX38" s="33"/>
      <c r="HY38" s="33"/>
      <c r="HZ38" s="33"/>
      <c r="IA38" s="33"/>
      <c r="IB38" s="33"/>
      <c r="IC38" s="33"/>
      <c r="ID38" s="33"/>
      <c r="IE38" s="33"/>
      <c r="IF38" s="791"/>
      <c r="IG38" s="791"/>
      <c r="IH38" s="33"/>
      <c r="II38" s="33"/>
      <c r="IJ38" s="33"/>
      <c r="IK38" s="33"/>
      <c r="IL38" s="33"/>
      <c r="IM38" s="33"/>
      <c r="IN38" s="792"/>
      <c r="IO38" s="792"/>
      <c r="IP38" s="792"/>
      <c r="IQ38" s="788"/>
      <c r="IR38" s="792"/>
      <c r="IS38" s="792"/>
      <c r="IT38" s="792"/>
      <c r="IU38" s="792"/>
      <c r="IV38" s="792"/>
      <c r="IW38" s="792"/>
      <c r="IX38" s="507"/>
      <c r="IY38" s="193"/>
      <c r="IZ38" s="193"/>
    </row>
    <row r="39" spans="2:260"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S39" s="193"/>
      <c r="AT39" s="507"/>
      <c r="AU39" s="789"/>
      <c r="AV39" s="789"/>
      <c r="AW39" s="789"/>
      <c r="AX39" s="791"/>
      <c r="AY39" s="33"/>
      <c r="AZ39" s="33"/>
      <c r="BA39" s="33"/>
      <c r="BB39" s="33"/>
      <c r="BC39" s="33"/>
      <c r="BD39" s="33"/>
      <c r="BE39" s="33"/>
      <c r="BF39" s="33"/>
      <c r="BG39" s="790"/>
      <c r="BH39" s="791"/>
      <c r="BI39" s="33"/>
      <c r="BJ39" s="33"/>
      <c r="BK39" s="33"/>
      <c r="BL39" s="33"/>
      <c r="BM39" s="33"/>
      <c r="BN39" s="33"/>
      <c r="BO39" s="33"/>
      <c r="BP39" s="33"/>
      <c r="BQ39" s="790"/>
      <c r="BR39" s="791"/>
      <c r="BS39" s="33"/>
      <c r="BT39" s="33"/>
      <c r="BU39" s="33"/>
      <c r="BV39" s="33"/>
      <c r="BW39" s="33"/>
      <c r="BX39" s="33"/>
      <c r="BY39" s="33"/>
      <c r="BZ39" s="33"/>
      <c r="CA39" s="790"/>
      <c r="CB39" s="791"/>
      <c r="CC39" s="33"/>
      <c r="CD39" s="33"/>
      <c r="CE39" s="33"/>
      <c r="CF39" s="33"/>
      <c r="CG39" s="33"/>
      <c r="CH39" s="33"/>
      <c r="CI39" s="33"/>
      <c r="CJ39" s="33"/>
      <c r="CK39" s="790"/>
      <c r="CL39" s="791"/>
      <c r="CM39" s="33"/>
      <c r="CN39" s="33"/>
      <c r="CO39" s="33"/>
      <c r="CP39" s="33"/>
      <c r="CQ39" s="33"/>
      <c r="CR39" s="33"/>
      <c r="CS39" s="33"/>
      <c r="CT39" s="33"/>
      <c r="CU39" s="790"/>
      <c r="CV39" s="791"/>
      <c r="CW39" s="33"/>
      <c r="CX39" s="33"/>
      <c r="CY39" s="33"/>
      <c r="CZ39" s="33"/>
      <c r="DA39" s="33"/>
      <c r="DB39" s="33"/>
      <c r="DC39" s="33"/>
      <c r="DD39" s="33"/>
      <c r="DE39" s="790"/>
      <c r="DF39" s="791"/>
      <c r="DG39" s="33"/>
      <c r="DH39" s="33"/>
      <c r="DI39" s="33"/>
      <c r="DJ39" s="33"/>
      <c r="DK39" s="33"/>
      <c r="DL39" s="33"/>
      <c r="DM39" s="33"/>
      <c r="DN39" s="33"/>
      <c r="DO39" s="790"/>
      <c r="DP39" s="791"/>
      <c r="DQ39" s="33"/>
      <c r="DR39" s="33"/>
      <c r="DS39" s="33"/>
      <c r="DT39" s="33"/>
      <c r="DU39" s="33"/>
      <c r="DV39" s="33"/>
      <c r="DW39" s="33"/>
      <c r="DX39" s="33"/>
      <c r="DY39" s="790"/>
      <c r="DZ39" s="791"/>
      <c r="EA39" s="33"/>
      <c r="EB39" s="33"/>
      <c r="EC39" s="33"/>
      <c r="ED39" s="33"/>
      <c r="EE39" s="33"/>
      <c r="EF39" s="33"/>
      <c r="EG39" s="33"/>
      <c r="EH39" s="33"/>
      <c r="EI39" s="790"/>
      <c r="EJ39" s="791"/>
      <c r="EK39" s="33"/>
      <c r="EL39" s="33"/>
      <c r="EM39" s="33"/>
      <c r="EN39" s="33"/>
      <c r="EO39" s="33"/>
      <c r="EP39" s="33"/>
      <c r="EQ39" s="33"/>
      <c r="ER39" s="33"/>
      <c r="ES39" s="790"/>
      <c r="ET39" s="791"/>
      <c r="EU39" s="33"/>
      <c r="EV39" s="33"/>
      <c r="EW39" s="33"/>
      <c r="EX39" s="33"/>
      <c r="EY39" s="33"/>
      <c r="EZ39" s="33"/>
      <c r="FA39" s="33"/>
      <c r="FB39" s="33"/>
      <c r="FC39" s="790"/>
      <c r="FD39" s="791"/>
      <c r="FE39" s="33"/>
      <c r="FF39" s="33"/>
      <c r="FG39" s="33"/>
      <c r="FH39" s="33"/>
      <c r="FI39" s="33"/>
      <c r="FJ39" s="33"/>
      <c r="FK39" s="33"/>
      <c r="FL39" s="33"/>
      <c r="FM39" s="790"/>
      <c r="FN39" s="791"/>
      <c r="FO39" s="791"/>
      <c r="FP39" s="33"/>
      <c r="FQ39" s="33"/>
      <c r="FR39" s="33"/>
      <c r="FS39" s="33"/>
      <c r="FT39" s="33"/>
      <c r="FU39" s="33"/>
      <c r="FV39" s="786"/>
      <c r="FW39" s="786"/>
      <c r="FX39" s="786"/>
      <c r="FY39" s="786"/>
      <c r="FZ39" s="786"/>
      <c r="GA39" s="786"/>
      <c r="GB39" s="786"/>
      <c r="GC39" s="786"/>
      <c r="GD39" s="786"/>
      <c r="GE39" s="786"/>
      <c r="GF39" s="786"/>
      <c r="GG39" s="786"/>
      <c r="GH39" s="791"/>
      <c r="GI39" s="791"/>
      <c r="GJ39" s="33"/>
      <c r="GK39" s="33"/>
      <c r="GL39" s="33"/>
      <c r="GM39" s="33"/>
      <c r="GN39" s="791"/>
      <c r="GO39" s="791"/>
      <c r="GP39" s="791"/>
      <c r="GQ39" s="791"/>
      <c r="GR39" s="791"/>
      <c r="GS39" s="791"/>
      <c r="GT39" s="791"/>
      <c r="GU39" s="791"/>
      <c r="GV39" s="791"/>
      <c r="GW39" s="791"/>
      <c r="GX39" s="791"/>
      <c r="GY39" s="791"/>
      <c r="GZ39" s="791"/>
      <c r="HA39" s="791"/>
      <c r="HB39" s="791"/>
      <c r="HC39" s="791"/>
      <c r="HD39" s="791"/>
      <c r="HE39" s="791"/>
      <c r="HF39" s="791"/>
      <c r="HG39" s="791"/>
      <c r="HH39" s="791"/>
      <c r="HI39" s="791"/>
      <c r="HJ39" s="791"/>
      <c r="HK39" s="791"/>
      <c r="HL39" s="791"/>
      <c r="HM39" s="791"/>
      <c r="HN39" s="33"/>
      <c r="HO39" s="33"/>
      <c r="HP39" s="33"/>
      <c r="HQ39" s="33"/>
      <c r="HR39" s="33"/>
      <c r="HS39" s="33"/>
      <c r="HT39" s="33"/>
      <c r="HU39" s="33"/>
      <c r="HV39" s="33"/>
      <c r="HW39" s="33"/>
      <c r="HX39" s="33"/>
      <c r="HY39" s="33"/>
      <c r="HZ39" s="33"/>
      <c r="IA39" s="33"/>
      <c r="IB39" s="33"/>
      <c r="IC39" s="33"/>
      <c r="ID39" s="33"/>
      <c r="IE39" s="33"/>
      <c r="IF39" s="791"/>
      <c r="IG39" s="791"/>
      <c r="IH39" s="33"/>
      <c r="II39" s="33"/>
      <c r="IJ39" s="33"/>
      <c r="IK39" s="33"/>
      <c r="IL39" s="33"/>
      <c r="IM39" s="33"/>
      <c r="IN39" s="792"/>
      <c r="IO39" s="792"/>
      <c r="IP39" s="792"/>
      <c r="IQ39" s="788"/>
      <c r="IR39" s="792"/>
      <c r="IS39" s="792"/>
      <c r="IT39" s="792"/>
      <c r="IU39" s="792"/>
      <c r="IV39" s="792"/>
      <c r="IW39" s="792"/>
      <c r="IX39" s="507"/>
      <c r="IY39" s="193"/>
      <c r="IZ39" s="193"/>
    </row>
    <row r="40" spans="2:260"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S40" s="193"/>
      <c r="AT40" s="507"/>
      <c r="AU40" s="789"/>
      <c r="AV40" s="789"/>
      <c r="AW40" s="789"/>
      <c r="AX40" s="791"/>
      <c r="AY40" s="33"/>
      <c r="AZ40" s="33"/>
      <c r="BA40" s="33"/>
      <c r="BB40" s="33"/>
      <c r="BC40" s="33"/>
      <c r="BD40" s="33"/>
      <c r="BE40" s="33"/>
      <c r="BF40" s="33"/>
      <c r="BG40" s="790"/>
      <c r="BH40" s="791"/>
      <c r="BI40" s="33"/>
      <c r="BJ40" s="33"/>
      <c r="BK40" s="33"/>
      <c r="BL40" s="33"/>
      <c r="BM40" s="33"/>
      <c r="BN40" s="33"/>
      <c r="BO40" s="33"/>
      <c r="BP40" s="33"/>
      <c r="BQ40" s="790"/>
      <c r="BR40" s="791"/>
      <c r="BS40" s="33"/>
      <c r="BT40" s="33"/>
      <c r="BU40" s="33"/>
      <c r="BV40" s="33"/>
      <c r="BW40" s="33"/>
      <c r="BX40" s="33"/>
      <c r="BY40" s="33"/>
      <c r="BZ40" s="33"/>
      <c r="CA40" s="790"/>
      <c r="CB40" s="791"/>
      <c r="CC40" s="33"/>
      <c r="CD40" s="33"/>
      <c r="CE40" s="33"/>
      <c r="CF40" s="33"/>
      <c r="CG40" s="33"/>
      <c r="CH40" s="33"/>
      <c r="CI40" s="33"/>
      <c r="CJ40" s="33"/>
      <c r="CK40" s="790"/>
      <c r="CL40" s="791"/>
      <c r="CM40" s="33"/>
      <c r="CN40" s="33"/>
      <c r="CO40" s="33"/>
      <c r="CP40" s="33"/>
      <c r="CQ40" s="33"/>
      <c r="CR40" s="33"/>
      <c r="CS40" s="33"/>
      <c r="CT40" s="33"/>
      <c r="CU40" s="790"/>
      <c r="CV40" s="791"/>
      <c r="CW40" s="33"/>
      <c r="CX40" s="33"/>
      <c r="CY40" s="33"/>
      <c r="CZ40" s="33"/>
      <c r="DA40" s="33"/>
      <c r="DB40" s="33"/>
      <c r="DC40" s="33"/>
      <c r="DD40" s="33"/>
      <c r="DE40" s="790"/>
      <c r="DF40" s="791"/>
      <c r="DG40" s="33"/>
      <c r="DH40" s="33"/>
      <c r="DI40" s="33"/>
      <c r="DJ40" s="33"/>
      <c r="DK40" s="33"/>
      <c r="DL40" s="33"/>
      <c r="DM40" s="33"/>
      <c r="DN40" s="33"/>
      <c r="DO40" s="790"/>
      <c r="DP40" s="791"/>
      <c r="DQ40" s="33"/>
      <c r="DR40" s="33"/>
      <c r="DS40" s="33"/>
      <c r="DT40" s="33"/>
      <c r="DU40" s="33"/>
      <c r="DV40" s="33"/>
      <c r="DW40" s="33"/>
      <c r="DX40" s="33"/>
      <c r="DY40" s="790"/>
      <c r="DZ40" s="791"/>
      <c r="EA40" s="33"/>
      <c r="EB40" s="33"/>
      <c r="EC40" s="33"/>
      <c r="ED40" s="33"/>
      <c r="EE40" s="33"/>
      <c r="EF40" s="33"/>
      <c r="EG40" s="33"/>
      <c r="EH40" s="33"/>
      <c r="EI40" s="790"/>
      <c r="EJ40" s="791"/>
      <c r="EK40" s="33"/>
      <c r="EL40" s="33"/>
      <c r="EM40" s="33"/>
      <c r="EN40" s="33"/>
      <c r="EO40" s="33"/>
      <c r="EP40" s="33"/>
      <c r="EQ40" s="33"/>
      <c r="ER40" s="33"/>
      <c r="ES40" s="790"/>
      <c r="ET40" s="791"/>
      <c r="EU40" s="33"/>
      <c r="EV40" s="33"/>
      <c r="EW40" s="33"/>
      <c r="EX40" s="33"/>
      <c r="EY40" s="33"/>
      <c r="EZ40" s="33"/>
      <c r="FA40" s="33"/>
      <c r="FB40" s="33"/>
      <c r="FC40" s="790"/>
      <c r="FD40" s="791"/>
      <c r="FE40" s="33"/>
      <c r="FF40" s="33"/>
      <c r="FG40" s="33"/>
      <c r="FH40" s="33"/>
      <c r="FI40" s="33"/>
      <c r="FJ40" s="33"/>
      <c r="FK40" s="33"/>
      <c r="FL40" s="33"/>
      <c r="FM40" s="790"/>
      <c r="FN40" s="791"/>
      <c r="FO40" s="791"/>
      <c r="FP40" s="33"/>
      <c r="FQ40" s="33"/>
      <c r="FR40" s="33"/>
      <c r="FS40" s="33"/>
      <c r="FT40" s="33"/>
      <c r="FU40" s="33"/>
      <c r="FV40" s="791"/>
      <c r="FW40" s="791"/>
      <c r="FX40" s="791"/>
      <c r="FY40" s="791"/>
      <c r="FZ40" s="791"/>
      <c r="GA40" s="791"/>
      <c r="GB40" s="791"/>
      <c r="GC40" s="791"/>
      <c r="GD40" s="791"/>
      <c r="GE40" s="791"/>
      <c r="GF40" s="791"/>
      <c r="GG40" s="791"/>
      <c r="GH40" s="791"/>
      <c r="GI40" s="791"/>
      <c r="GJ40" s="33"/>
      <c r="GK40" s="33"/>
      <c r="GL40" s="33"/>
      <c r="GM40" s="33"/>
      <c r="GN40" s="791"/>
      <c r="GO40" s="791"/>
      <c r="GP40" s="791"/>
      <c r="GQ40" s="791"/>
      <c r="GR40" s="791"/>
      <c r="GS40" s="791"/>
      <c r="GT40" s="791"/>
      <c r="GU40" s="791"/>
      <c r="GV40" s="791"/>
      <c r="GW40" s="791"/>
      <c r="GX40" s="791"/>
      <c r="GY40" s="791"/>
      <c r="GZ40" s="791"/>
      <c r="HA40" s="791"/>
      <c r="HB40" s="791"/>
      <c r="HC40" s="791"/>
      <c r="HD40" s="791"/>
      <c r="HE40" s="791"/>
      <c r="HF40" s="791"/>
      <c r="HG40" s="791"/>
      <c r="HH40" s="791"/>
      <c r="HI40" s="791"/>
      <c r="HJ40" s="791"/>
      <c r="HK40" s="791"/>
      <c r="HL40" s="791"/>
      <c r="HM40" s="791"/>
      <c r="HN40" s="33"/>
      <c r="HO40" s="33"/>
      <c r="HP40" s="33"/>
      <c r="HQ40" s="33"/>
      <c r="HR40" s="33"/>
      <c r="HS40" s="33"/>
      <c r="HT40" s="33"/>
      <c r="HU40" s="33"/>
      <c r="HV40" s="33"/>
      <c r="HW40" s="33"/>
      <c r="HX40" s="33"/>
      <c r="HY40" s="33"/>
      <c r="HZ40" s="33"/>
      <c r="IA40" s="33"/>
      <c r="IB40" s="33"/>
      <c r="IC40" s="33"/>
      <c r="ID40" s="33"/>
      <c r="IE40" s="33"/>
      <c r="IF40" s="791"/>
      <c r="IG40" s="791"/>
      <c r="IH40" s="33"/>
      <c r="II40" s="33"/>
      <c r="IJ40" s="33"/>
      <c r="IK40" s="33"/>
      <c r="IL40" s="33"/>
      <c r="IM40" s="33"/>
      <c r="IN40" s="792"/>
      <c r="IO40" s="792"/>
      <c r="IP40" s="792"/>
      <c r="IQ40" s="788"/>
      <c r="IR40" s="792"/>
      <c r="IS40" s="792"/>
      <c r="IT40" s="792"/>
      <c r="IU40" s="792"/>
      <c r="IV40" s="792"/>
      <c r="IW40" s="792"/>
      <c r="IX40" s="507"/>
      <c r="IY40" s="193"/>
      <c r="IZ40" s="193"/>
    </row>
    <row r="41" spans="2:260" x14ac:dyDescent="0.25">
      <c r="B41" s="2"/>
      <c r="C41" s="2"/>
      <c r="D41" s="2"/>
      <c r="E41" s="2"/>
      <c r="F41" s="2"/>
      <c r="G41" s="2"/>
      <c r="H41" s="2"/>
      <c r="I41" s="2"/>
      <c r="J41" s="2"/>
      <c r="K41" s="2"/>
      <c r="L41" s="2"/>
      <c r="M41" s="2"/>
      <c r="N41" s="2"/>
      <c r="O41" s="2"/>
      <c r="P41" s="2"/>
      <c r="Q41" s="2"/>
      <c r="R41" s="2"/>
      <c r="S41" s="2"/>
      <c r="T41" s="2"/>
      <c r="U41" s="2"/>
      <c r="V41" s="2"/>
      <c r="W41" s="2"/>
      <c r="X41" s="2"/>
      <c r="AS41" s="193"/>
      <c r="AT41" s="507"/>
      <c r="AU41" s="507"/>
      <c r="AV41" s="507"/>
      <c r="AW41" s="507"/>
      <c r="AX41" s="507"/>
      <c r="AY41" s="507"/>
      <c r="AZ41" s="507"/>
      <c r="BA41" s="507"/>
      <c r="BB41" s="507"/>
      <c r="BC41" s="507"/>
      <c r="BD41" s="507"/>
      <c r="BE41" s="507"/>
      <c r="BF41" s="507"/>
      <c r="BG41" s="507"/>
      <c r="BH41" s="786"/>
      <c r="BI41" s="787"/>
      <c r="BJ41" s="787"/>
      <c r="BK41" s="787"/>
      <c r="BL41" s="787"/>
      <c r="BM41" s="787"/>
      <c r="BN41" s="787"/>
      <c r="BO41" s="787"/>
      <c r="BP41" s="787"/>
      <c r="BQ41" s="787"/>
      <c r="BR41" s="786"/>
      <c r="BS41" s="787"/>
      <c r="BT41" s="787"/>
      <c r="BU41" s="787"/>
      <c r="BV41" s="787"/>
      <c r="BW41" s="787"/>
      <c r="BX41" s="787"/>
      <c r="BY41" s="787"/>
      <c r="BZ41" s="787"/>
      <c r="CA41" s="787"/>
      <c r="CB41" s="786"/>
      <c r="CC41" s="787"/>
      <c r="CD41" s="787"/>
      <c r="CE41" s="787"/>
      <c r="CF41" s="787"/>
      <c r="CG41" s="787"/>
      <c r="CH41" s="787"/>
      <c r="CI41" s="787"/>
      <c r="CJ41" s="787"/>
      <c r="CK41" s="787"/>
      <c r="CL41" s="786"/>
      <c r="CM41" s="787"/>
      <c r="CN41" s="787"/>
      <c r="CO41" s="787"/>
      <c r="CP41" s="787"/>
      <c r="CQ41" s="787"/>
      <c r="CR41" s="787"/>
      <c r="CS41" s="787"/>
      <c r="CT41" s="787"/>
      <c r="CU41" s="787"/>
      <c r="CV41" s="786"/>
      <c r="CW41" s="787"/>
      <c r="CX41" s="787"/>
      <c r="CY41" s="787"/>
      <c r="CZ41" s="787"/>
      <c r="DA41" s="787"/>
      <c r="DB41" s="787"/>
      <c r="DC41" s="787"/>
      <c r="DD41" s="787"/>
      <c r="DE41" s="787"/>
      <c r="DF41" s="786"/>
      <c r="DG41" s="787"/>
      <c r="DH41" s="787"/>
      <c r="DI41" s="787"/>
      <c r="DJ41" s="787"/>
      <c r="DK41" s="787"/>
      <c r="DL41" s="787"/>
      <c r="DM41" s="787"/>
      <c r="DN41" s="787"/>
      <c r="DO41" s="787"/>
      <c r="DP41" s="786"/>
      <c r="DQ41" s="787"/>
      <c r="DR41" s="787"/>
      <c r="DS41" s="787"/>
      <c r="DT41" s="787"/>
      <c r="DU41" s="787"/>
      <c r="DV41" s="787"/>
      <c r="DW41" s="787"/>
      <c r="DX41" s="787"/>
      <c r="DY41" s="787"/>
      <c r="DZ41" s="786"/>
      <c r="EA41" s="787"/>
      <c r="EB41" s="787"/>
      <c r="EC41" s="787"/>
      <c r="ED41" s="787"/>
      <c r="EE41" s="787"/>
      <c r="EF41" s="787"/>
      <c r="EG41" s="787"/>
      <c r="EH41" s="787"/>
      <c r="EI41" s="787"/>
      <c r="EJ41" s="786"/>
      <c r="EK41" s="787"/>
      <c r="EL41" s="787"/>
      <c r="EM41" s="787"/>
      <c r="EN41" s="787"/>
      <c r="EO41" s="787"/>
      <c r="EP41" s="787"/>
      <c r="EQ41" s="787"/>
      <c r="ER41" s="787"/>
      <c r="ES41" s="787"/>
      <c r="ET41" s="786"/>
      <c r="EU41" s="787"/>
      <c r="EV41" s="787"/>
      <c r="EW41" s="787"/>
      <c r="EX41" s="787"/>
      <c r="EY41" s="787"/>
      <c r="EZ41" s="787"/>
      <c r="FA41" s="787"/>
      <c r="FB41" s="787"/>
      <c r="FC41" s="787"/>
      <c r="FD41" s="786"/>
      <c r="FE41" s="787"/>
      <c r="FF41" s="787"/>
      <c r="FG41" s="787"/>
      <c r="FH41" s="787"/>
      <c r="FI41" s="787"/>
      <c r="FJ41" s="787"/>
      <c r="FK41" s="787"/>
      <c r="FL41" s="787"/>
      <c r="FM41" s="787"/>
      <c r="FN41" s="786"/>
      <c r="FO41" s="787"/>
      <c r="FP41" s="787"/>
      <c r="FQ41" s="787"/>
      <c r="FR41" s="787"/>
      <c r="FS41" s="787"/>
      <c r="FT41" s="787"/>
      <c r="FU41" s="787"/>
      <c r="FV41" s="791"/>
      <c r="FW41" s="791"/>
      <c r="FX41" s="791"/>
      <c r="FY41" s="791"/>
      <c r="FZ41" s="791"/>
      <c r="GA41" s="791"/>
      <c r="GB41" s="791"/>
      <c r="GC41" s="791"/>
      <c r="GD41" s="791"/>
      <c r="GE41" s="791"/>
      <c r="GF41" s="791"/>
      <c r="GG41" s="791"/>
      <c r="GH41" s="786"/>
      <c r="GI41" s="787"/>
      <c r="GJ41" s="787"/>
      <c r="GK41" s="787"/>
      <c r="GL41" s="787"/>
      <c r="GM41" s="787"/>
      <c r="GN41" s="791"/>
      <c r="GO41" s="791"/>
      <c r="GP41" s="791"/>
      <c r="GQ41" s="791"/>
      <c r="GR41" s="791"/>
      <c r="GS41" s="791"/>
      <c r="GT41" s="791"/>
      <c r="GU41" s="791"/>
      <c r="GV41" s="791"/>
      <c r="GW41" s="791"/>
      <c r="GX41" s="791"/>
      <c r="GY41" s="791"/>
      <c r="GZ41" s="791"/>
      <c r="HA41" s="791"/>
      <c r="HB41" s="791"/>
      <c r="HC41" s="791"/>
      <c r="HD41" s="791"/>
      <c r="HE41" s="791"/>
      <c r="HF41" s="791"/>
      <c r="HG41" s="791"/>
      <c r="HH41" s="791"/>
      <c r="HI41" s="791"/>
      <c r="HJ41" s="791"/>
      <c r="HK41" s="791"/>
      <c r="HL41" s="786"/>
      <c r="HM41" s="787"/>
      <c r="HN41" s="787"/>
      <c r="HO41" s="787"/>
      <c r="HP41" s="787"/>
      <c r="HQ41" s="787"/>
      <c r="HR41" s="787"/>
      <c r="HS41" s="787"/>
      <c r="HT41" s="33"/>
      <c r="HU41" s="33"/>
      <c r="HV41" s="33"/>
      <c r="HW41" s="33"/>
      <c r="HX41" s="33"/>
      <c r="HY41" s="33"/>
      <c r="HZ41" s="33"/>
      <c r="IA41" s="33"/>
      <c r="IB41" s="33"/>
      <c r="IC41" s="33"/>
      <c r="ID41" s="33"/>
      <c r="IE41" s="33"/>
      <c r="IF41" s="786"/>
      <c r="IG41" s="787"/>
      <c r="IH41" s="787"/>
      <c r="II41" s="787"/>
      <c r="IJ41" s="787"/>
      <c r="IK41" s="787"/>
      <c r="IL41" s="787"/>
      <c r="IM41" s="787"/>
      <c r="IN41" s="507"/>
      <c r="IO41" s="507"/>
      <c r="IP41" s="507"/>
      <c r="IQ41" s="507"/>
      <c r="IR41" s="507"/>
      <c r="IS41" s="507"/>
      <c r="IT41" s="507"/>
      <c r="IU41" s="507"/>
      <c r="IV41" s="507"/>
      <c r="IW41" s="507"/>
      <c r="IX41" s="507"/>
      <c r="IY41" s="193"/>
      <c r="IZ41" s="193"/>
    </row>
    <row r="42" spans="2:260" ht="15.75" thickBot="1" x14ac:dyDescent="0.3">
      <c r="C42" s="2"/>
      <c r="D42" s="2"/>
      <c r="E42" s="2"/>
      <c r="F42" s="2"/>
      <c r="G42" s="2"/>
      <c r="H42" s="2"/>
      <c r="I42" s="2"/>
      <c r="J42" s="2"/>
      <c r="K42" s="2"/>
      <c r="L42" s="2"/>
      <c r="M42" s="2"/>
      <c r="N42" s="2"/>
      <c r="O42" s="2"/>
      <c r="P42" s="2"/>
      <c r="Q42" s="2"/>
      <c r="R42" s="2"/>
      <c r="S42" s="2"/>
      <c r="T42" s="2"/>
      <c r="U42" s="2"/>
      <c r="V42" s="2"/>
      <c r="W42" s="2"/>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c r="IZ42" s="193"/>
    </row>
    <row r="43" spans="2:260" ht="24" thickBot="1" x14ac:dyDescent="0.4">
      <c r="B43" s="635" t="s">
        <v>339</v>
      </c>
      <c r="C43" s="460"/>
      <c r="D43" s="460"/>
      <c r="E43" s="460"/>
      <c r="F43" s="461"/>
      <c r="G43" s="193"/>
      <c r="H43" s="193"/>
      <c r="I43" s="193"/>
      <c r="J43" s="193"/>
      <c r="K43" s="193"/>
      <c r="L43" s="193"/>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AS43" s="193"/>
      <c r="AT43" s="193"/>
      <c r="AU43" s="193"/>
      <c r="AV43" s="193"/>
      <c r="AW43" s="193"/>
      <c r="AX43" s="193"/>
      <c r="AY43" s="193"/>
      <c r="AZ43" s="193"/>
      <c r="BA43" s="193"/>
      <c r="BB43" s="193"/>
      <c r="BC43" s="193"/>
      <c r="BD43" s="193"/>
      <c r="BE43" s="193"/>
      <c r="BF43" s="787"/>
      <c r="BG43" s="787"/>
      <c r="BH43" s="787"/>
      <c r="BI43" s="787"/>
      <c r="BJ43" s="787"/>
      <c r="BK43" s="787"/>
      <c r="BL43" s="787"/>
      <c r="BM43" s="787"/>
      <c r="BN43" s="786"/>
      <c r="BO43" s="787"/>
      <c r="BP43" s="787"/>
      <c r="BQ43" s="787"/>
      <c r="BR43" s="787"/>
      <c r="BS43" s="787"/>
      <c r="BT43" s="787"/>
      <c r="BU43" s="787"/>
      <c r="BV43" s="787"/>
      <c r="BW43" s="787"/>
      <c r="BX43" s="786"/>
      <c r="BY43" s="787"/>
      <c r="BZ43" s="787"/>
      <c r="CA43" s="787"/>
      <c r="CB43" s="787"/>
      <c r="CC43" s="787"/>
      <c r="CD43" s="787"/>
      <c r="CE43" s="787"/>
      <c r="CF43" s="787"/>
      <c r="CG43" s="787"/>
      <c r="CH43" s="786"/>
      <c r="CI43" s="787"/>
      <c r="CJ43" s="787"/>
      <c r="CK43" s="787"/>
      <c r="CL43" s="787"/>
      <c r="CM43" s="787"/>
      <c r="CN43" s="787"/>
      <c r="CO43" s="787"/>
      <c r="CP43" s="787"/>
      <c r="CQ43" s="787"/>
      <c r="CR43" s="786"/>
      <c r="CS43" s="787"/>
      <c r="CT43" s="787"/>
      <c r="CU43" s="787"/>
      <c r="CV43" s="787"/>
      <c r="CW43" s="787"/>
      <c r="CX43" s="787"/>
      <c r="CY43" s="787"/>
      <c r="CZ43" s="787"/>
      <c r="DA43" s="787"/>
      <c r="DB43" s="786"/>
      <c r="DC43" s="787"/>
      <c r="DD43" s="787"/>
      <c r="DE43" s="787"/>
      <c r="DF43" s="787"/>
      <c r="DG43" s="787"/>
      <c r="DH43" s="787"/>
      <c r="DI43" s="787"/>
      <c r="DJ43" s="787"/>
      <c r="DK43" s="787"/>
      <c r="DL43" s="786"/>
      <c r="DM43" s="787"/>
      <c r="DN43" s="787"/>
      <c r="DO43" s="787"/>
      <c r="DP43" s="787"/>
      <c r="DQ43" s="787"/>
      <c r="DR43" s="787"/>
      <c r="DS43" s="787"/>
      <c r="DT43" s="787"/>
      <c r="DU43" s="787"/>
      <c r="DV43" s="786"/>
      <c r="DW43" s="787"/>
      <c r="DX43" s="787"/>
      <c r="DY43" s="787"/>
      <c r="DZ43" s="787"/>
      <c r="EA43" s="787"/>
      <c r="EB43" s="787"/>
      <c r="EC43" s="787"/>
      <c r="ED43" s="787"/>
      <c r="EE43" s="787"/>
      <c r="EF43" s="786"/>
      <c r="EG43" s="787"/>
      <c r="EH43" s="787"/>
      <c r="EI43" s="787"/>
      <c r="EJ43" s="787"/>
      <c r="EK43" s="787"/>
      <c r="EL43" s="787"/>
      <c r="EM43" s="787"/>
      <c r="EN43" s="787"/>
      <c r="EO43" s="787"/>
      <c r="EP43" s="786"/>
      <c r="EQ43" s="787"/>
      <c r="ER43" s="787"/>
      <c r="ES43" s="787"/>
      <c r="ET43" s="787"/>
      <c r="EU43" s="787"/>
      <c r="EV43" s="787"/>
      <c r="EW43" s="787"/>
      <c r="EX43" s="787"/>
      <c r="EY43" s="787"/>
      <c r="EZ43" s="786"/>
      <c r="FA43" s="787"/>
      <c r="FB43" s="787"/>
      <c r="FC43" s="787"/>
      <c r="FD43" s="787"/>
      <c r="FE43" s="787"/>
      <c r="FF43" s="787"/>
      <c r="FG43" s="787"/>
      <c r="FH43" s="787"/>
      <c r="FI43" s="787"/>
      <c r="FJ43" s="786"/>
      <c r="FK43" s="787"/>
      <c r="FL43" s="787"/>
      <c r="FM43" s="787"/>
      <c r="FN43" s="787"/>
      <c r="FO43" s="787"/>
      <c r="FP43" s="787"/>
      <c r="FQ43" s="787"/>
      <c r="FR43" s="787"/>
      <c r="FS43" s="787"/>
      <c r="FT43" s="786"/>
      <c r="FU43" s="787"/>
      <c r="FV43" s="787"/>
      <c r="FW43" s="787"/>
      <c r="FX43" s="787"/>
      <c r="FY43" s="787"/>
      <c r="FZ43" s="787"/>
      <c r="GA43" s="787"/>
      <c r="GB43" s="787"/>
      <c r="GC43" s="787"/>
      <c r="GD43" s="786"/>
      <c r="GE43" s="787"/>
      <c r="GF43" s="787"/>
      <c r="GG43" s="787"/>
      <c r="GH43" s="787"/>
      <c r="GI43" s="787"/>
      <c r="GJ43" s="787"/>
      <c r="GK43" s="787"/>
      <c r="GL43" s="787"/>
      <c r="GM43" s="787"/>
      <c r="GN43" s="786"/>
      <c r="GO43" s="787"/>
      <c r="GP43" s="787"/>
      <c r="GQ43" s="787"/>
      <c r="GR43" s="787"/>
      <c r="GS43" s="787"/>
      <c r="GT43" s="787"/>
      <c r="GU43" s="787"/>
      <c r="GV43" s="507"/>
      <c r="GW43" s="507"/>
      <c r="GX43" s="507"/>
      <c r="GY43" s="507"/>
      <c r="GZ43" s="507"/>
      <c r="HA43" s="507"/>
      <c r="HB43" s="507"/>
      <c r="HC43" s="507"/>
      <c r="HD43" s="507"/>
      <c r="HE43" s="507"/>
      <c r="HF43" s="507"/>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c r="IW43" s="193"/>
      <c r="IX43" s="193"/>
      <c r="IY43" s="193"/>
      <c r="IZ43" s="193"/>
    </row>
    <row r="44" spans="2:260" ht="19.5" thickBot="1" x14ac:dyDescent="0.35">
      <c r="B44" s="636" t="s">
        <v>181</v>
      </c>
      <c r="C44" s="637" t="e">
        <f>C3+5.963+2.137</f>
        <v>#VALUE!</v>
      </c>
      <c r="D44" s="515"/>
      <c r="E44" s="515"/>
      <c r="F44" s="638"/>
      <c r="G44" s="193"/>
      <c r="H44" s="193"/>
      <c r="I44" s="193"/>
      <c r="J44" s="193"/>
      <c r="K44" s="193"/>
      <c r="L44" s="193"/>
      <c r="N44" s="994"/>
      <c r="O44" s="155"/>
      <c r="P44" s="75"/>
      <c r="Q44" s="156"/>
      <c r="R44" s="157">
        <v>12</v>
      </c>
      <c r="S44" s="157">
        <f t="shared" ref="S44:AJ44" si="0">R44+6</f>
        <v>18</v>
      </c>
      <c r="T44" s="157">
        <f t="shared" si="0"/>
        <v>24</v>
      </c>
      <c r="U44" s="157">
        <f t="shared" si="0"/>
        <v>30</v>
      </c>
      <c r="V44" s="157">
        <f t="shared" si="0"/>
        <v>36</v>
      </c>
      <c r="W44" s="157">
        <f t="shared" si="0"/>
        <v>42</v>
      </c>
      <c r="X44" s="158">
        <f t="shared" si="0"/>
        <v>48</v>
      </c>
      <c r="Y44" s="157">
        <f t="shared" si="0"/>
        <v>54</v>
      </c>
      <c r="Z44" s="157">
        <f t="shared" si="0"/>
        <v>60</v>
      </c>
      <c r="AA44" s="157">
        <f t="shared" si="0"/>
        <v>66</v>
      </c>
      <c r="AB44" s="157">
        <f t="shared" si="0"/>
        <v>72</v>
      </c>
      <c r="AC44" s="157">
        <f t="shared" si="0"/>
        <v>78</v>
      </c>
      <c r="AD44" s="158">
        <f t="shared" si="0"/>
        <v>84</v>
      </c>
      <c r="AE44" s="157">
        <f t="shared" si="0"/>
        <v>90</v>
      </c>
      <c r="AF44" s="157">
        <f t="shared" si="0"/>
        <v>96</v>
      </c>
      <c r="AG44" s="157">
        <f t="shared" si="0"/>
        <v>102</v>
      </c>
      <c r="AH44" s="157">
        <f t="shared" si="0"/>
        <v>108</v>
      </c>
      <c r="AI44" s="157">
        <f t="shared" si="0"/>
        <v>114</v>
      </c>
      <c r="AJ44" s="158">
        <f t="shared" si="0"/>
        <v>120</v>
      </c>
      <c r="AK44" s="74"/>
      <c r="AL44" s="74"/>
      <c r="AM44" s="74"/>
      <c r="AN44" s="74"/>
      <c r="AO44" s="74"/>
      <c r="AP44" s="74"/>
      <c r="AQ44" s="75"/>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c r="DT44" s="193"/>
      <c r="DU44" s="193"/>
      <c r="DV44" s="193"/>
      <c r="DW44" s="193"/>
      <c r="DX44" s="193"/>
      <c r="DY44" s="193"/>
      <c r="DZ44" s="193"/>
      <c r="EA44" s="193"/>
      <c r="EB44" s="193"/>
      <c r="EC44" s="193"/>
      <c r="ED44" s="193"/>
      <c r="EE44" s="193"/>
      <c r="EF44" s="193"/>
      <c r="EG44" s="193"/>
      <c r="EH44" s="193"/>
      <c r="EI44" s="193"/>
      <c r="EJ44" s="193"/>
      <c r="EK44" s="193"/>
      <c r="EL44" s="193"/>
      <c r="EM44" s="193"/>
      <c r="EN44" s="193"/>
      <c r="EO44" s="193"/>
      <c r="EP44" s="193"/>
      <c r="EQ44" s="193"/>
      <c r="ER44" s="193"/>
      <c r="ES44" s="193"/>
      <c r="ET44" s="193"/>
      <c r="EU44" s="193"/>
      <c r="EV44" s="193"/>
      <c r="EW44" s="193"/>
      <c r="EX44" s="193"/>
      <c r="EY44" s="193"/>
      <c r="EZ44" s="193"/>
      <c r="FA44" s="193"/>
      <c r="FB44" s="193"/>
      <c r="FC44" s="193"/>
      <c r="FD44" s="193"/>
      <c r="FE44" s="193"/>
      <c r="FF44" s="193"/>
      <c r="FG44" s="193"/>
      <c r="FH44" s="193"/>
      <c r="FI44" s="193"/>
      <c r="FJ44" s="193"/>
      <c r="FK44" s="193"/>
      <c r="FL44" s="193"/>
      <c r="FM44" s="193"/>
      <c r="FN44" s="193"/>
      <c r="FO44" s="193"/>
      <c r="FP44" s="193"/>
      <c r="FQ44" s="193"/>
      <c r="FR44" s="193"/>
      <c r="FS44" s="193"/>
      <c r="FT44" s="193"/>
      <c r="FU44" s="193"/>
      <c r="FV44" s="193"/>
      <c r="FW44" s="193"/>
      <c r="FX44" s="193"/>
      <c r="FY44" s="193"/>
      <c r="FZ44" s="193"/>
      <c r="GA44" s="193"/>
      <c r="GB44" s="193"/>
      <c r="GC44" s="193"/>
      <c r="GD44" s="193"/>
      <c r="GE44" s="193"/>
      <c r="GF44" s="193"/>
      <c r="GG44" s="193"/>
      <c r="GH44" s="193"/>
      <c r="GI44" s="193"/>
      <c r="GJ44" s="193"/>
      <c r="GK44" s="193"/>
      <c r="GL44" s="193"/>
      <c r="GM44" s="193"/>
      <c r="GN44" s="193"/>
      <c r="GO44" s="193"/>
      <c r="GP44" s="193"/>
      <c r="GQ44" s="193"/>
      <c r="GR44" s="193"/>
      <c r="GS44" s="193"/>
      <c r="GT44" s="193"/>
      <c r="GU44" s="193"/>
      <c r="GV44" s="193"/>
      <c r="GW44" s="193"/>
      <c r="GX44" s="193"/>
      <c r="GY44" s="193"/>
      <c r="GZ44" s="193"/>
      <c r="HA44" s="193"/>
      <c r="HB44" s="193"/>
      <c r="HC44" s="193"/>
      <c r="HD44" s="193"/>
      <c r="HE44" s="193"/>
      <c r="HF44" s="193"/>
      <c r="HG44" s="193"/>
      <c r="HH44" s="193"/>
      <c r="HI44" s="193"/>
      <c r="HJ44" s="193"/>
      <c r="HK44" s="193"/>
      <c r="HL44" s="193"/>
      <c r="HM44" s="193"/>
      <c r="HN44" s="193"/>
      <c r="HO44" s="193"/>
      <c r="HP44" s="193"/>
      <c r="HQ44" s="193"/>
      <c r="HR44" s="193"/>
      <c r="HS44" s="193"/>
      <c r="HT44" s="193"/>
      <c r="HU44" s="193"/>
      <c r="HV44" s="193"/>
      <c r="HW44" s="193"/>
      <c r="HX44" s="193"/>
      <c r="HY44" s="193"/>
      <c r="HZ44" s="193"/>
      <c r="IA44" s="193"/>
      <c r="IB44" s="193"/>
      <c r="IC44" s="193"/>
      <c r="ID44" s="193"/>
      <c r="IE44" s="193"/>
      <c r="IF44" s="193"/>
      <c r="IG44" s="193"/>
      <c r="IH44" s="193"/>
      <c r="II44" s="193"/>
      <c r="IJ44" s="193"/>
      <c r="IK44" s="193"/>
      <c r="IL44" s="193"/>
      <c r="IM44" s="193"/>
      <c r="IN44" s="193"/>
      <c r="IO44" s="193"/>
      <c r="IP44" s="193"/>
      <c r="IQ44" s="193"/>
      <c r="IR44" s="193"/>
      <c r="IS44" s="193"/>
      <c r="IT44" s="193"/>
      <c r="IU44" s="193"/>
      <c r="IV44" s="193"/>
      <c r="IW44" s="193"/>
      <c r="IX44" s="193"/>
      <c r="IY44" s="193"/>
      <c r="IZ44" s="193"/>
    </row>
    <row r="45" spans="2:260" ht="18.75" customHeight="1" thickBot="1" x14ac:dyDescent="0.35">
      <c r="B45" s="639" t="s">
        <v>39</v>
      </c>
      <c r="C45" s="906" t="e">
        <f>VALUE(FIXED(C5,2))</f>
        <v>#VALUE!</v>
      </c>
      <c r="D45" s="40"/>
      <c r="E45" s="471"/>
      <c r="F45" s="641"/>
      <c r="G45" s="193"/>
      <c r="H45" s="193"/>
      <c r="I45" s="193"/>
      <c r="J45" s="193"/>
      <c r="K45" s="193"/>
      <c r="L45" s="193"/>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H45" s="193"/>
      <c r="CI45" s="193"/>
      <c r="CJ45" s="193"/>
      <c r="CK45" s="193"/>
      <c r="CL45" s="193"/>
      <c r="CM45" s="193"/>
      <c r="CN45" s="193"/>
      <c r="CO45" s="193"/>
      <c r="CP45" s="193"/>
      <c r="CQ45" s="193"/>
      <c r="CR45" s="193"/>
      <c r="CS45" s="193"/>
      <c r="CT45" s="193"/>
      <c r="CU45" s="193"/>
      <c r="CV45" s="193"/>
      <c r="CW45" s="193"/>
      <c r="CX45" s="193"/>
      <c r="CY45" s="193"/>
      <c r="CZ45" s="193"/>
      <c r="DA45" s="193"/>
      <c r="DB45" s="193"/>
      <c r="DC45" s="193"/>
      <c r="DD45" s="193"/>
      <c r="DE45" s="193"/>
      <c r="DF45" s="193"/>
      <c r="DG45" s="193"/>
      <c r="DH45" s="193"/>
      <c r="DI45" s="193"/>
      <c r="DJ45" s="193"/>
      <c r="DK45" s="193"/>
      <c r="DL45" s="193"/>
      <c r="DM45" s="193"/>
      <c r="DN45" s="193"/>
      <c r="DO45" s="193"/>
      <c r="DP45" s="193"/>
      <c r="DQ45" s="193"/>
      <c r="DR45" s="193"/>
      <c r="DS45" s="193"/>
      <c r="DT45" s="193"/>
      <c r="DU45" s="193"/>
      <c r="DV45" s="193"/>
      <c r="DW45" s="193"/>
      <c r="DX45" s="193"/>
      <c r="DY45" s="193"/>
      <c r="DZ45" s="193"/>
      <c r="EA45" s="193"/>
      <c r="EB45" s="193"/>
      <c r="EC45" s="193"/>
      <c r="ED45" s="193"/>
      <c r="EE45" s="193"/>
      <c r="EF45" s="193"/>
      <c r="EG45" s="193"/>
      <c r="EH45" s="193"/>
      <c r="EI45" s="193"/>
      <c r="EJ45" s="193"/>
      <c r="EK45" s="193"/>
      <c r="EL45" s="193"/>
      <c r="EM45" s="193"/>
      <c r="EN45" s="193"/>
      <c r="EO45" s="193"/>
      <c r="EP45" s="193"/>
      <c r="EQ45" s="193"/>
      <c r="ER45" s="193"/>
      <c r="ES45" s="193"/>
      <c r="ET45" s="193"/>
      <c r="EU45" s="193"/>
      <c r="EV45" s="193"/>
      <c r="EW45" s="193"/>
      <c r="EX45" s="193"/>
      <c r="EY45" s="193"/>
      <c r="EZ45" s="193"/>
      <c r="FA45" s="193"/>
      <c r="FB45" s="193"/>
      <c r="FC45" s="193"/>
      <c r="FD45" s="193"/>
      <c r="FE45" s="193"/>
      <c r="FF45" s="193"/>
      <c r="FG45" s="193"/>
      <c r="FH45" s="424"/>
      <c r="FI45" s="193"/>
      <c r="FJ45" s="193"/>
      <c r="FK45" s="193"/>
      <c r="FL45" s="193"/>
      <c r="FM45" s="193"/>
      <c r="FN45" s="193"/>
      <c r="FO45" s="193"/>
      <c r="FP45" s="193"/>
      <c r="FQ45" s="193"/>
      <c r="FR45" s="193"/>
      <c r="FS45" s="193"/>
      <c r="FT45" s="193"/>
      <c r="FU45" s="193"/>
      <c r="FV45" s="193"/>
      <c r="FW45" s="193"/>
      <c r="FX45" s="193"/>
      <c r="FY45" s="193"/>
      <c r="FZ45" s="193"/>
      <c r="GA45" s="193"/>
      <c r="GB45" s="193"/>
      <c r="GC45" s="193"/>
      <c r="GD45" s="193"/>
      <c r="GE45" s="193"/>
      <c r="GF45" s="193"/>
      <c r="GG45" s="193"/>
      <c r="GH45" s="193"/>
      <c r="GI45" s="193"/>
      <c r="GJ45" s="193"/>
      <c r="GK45" s="193"/>
      <c r="GL45" s="193"/>
      <c r="GM45" s="193"/>
      <c r="GN45" s="193"/>
      <c r="GO45" s="193"/>
      <c r="GP45" s="193"/>
      <c r="GQ45" s="193"/>
      <c r="GR45" s="193"/>
      <c r="GS45" s="193"/>
      <c r="GT45" s="193"/>
      <c r="GU45" s="193"/>
      <c r="GV45" s="193"/>
      <c r="GW45" s="193"/>
      <c r="GX45" s="193"/>
      <c r="GY45" s="193"/>
      <c r="GZ45" s="193"/>
      <c r="HA45" s="193"/>
      <c r="HB45" s="193"/>
      <c r="HC45" s="193"/>
      <c r="HD45" s="193"/>
      <c r="HE45" s="193"/>
      <c r="HF45" s="193"/>
      <c r="HG45" s="193"/>
      <c r="HH45" s="193"/>
      <c r="HI45" s="193"/>
      <c r="HJ45" s="193"/>
      <c r="HK45" s="193"/>
      <c r="HL45" s="193"/>
      <c r="HM45" s="193"/>
      <c r="HN45" s="193"/>
      <c r="HO45" s="193"/>
      <c r="HP45" s="193"/>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193"/>
      <c r="IN45" s="193"/>
      <c r="IO45" s="193"/>
      <c r="IP45" s="193"/>
      <c r="IQ45" s="193"/>
      <c r="IR45" s="193"/>
      <c r="IS45" s="193"/>
      <c r="IT45" s="193"/>
      <c r="IU45" s="193"/>
      <c r="IV45" s="193"/>
      <c r="IW45" s="193"/>
      <c r="IX45" s="193"/>
      <c r="IY45" s="193"/>
      <c r="IZ45" s="193"/>
    </row>
    <row r="46" spans="2:260" ht="15.75" customHeight="1" thickBot="1" x14ac:dyDescent="0.4">
      <c r="B46" s="642" t="s">
        <v>63</v>
      </c>
      <c r="C46" s="471"/>
      <c r="D46" s="471"/>
      <c r="E46" s="471"/>
      <c r="F46" s="641"/>
      <c r="G46" s="193"/>
      <c r="H46" s="193"/>
      <c r="I46" s="193"/>
      <c r="J46" s="193"/>
      <c r="K46" s="193"/>
      <c r="L46" s="193"/>
      <c r="N46" s="484"/>
      <c r="O46" s="673">
        <v>13.06</v>
      </c>
      <c r="P46" s="183">
        <v>2</v>
      </c>
      <c r="Q46" s="490"/>
      <c r="R46">
        <v>2.65</v>
      </c>
      <c r="S46">
        <v>4.34</v>
      </c>
      <c r="T46">
        <v>6.03</v>
      </c>
      <c r="U46">
        <v>7.72</v>
      </c>
      <c r="V46">
        <f>U46+1.69</f>
        <v>9.41</v>
      </c>
      <c r="W46">
        <f t="shared" ref="W46:AI46" si="1">V46+1.69</f>
        <v>11.1</v>
      </c>
      <c r="X46">
        <f t="shared" si="1"/>
        <v>12.79</v>
      </c>
      <c r="Y46">
        <f t="shared" si="1"/>
        <v>14.479999999999999</v>
      </c>
      <c r="Z46">
        <f t="shared" si="1"/>
        <v>16.169999999999998</v>
      </c>
      <c r="AA46">
        <f t="shared" si="1"/>
        <v>17.86</v>
      </c>
      <c r="AB46">
        <f t="shared" si="1"/>
        <v>19.55</v>
      </c>
      <c r="AC46">
        <f t="shared" si="1"/>
        <v>21.240000000000002</v>
      </c>
      <c r="AD46">
        <f t="shared" si="1"/>
        <v>22.930000000000003</v>
      </c>
      <c r="AE46">
        <f t="shared" si="1"/>
        <v>24.620000000000005</v>
      </c>
      <c r="AF46">
        <v>26.34</v>
      </c>
      <c r="AG46">
        <f t="shared" si="1"/>
        <v>28.03</v>
      </c>
      <c r="AH46">
        <f t="shared" si="1"/>
        <v>29.720000000000002</v>
      </c>
      <c r="AI46">
        <f t="shared" si="1"/>
        <v>31.410000000000004</v>
      </c>
      <c r="AJ46">
        <v>33.11</v>
      </c>
      <c r="AK46" s="114"/>
      <c r="AL46" s="114"/>
      <c r="AM46" s="114"/>
      <c r="AN46" s="114"/>
      <c r="AO46" s="114"/>
      <c r="AP46" s="114"/>
      <c r="AQ46" s="120"/>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431"/>
      <c r="IT46" s="193"/>
      <c r="IU46" s="193"/>
      <c r="IV46" s="193"/>
      <c r="IW46" s="193"/>
      <c r="IX46" s="193"/>
      <c r="IY46" s="193"/>
      <c r="IZ46" s="193"/>
    </row>
    <row r="47" spans="2:260" ht="15" customHeight="1" thickBot="1" x14ac:dyDescent="0.3">
      <c r="B47" s="643"/>
      <c r="C47" s="40"/>
      <c r="D47" s="471"/>
      <c r="E47" s="471"/>
      <c r="F47" s="654"/>
      <c r="G47" s="193"/>
      <c r="H47" s="193"/>
      <c r="I47" s="193"/>
      <c r="J47" s="193"/>
      <c r="K47" s="193"/>
      <c r="L47" s="193"/>
      <c r="N47" s="136"/>
      <c r="O47" s="674">
        <v>17.059999999999999</v>
      </c>
      <c r="P47" s="184">
        <v>3</v>
      </c>
      <c r="Q47" s="491"/>
      <c r="R47" s="298">
        <v>3.28</v>
      </c>
      <c r="S47" s="298">
        <v>5.28</v>
      </c>
      <c r="T47" s="298">
        <v>7.29</v>
      </c>
      <c r="U47" s="298">
        <v>9.3000000000000007</v>
      </c>
      <c r="V47" s="298">
        <v>11.31</v>
      </c>
      <c r="W47" s="298">
        <v>13.32</v>
      </c>
      <c r="X47" s="298">
        <v>15.32</v>
      </c>
      <c r="Y47" s="298">
        <v>17.329999999999998</v>
      </c>
      <c r="Z47" s="298">
        <v>19.34</v>
      </c>
      <c r="AA47" s="633">
        <v>21.35</v>
      </c>
      <c r="AB47" s="633">
        <f>AA47+2.01</f>
        <v>23.36</v>
      </c>
      <c r="AC47" s="633">
        <f t="shared" ref="AC47:AI47" si="2">AB47+2.01</f>
        <v>25.369999999999997</v>
      </c>
      <c r="AD47" s="633">
        <f t="shared" si="2"/>
        <v>27.379999999999995</v>
      </c>
      <c r="AE47" s="633">
        <f t="shared" si="2"/>
        <v>29.389999999999993</v>
      </c>
      <c r="AF47" s="633">
        <f t="shared" si="2"/>
        <v>31.399999999999991</v>
      </c>
      <c r="AG47" s="633">
        <f t="shared" si="2"/>
        <v>33.409999999999989</v>
      </c>
      <c r="AH47" s="633">
        <f t="shared" si="2"/>
        <v>35.419999999999987</v>
      </c>
      <c r="AI47" s="633">
        <f t="shared" si="2"/>
        <v>37.429999999999986</v>
      </c>
      <c r="AJ47" s="633">
        <v>39.42</v>
      </c>
      <c r="AK47" s="45"/>
      <c r="AL47" s="117"/>
      <c r="AM47" s="117" t="e">
        <f>D50</f>
        <v>#VALUE!</v>
      </c>
      <c r="AN47" s="118" t="e">
        <f>C44</f>
        <v>#VALUE!</v>
      </c>
      <c r="AO47" s="117" t="e">
        <f>E50</f>
        <v>#VALUE!</v>
      </c>
      <c r="AP47" s="45"/>
      <c r="AQ47" s="46"/>
      <c r="AS47" s="193"/>
      <c r="AT47" s="425"/>
      <c r="AU47" s="425"/>
      <c r="AV47" s="426"/>
      <c r="AW47" s="425"/>
      <c r="AX47" s="193"/>
      <c r="AY47" s="193"/>
      <c r="AZ47" s="193"/>
      <c r="BA47" s="193"/>
      <c r="BB47" s="193"/>
      <c r="BC47" s="193"/>
      <c r="BD47" s="193"/>
      <c r="BE47" s="193"/>
      <c r="BF47" s="193"/>
      <c r="BG47" s="193"/>
      <c r="BH47" s="193"/>
      <c r="BI47" s="193"/>
      <c r="BJ47" s="193"/>
      <c r="BK47" s="193"/>
      <c r="BL47" s="193"/>
      <c r="BM47" s="193"/>
      <c r="BN47" s="193"/>
      <c r="BO47" s="193"/>
      <c r="BP47" s="193"/>
      <c r="BQ47" s="193"/>
      <c r="BR47" s="193"/>
      <c r="BS47" s="193"/>
      <c r="BT47" s="193"/>
      <c r="BU47" s="193"/>
      <c r="BV47" s="193"/>
      <c r="BW47" s="193"/>
      <c r="BX47" s="193"/>
      <c r="BY47" s="193"/>
      <c r="BZ47" s="193"/>
      <c r="CA47" s="193"/>
      <c r="CB47" s="193"/>
      <c r="CC47" s="193"/>
      <c r="CD47" s="193"/>
      <c r="CE47" s="193"/>
      <c r="CF47" s="193"/>
      <c r="CG47" s="193"/>
      <c r="CH47" s="193"/>
      <c r="CI47" s="193"/>
      <c r="CJ47" s="193"/>
      <c r="CK47" s="193"/>
      <c r="CL47" s="804"/>
      <c r="CM47" s="804"/>
      <c r="CN47" s="804"/>
      <c r="CO47" s="804"/>
      <c r="CP47" s="804"/>
      <c r="CQ47" s="804"/>
      <c r="CR47" s="804"/>
      <c r="CS47" s="804"/>
      <c r="CT47" s="193"/>
      <c r="CU47" s="193"/>
      <c r="CV47" s="193"/>
      <c r="CW47" s="193"/>
      <c r="CX47" s="193"/>
      <c r="CY47" s="193"/>
      <c r="CZ47" s="193"/>
      <c r="DA47" s="193"/>
      <c r="DB47" s="193"/>
      <c r="DC47" s="193"/>
      <c r="DD47" s="193"/>
      <c r="DE47" s="193"/>
      <c r="DF47" s="193"/>
      <c r="DG47" s="193"/>
      <c r="DH47" s="193"/>
      <c r="DI47" s="193"/>
      <c r="DJ47" s="193"/>
      <c r="DK47" s="193"/>
      <c r="DL47" s="193"/>
      <c r="DM47" s="193"/>
      <c r="DN47" s="193"/>
      <c r="DO47" s="193"/>
      <c r="DP47" s="193"/>
      <c r="DQ47" s="193"/>
      <c r="DR47" s="193"/>
      <c r="DS47" s="193"/>
      <c r="DT47" s="193"/>
      <c r="DU47" s="193"/>
      <c r="DV47" s="193"/>
      <c r="DW47" s="193"/>
      <c r="DX47" s="193"/>
      <c r="DY47" s="193"/>
      <c r="DZ47" s="193"/>
      <c r="EA47" s="193"/>
      <c r="EB47" s="193"/>
      <c r="EC47" s="193"/>
      <c r="ED47" s="193"/>
      <c r="EE47" s="193"/>
      <c r="EF47" s="193"/>
      <c r="EG47" s="193"/>
      <c r="EH47" s="193"/>
      <c r="EI47" s="193"/>
      <c r="EJ47" s="193"/>
      <c r="EK47" s="193"/>
      <c r="EL47" s="193"/>
      <c r="EM47" s="193"/>
      <c r="EN47" s="193"/>
      <c r="EO47" s="193"/>
      <c r="EP47" s="193"/>
      <c r="EQ47" s="193"/>
      <c r="ER47" s="193"/>
      <c r="ES47" s="193"/>
      <c r="ET47" s="193"/>
      <c r="EU47" s="193"/>
      <c r="EV47" s="193"/>
      <c r="EW47" s="193"/>
      <c r="EX47" s="193"/>
      <c r="EY47" s="193"/>
      <c r="EZ47" s="193"/>
      <c r="FA47" s="193"/>
      <c r="FB47" s="193"/>
      <c r="FC47" s="193"/>
      <c r="FD47" s="193"/>
      <c r="FE47" s="193"/>
      <c r="FF47" s="193"/>
      <c r="FG47" s="193"/>
      <c r="FH47" s="193"/>
      <c r="FI47" s="193"/>
      <c r="FJ47" s="193"/>
      <c r="FK47" s="193"/>
      <c r="FL47" s="193"/>
      <c r="FM47" s="193"/>
      <c r="FN47" s="193"/>
      <c r="FO47" s="193"/>
      <c r="FP47" s="193"/>
      <c r="FQ47" s="193"/>
      <c r="FR47" s="193"/>
      <c r="FS47" s="193"/>
      <c r="FT47" s="193"/>
      <c r="FU47" s="193"/>
      <c r="FV47" s="193"/>
      <c r="FW47" s="193"/>
      <c r="FX47" s="193"/>
      <c r="FY47" s="193"/>
      <c r="FZ47" s="193"/>
      <c r="GA47" s="193"/>
      <c r="GB47" s="193"/>
      <c r="GC47" s="193"/>
      <c r="GD47" s="193"/>
      <c r="GE47" s="193"/>
      <c r="GF47" s="193"/>
      <c r="GG47" s="193"/>
      <c r="GH47" s="193"/>
      <c r="GI47" s="193"/>
      <c r="GJ47" s="193"/>
      <c r="GK47" s="193"/>
      <c r="GL47" s="193"/>
      <c r="GM47" s="193"/>
      <c r="GN47" s="193"/>
      <c r="GO47" s="193"/>
      <c r="GP47" s="193"/>
      <c r="GQ47" s="193"/>
      <c r="GR47" s="193"/>
      <c r="GS47" s="193"/>
      <c r="GT47" s="193"/>
      <c r="GU47" s="193"/>
      <c r="GV47" s="193"/>
      <c r="GW47" s="193"/>
      <c r="GX47" s="193"/>
      <c r="GY47" s="193"/>
      <c r="GZ47" s="193"/>
      <c r="HA47" s="193"/>
      <c r="HB47" s="193"/>
      <c r="HC47" s="193"/>
      <c r="HD47" s="193"/>
      <c r="HE47" s="193"/>
      <c r="HF47" s="193"/>
      <c r="HG47" s="193"/>
      <c r="HH47" s="193"/>
      <c r="HI47" s="193"/>
      <c r="HJ47" s="193"/>
      <c r="HK47" s="193"/>
      <c r="HL47" s="193"/>
      <c r="HM47" s="193"/>
      <c r="HN47" s="193"/>
      <c r="HO47" s="193"/>
      <c r="HP47" s="193"/>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193"/>
      <c r="IN47" s="193"/>
      <c r="IO47" s="193"/>
      <c r="IP47" s="193"/>
      <c r="IQ47" s="193"/>
      <c r="IR47" s="193"/>
      <c r="IS47" s="193"/>
      <c r="IT47" s="193"/>
      <c r="IU47" s="193"/>
      <c r="IV47" s="193"/>
      <c r="IW47" s="193"/>
      <c r="IX47" s="193"/>
      <c r="IY47" s="193"/>
      <c r="IZ47" s="193"/>
    </row>
    <row r="48" spans="2:260" ht="15" customHeight="1" thickBot="1" x14ac:dyDescent="0.3">
      <c r="B48" s="643"/>
      <c r="C48" s="644"/>
      <c r="D48" s="645" t="s">
        <v>215</v>
      </c>
      <c r="E48" s="662"/>
      <c r="F48" s="668"/>
      <c r="G48" s="436"/>
      <c r="H48" s="436"/>
      <c r="I48" s="436"/>
      <c r="J48" s="193"/>
      <c r="K48" s="193"/>
      <c r="L48" s="193"/>
      <c r="N48" s="79"/>
      <c r="O48" s="674">
        <v>21.06</v>
      </c>
      <c r="P48" s="184">
        <v>4</v>
      </c>
      <c r="Q48" s="491"/>
      <c r="R48" s="298">
        <v>3.91</v>
      </c>
      <c r="S48" s="298">
        <v>6.23</v>
      </c>
      <c r="T48" s="298">
        <v>8.56</v>
      </c>
      <c r="U48" s="298">
        <v>10.88</v>
      </c>
      <c r="V48" s="298">
        <v>13.2</v>
      </c>
      <c r="W48" s="298">
        <v>15.53</v>
      </c>
      <c r="X48" s="298">
        <v>17.850000000000001</v>
      </c>
      <c r="Y48" s="298">
        <v>20.170000000000002</v>
      </c>
      <c r="Z48" s="298">
        <v>22.5</v>
      </c>
      <c r="AA48" s="633">
        <v>24.82</v>
      </c>
      <c r="AB48" s="633">
        <f>AA48+2.32</f>
        <v>27.14</v>
      </c>
      <c r="AC48" s="633">
        <f t="shared" ref="AC48:AI48" si="3">AB48+2.32</f>
        <v>29.46</v>
      </c>
      <c r="AD48" s="633">
        <f t="shared" si="3"/>
        <v>31.78</v>
      </c>
      <c r="AE48" s="633">
        <f t="shared" si="3"/>
        <v>34.1</v>
      </c>
      <c r="AF48" s="633">
        <f t="shared" si="3"/>
        <v>36.42</v>
      </c>
      <c r="AG48" s="633">
        <f t="shared" si="3"/>
        <v>38.74</v>
      </c>
      <c r="AH48" s="633">
        <f t="shared" si="3"/>
        <v>41.06</v>
      </c>
      <c r="AI48" s="633">
        <f t="shared" si="3"/>
        <v>43.38</v>
      </c>
      <c r="AJ48" s="633">
        <v>45.73</v>
      </c>
      <c r="AK48" s="76"/>
      <c r="AL48" s="118" t="e">
        <f>C45</f>
        <v>#VALUE!</v>
      </c>
      <c r="AM48" s="118" t="e">
        <f>INDEX(P46:AJ65,MATCH(AL48,O46:O61,0),D51)</f>
        <v>#VALUE!</v>
      </c>
      <c r="AN48" s="118" t="e">
        <f>(((AN47-AM47)/(AO47-AM47))*(AO48-AM48))+AM48</f>
        <v>#VALUE!</v>
      </c>
      <c r="AO48" s="118" t="e">
        <f>INDEX(P46:AJ65,MATCH(AL48,O46:O61,0),E51)</f>
        <v>#VALUE!</v>
      </c>
      <c r="AP48" s="45"/>
      <c r="AQ48" s="46"/>
      <c r="AS48" s="193"/>
      <c r="AT48" s="425"/>
      <c r="AU48" s="426"/>
      <c r="AV48" s="426"/>
      <c r="AW48" s="426"/>
      <c r="AX48" s="193"/>
      <c r="AY48" s="193"/>
      <c r="AZ48" s="193"/>
      <c r="BA48" s="193"/>
      <c r="BB48" s="193"/>
      <c r="BC48" s="193"/>
      <c r="BD48" s="193"/>
      <c r="BE48" s="193"/>
      <c r="BF48" s="193"/>
      <c r="BG48" s="193"/>
      <c r="BH48" s="193"/>
      <c r="BI48" s="193"/>
      <c r="BJ48" s="193"/>
      <c r="BK48" s="193"/>
      <c r="BL48" s="193"/>
      <c r="BM48" s="193"/>
      <c r="BN48" s="193"/>
      <c r="BO48" s="193"/>
      <c r="BP48" s="193"/>
      <c r="BQ48" s="193"/>
      <c r="BR48" s="193"/>
      <c r="BS48" s="193"/>
      <c r="BT48" s="193"/>
      <c r="BU48" s="193"/>
      <c r="BV48" s="193"/>
      <c r="BW48" s="193"/>
      <c r="BX48" s="193"/>
      <c r="BY48" s="193"/>
      <c r="BZ48" s="193"/>
      <c r="CA48" s="193"/>
      <c r="CB48" s="193"/>
      <c r="CC48" s="193"/>
      <c r="CD48" s="193"/>
      <c r="CE48" s="193"/>
      <c r="CF48" s="193"/>
      <c r="CG48" s="193"/>
      <c r="CH48" s="193"/>
      <c r="CI48" s="193"/>
      <c r="CJ48" s="193"/>
      <c r="CK48" s="193"/>
      <c r="CL48" s="193"/>
      <c r="CM48" s="193"/>
      <c r="CN48" s="193"/>
      <c r="CO48" s="193"/>
      <c r="CP48" s="193"/>
      <c r="CQ48" s="193"/>
      <c r="CR48" s="193"/>
      <c r="CS48" s="193"/>
      <c r="CT48" s="193"/>
      <c r="CU48" s="193"/>
      <c r="CV48" s="193"/>
      <c r="CW48" s="193"/>
      <c r="CX48" s="193"/>
      <c r="CY48" s="193"/>
      <c r="CZ48" s="193"/>
      <c r="DA48" s="193"/>
      <c r="DB48" s="193"/>
      <c r="DC48" s="193"/>
      <c r="DD48" s="193"/>
      <c r="DE48" s="193"/>
      <c r="DF48" s="193"/>
      <c r="DG48" s="193"/>
      <c r="DH48" s="193"/>
      <c r="DI48" s="193"/>
      <c r="DJ48" s="193"/>
      <c r="DK48" s="193"/>
      <c r="DL48" s="193"/>
      <c r="DM48" s="193"/>
      <c r="DN48" s="193"/>
      <c r="DO48" s="193"/>
      <c r="DP48" s="193"/>
      <c r="DQ48" s="193"/>
      <c r="DR48" s="193"/>
      <c r="DS48" s="193"/>
      <c r="DT48" s="193"/>
      <c r="DU48" s="193"/>
      <c r="DV48" s="193"/>
      <c r="DW48" s="193"/>
      <c r="DX48" s="193"/>
      <c r="DY48" s="193"/>
      <c r="DZ48" s="193"/>
      <c r="EA48" s="193"/>
      <c r="EB48" s="193"/>
      <c r="EC48" s="193"/>
      <c r="ED48" s="193"/>
      <c r="EE48" s="193"/>
      <c r="EF48" s="193"/>
      <c r="EG48" s="193"/>
      <c r="EH48" s="193"/>
      <c r="EI48" s="193"/>
      <c r="EJ48" s="193"/>
      <c r="EK48" s="193"/>
      <c r="EL48" s="193"/>
      <c r="EM48" s="193"/>
      <c r="EN48" s="193"/>
      <c r="EO48" s="193"/>
      <c r="EP48" s="193"/>
      <c r="EQ48" s="193"/>
      <c r="ER48" s="193"/>
      <c r="ES48" s="193"/>
      <c r="ET48" s="193"/>
      <c r="EU48" s="193"/>
      <c r="EV48" s="193"/>
      <c r="EW48" s="193"/>
      <c r="EX48" s="193"/>
      <c r="EY48" s="193"/>
      <c r="EZ48" s="193"/>
      <c r="FA48" s="193"/>
      <c r="FB48" s="193"/>
      <c r="FC48" s="193"/>
      <c r="FD48" s="193"/>
      <c r="FE48" s="193"/>
      <c r="FF48" s="193"/>
      <c r="FG48" s="193"/>
      <c r="FH48" s="193"/>
      <c r="FI48" s="193"/>
      <c r="FJ48" s="193"/>
      <c r="FK48" s="193"/>
      <c r="FL48" s="193"/>
      <c r="FM48" s="193"/>
      <c r="FN48" s="193"/>
      <c r="FO48" s="193"/>
      <c r="FP48" s="193"/>
      <c r="FQ48" s="193"/>
      <c r="FR48" s="193"/>
      <c r="FS48" s="193"/>
      <c r="FT48" s="193"/>
      <c r="FU48" s="193"/>
      <c r="FV48" s="193"/>
      <c r="FW48" s="193"/>
      <c r="FX48" s="193"/>
      <c r="FY48" s="193"/>
      <c r="FZ48" s="193"/>
      <c r="GA48" s="193"/>
      <c r="GB48" s="193"/>
      <c r="GC48" s="193"/>
      <c r="GD48" s="193"/>
      <c r="GE48" s="193"/>
      <c r="GF48" s="193"/>
      <c r="GG48" s="193"/>
      <c r="GH48" s="193"/>
      <c r="GI48" s="193"/>
      <c r="GJ48" s="193"/>
      <c r="GK48" s="193"/>
      <c r="GL48" s="193"/>
      <c r="GM48" s="193"/>
      <c r="GN48" s="193"/>
      <c r="GO48" s="193"/>
      <c r="GP48" s="193"/>
      <c r="GQ48" s="193"/>
      <c r="GR48" s="193"/>
      <c r="GS48" s="193"/>
      <c r="GT48" s="193"/>
      <c r="GU48" s="193"/>
      <c r="GV48" s="193"/>
      <c r="GW48" s="193"/>
      <c r="GX48" s="193"/>
      <c r="GY48" s="193"/>
      <c r="GZ48" s="193"/>
      <c r="HA48" s="193"/>
      <c r="HB48" s="193"/>
      <c r="HC48" s="193"/>
      <c r="HD48" s="193"/>
      <c r="HE48" s="193"/>
      <c r="HF48" s="193"/>
      <c r="HG48" s="193"/>
      <c r="HH48" s="193"/>
      <c r="HI48" s="193"/>
      <c r="HJ48" s="193"/>
      <c r="HK48" s="193"/>
      <c r="HL48" s="193"/>
      <c r="HM48" s="193"/>
      <c r="HN48" s="193"/>
      <c r="HO48" s="193"/>
      <c r="HP48" s="193"/>
      <c r="HQ48" s="193"/>
      <c r="HR48" s="193"/>
      <c r="HS48" s="193"/>
      <c r="HT48" s="193"/>
      <c r="HU48" s="193"/>
      <c r="HV48" s="193"/>
      <c r="HW48" s="193"/>
      <c r="HX48" s="193"/>
      <c r="HY48" s="193"/>
      <c r="HZ48" s="193"/>
      <c r="IA48" s="193"/>
      <c r="IB48" s="193"/>
      <c r="IC48" s="193"/>
      <c r="ID48" s="193"/>
      <c r="IE48" s="193"/>
      <c r="IF48" s="193"/>
      <c r="IG48" s="193"/>
      <c r="IH48" s="193"/>
      <c r="II48" s="193"/>
      <c r="IJ48" s="193"/>
      <c r="IK48" s="193"/>
      <c r="IL48" s="193"/>
      <c r="IM48" s="193"/>
      <c r="IN48" s="193"/>
      <c r="IO48" s="193"/>
      <c r="IP48" s="193"/>
      <c r="IQ48" s="193"/>
      <c r="IR48" s="193"/>
      <c r="IS48" s="193"/>
      <c r="IT48" s="193"/>
      <c r="IU48" s="193"/>
      <c r="IV48" s="193"/>
      <c r="IW48" s="193"/>
      <c r="IX48" s="193"/>
      <c r="IY48" s="193"/>
      <c r="IZ48" s="193"/>
    </row>
    <row r="49" spans="1:59" ht="16.5" thickBot="1" x14ac:dyDescent="0.3">
      <c r="B49" s="643"/>
      <c r="C49" s="646"/>
      <c r="D49" s="647" t="s">
        <v>64</v>
      </c>
      <c r="E49" s="663" t="s">
        <v>65</v>
      </c>
      <c r="F49" s="668"/>
      <c r="G49" s="436"/>
      <c r="H49" s="436"/>
      <c r="I49" s="436"/>
      <c r="J49" s="193"/>
      <c r="K49" s="193"/>
      <c r="L49" s="193"/>
      <c r="N49" s="79"/>
      <c r="O49" s="674">
        <v>25.06</v>
      </c>
      <c r="P49" s="184">
        <v>5</v>
      </c>
      <c r="Q49" s="491"/>
      <c r="R49" s="630">
        <v>4.54</v>
      </c>
      <c r="S49" s="630">
        <v>7.18</v>
      </c>
      <c r="T49" s="630">
        <v>9.82</v>
      </c>
      <c r="U49" s="630">
        <f>T49+2.64</f>
        <v>12.46</v>
      </c>
      <c r="V49" s="630">
        <f t="shared" ref="V49:AJ49" si="4">U49+2.64</f>
        <v>15.100000000000001</v>
      </c>
      <c r="W49" s="630">
        <f t="shared" si="4"/>
        <v>17.740000000000002</v>
      </c>
      <c r="X49" s="630">
        <f t="shared" si="4"/>
        <v>20.380000000000003</v>
      </c>
      <c r="Y49" s="630">
        <f t="shared" si="4"/>
        <v>23.020000000000003</v>
      </c>
      <c r="Z49" s="630">
        <f t="shared" si="4"/>
        <v>25.660000000000004</v>
      </c>
      <c r="AA49" s="630">
        <f t="shared" si="4"/>
        <v>28.300000000000004</v>
      </c>
      <c r="AB49" s="630">
        <f t="shared" si="4"/>
        <v>30.940000000000005</v>
      </c>
      <c r="AC49" s="630">
        <f t="shared" si="4"/>
        <v>33.580000000000005</v>
      </c>
      <c r="AD49" s="630">
        <f t="shared" si="4"/>
        <v>36.220000000000006</v>
      </c>
      <c r="AE49" s="630">
        <f t="shared" si="4"/>
        <v>38.860000000000007</v>
      </c>
      <c r="AF49" s="630">
        <f t="shared" si="4"/>
        <v>41.500000000000007</v>
      </c>
      <c r="AG49" s="630">
        <f t="shared" si="4"/>
        <v>44.140000000000008</v>
      </c>
      <c r="AH49" s="630">
        <f t="shared" si="4"/>
        <v>46.780000000000008</v>
      </c>
      <c r="AI49" s="630">
        <f t="shared" si="4"/>
        <v>49.420000000000009</v>
      </c>
      <c r="AJ49" s="630">
        <f t="shared" si="4"/>
        <v>52.060000000000009</v>
      </c>
      <c r="AK49" s="45"/>
      <c r="AL49" s="413"/>
      <c r="AM49" s="118"/>
      <c r="AN49" s="119"/>
      <c r="AO49" s="118"/>
      <c r="AP49" s="45"/>
      <c r="AQ49" s="46"/>
      <c r="AS49" s="193"/>
      <c r="AT49" s="427"/>
      <c r="AU49" s="426"/>
      <c r="AV49" s="428"/>
      <c r="AW49" s="426"/>
      <c r="AX49" s="193"/>
      <c r="AY49" s="193"/>
    </row>
    <row r="50" spans="1:59" ht="16.5" thickBot="1" x14ac:dyDescent="0.3">
      <c r="B50" s="643"/>
      <c r="C50" s="648"/>
      <c r="D50" s="649" t="e">
        <f>IF(AND(C44&lt;18,C44&gt;=H3),12,FLOOR(C44/6,1)*6)</f>
        <v>#VALUE!</v>
      </c>
      <c r="E50" s="664" t="e">
        <f>IF(D50&lt;12,12,D50+6)</f>
        <v>#VALUE!</v>
      </c>
      <c r="F50" s="668"/>
      <c r="G50" s="436"/>
      <c r="H50" s="436"/>
      <c r="I50" s="436"/>
      <c r="J50" s="193"/>
      <c r="K50" s="193"/>
      <c r="L50" s="193"/>
      <c r="N50" s="79"/>
      <c r="O50" s="674">
        <v>29.06</v>
      </c>
      <c r="P50" s="184">
        <v>6</v>
      </c>
      <c r="Q50" s="491"/>
      <c r="R50" s="298">
        <v>5.17</v>
      </c>
      <c r="S50" s="298">
        <v>8.1300000000000008</v>
      </c>
      <c r="T50" s="298">
        <v>11.08</v>
      </c>
      <c r="U50" s="298">
        <v>14.04</v>
      </c>
      <c r="V50" s="298">
        <v>16.989999999999998</v>
      </c>
      <c r="W50" s="298">
        <v>19.95</v>
      </c>
      <c r="X50" s="298">
        <v>22.9</v>
      </c>
      <c r="Y50" s="298">
        <v>25.86</v>
      </c>
      <c r="Z50" s="298">
        <v>28.81</v>
      </c>
      <c r="AA50" s="633">
        <v>31.77</v>
      </c>
      <c r="AB50" s="633">
        <f>AA50+2.95</f>
        <v>34.72</v>
      </c>
      <c r="AC50" s="633">
        <f t="shared" ref="AC50:AI50" si="5">AB50+2.95</f>
        <v>37.67</v>
      </c>
      <c r="AD50" s="633">
        <f t="shared" si="5"/>
        <v>40.620000000000005</v>
      </c>
      <c r="AE50" s="633">
        <f t="shared" si="5"/>
        <v>43.570000000000007</v>
      </c>
      <c r="AF50" s="633">
        <f t="shared" si="5"/>
        <v>46.52000000000001</v>
      </c>
      <c r="AG50" s="633">
        <f t="shared" si="5"/>
        <v>49.470000000000013</v>
      </c>
      <c r="AH50" s="633">
        <f t="shared" si="5"/>
        <v>52.420000000000016</v>
      </c>
      <c r="AI50" s="633">
        <f t="shared" si="5"/>
        <v>55.370000000000019</v>
      </c>
      <c r="AJ50" s="633">
        <v>58.36</v>
      </c>
      <c r="AK50" s="45"/>
      <c r="AL50" s="117"/>
      <c r="AM50" s="118"/>
      <c r="AN50" s="118"/>
      <c r="AO50" s="118"/>
      <c r="AP50" s="45"/>
      <c r="AQ50" s="46"/>
      <c r="AS50" s="193"/>
      <c r="AT50" s="425"/>
      <c r="AU50" s="426"/>
      <c r="AV50" s="426"/>
      <c r="AW50" s="426"/>
      <c r="AX50" s="193"/>
      <c r="AY50" s="193"/>
    </row>
    <row r="51" spans="1:59" ht="15.75" thickBot="1" x14ac:dyDescent="0.3">
      <c r="B51" s="643"/>
      <c r="C51" s="648" t="s">
        <v>34</v>
      </c>
      <c r="D51" s="649" t="e">
        <f>HLOOKUP(D50,P44:AJ45,2)</f>
        <v>#VALUE!</v>
      </c>
      <c r="E51" s="664" t="e">
        <f>HLOOKUP(E50,P44:AJ45,2)</f>
        <v>#VALUE!</v>
      </c>
      <c r="F51" s="668"/>
      <c r="G51" s="436"/>
      <c r="H51" s="436"/>
      <c r="I51" s="436"/>
      <c r="J51" s="193"/>
      <c r="K51" s="193"/>
      <c r="L51" s="193"/>
      <c r="N51" s="79"/>
      <c r="O51" s="674">
        <v>33.06</v>
      </c>
      <c r="P51" s="184">
        <v>7</v>
      </c>
      <c r="Q51" s="491"/>
      <c r="R51" s="298">
        <v>5.8</v>
      </c>
      <c r="S51" s="298">
        <v>9.07</v>
      </c>
      <c r="T51" s="298">
        <v>12.34</v>
      </c>
      <c r="U51" s="298">
        <v>15.61</v>
      </c>
      <c r="V51" s="298">
        <v>18.88</v>
      </c>
      <c r="W51" s="298">
        <v>22.16</v>
      </c>
      <c r="X51" s="298">
        <v>25.43</v>
      </c>
      <c r="Y51" s="298">
        <v>28.7</v>
      </c>
      <c r="Z51" s="298">
        <v>31.97</v>
      </c>
      <c r="AA51" s="633">
        <v>35.24</v>
      </c>
      <c r="AB51" s="630">
        <f>AA51+3.27</f>
        <v>38.510000000000005</v>
      </c>
      <c r="AC51" s="630">
        <f t="shared" ref="AC51:AJ51" si="6">AB51+3.27</f>
        <v>41.780000000000008</v>
      </c>
      <c r="AD51" s="630">
        <f t="shared" si="6"/>
        <v>45.050000000000011</v>
      </c>
      <c r="AE51" s="630">
        <f t="shared" si="6"/>
        <v>48.320000000000014</v>
      </c>
      <c r="AF51" s="630">
        <f t="shared" si="6"/>
        <v>51.590000000000018</v>
      </c>
      <c r="AG51" s="630">
        <f t="shared" si="6"/>
        <v>54.860000000000021</v>
      </c>
      <c r="AH51" s="630">
        <f t="shared" si="6"/>
        <v>58.130000000000024</v>
      </c>
      <c r="AI51" s="630">
        <f t="shared" si="6"/>
        <v>61.400000000000027</v>
      </c>
      <c r="AJ51" s="630">
        <f t="shared" si="6"/>
        <v>64.67000000000003</v>
      </c>
      <c r="AK51" s="45"/>
      <c r="AL51" s="45"/>
      <c r="AM51" s="45"/>
      <c r="AN51" s="45"/>
      <c r="AO51" s="45"/>
      <c r="AP51" s="45"/>
      <c r="AQ51" s="46"/>
      <c r="AS51" s="193"/>
      <c r="AT51" s="193"/>
      <c r="AU51" s="193"/>
      <c r="AV51" s="193"/>
      <c r="AW51" s="193"/>
      <c r="AX51" s="193"/>
      <c r="AY51" s="193"/>
    </row>
    <row r="52" spans="1:59" ht="16.5" thickBot="1" x14ac:dyDescent="0.3">
      <c r="B52" s="643"/>
      <c r="C52" s="650"/>
      <c r="D52" s="651"/>
      <c r="E52" s="665"/>
      <c r="F52" s="668"/>
      <c r="G52" s="436"/>
      <c r="H52" s="436"/>
      <c r="I52" s="436"/>
      <c r="J52" s="193"/>
      <c r="K52" s="193"/>
      <c r="L52" s="193"/>
      <c r="N52" s="79"/>
      <c r="O52" s="674">
        <v>37.06</v>
      </c>
      <c r="P52" s="184">
        <v>8</v>
      </c>
      <c r="Q52" s="491"/>
      <c r="R52" s="630">
        <v>6.43</v>
      </c>
      <c r="S52" s="630">
        <v>10.02</v>
      </c>
      <c r="T52" s="630">
        <v>13.61</v>
      </c>
      <c r="U52" s="630">
        <f>T52+3.59</f>
        <v>17.2</v>
      </c>
      <c r="V52" s="630">
        <f t="shared" ref="V52:AA52" si="7">U52+3.59</f>
        <v>20.79</v>
      </c>
      <c r="W52" s="630">
        <f t="shared" si="7"/>
        <v>24.38</v>
      </c>
      <c r="X52" s="630">
        <f t="shared" si="7"/>
        <v>27.97</v>
      </c>
      <c r="Y52" s="630">
        <f t="shared" si="7"/>
        <v>31.56</v>
      </c>
      <c r="Z52" s="630">
        <f t="shared" si="7"/>
        <v>35.15</v>
      </c>
      <c r="AA52" s="630">
        <f t="shared" si="7"/>
        <v>38.739999999999995</v>
      </c>
      <c r="AB52" s="633">
        <f>AA52+3.59</f>
        <v>42.33</v>
      </c>
      <c r="AC52" s="633">
        <f t="shared" ref="AC52:AJ52" si="8">AB52+3.59</f>
        <v>45.92</v>
      </c>
      <c r="AD52" s="633">
        <f t="shared" si="8"/>
        <v>49.510000000000005</v>
      </c>
      <c r="AE52" s="633">
        <f t="shared" si="8"/>
        <v>53.100000000000009</v>
      </c>
      <c r="AF52" s="633">
        <f t="shared" si="8"/>
        <v>56.690000000000012</v>
      </c>
      <c r="AG52" s="633">
        <f t="shared" si="8"/>
        <v>60.280000000000015</v>
      </c>
      <c r="AH52" s="633">
        <f t="shared" si="8"/>
        <v>63.870000000000019</v>
      </c>
      <c r="AI52" s="633">
        <f t="shared" si="8"/>
        <v>67.460000000000022</v>
      </c>
      <c r="AJ52" s="633">
        <f t="shared" si="8"/>
        <v>71.050000000000026</v>
      </c>
      <c r="AK52" s="45"/>
      <c r="AL52" s="117"/>
      <c r="AM52" s="117" t="e">
        <f>D62</f>
        <v>#VALUE!</v>
      </c>
      <c r="AN52" s="118" t="e">
        <f>C56</f>
        <v>#VALUE!</v>
      </c>
      <c r="AO52" s="117" t="e">
        <f>E62</f>
        <v>#VALUE!</v>
      </c>
      <c r="AP52" s="45"/>
      <c r="AQ52" s="46"/>
      <c r="AS52" s="193"/>
      <c r="AT52" s="425"/>
      <c r="AU52" s="425"/>
      <c r="AV52" s="426"/>
      <c r="AW52" s="425"/>
      <c r="AX52" s="193"/>
      <c r="AY52" s="193"/>
    </row>
    <row r="53" spans="1:59" ht="16.5" thickBot="1" x14ac:dyDescent="0.3">
      <c r="A53" s="71"/>
      <c r="B53" s="643"/>
      <c r="C53" s="471"/>
      <c r="D53" s="471"/>
      <c r="E53" s="666"/>
      <c r="F53" s="169"/>
      <c r="G53" s="193"/>
      <c r="H53" s="193"/>
      <c r="I53" s="193"/>
      <c r="J53" s="193"/>
      <c r="K53" s="193"/>
      <c r="L53" s="193"/>
      <c r="N53" s="79"/>
      <c r="O53" s="674">
        <v>41.06</v>
      </c>
      <c r="P53" s="184">
        <v>9</v>
      </c>
      <c r="Q53" s="491"/>
      <c r="R53" s="298">
        <v>7.06</v>
      </c>
      <c r="S53" s="298">
        <v>10.97</v>
      </c>
      <c r="T53" s="298">
        <v>14.87</v>
      </c>
      <c r="U53" s="298">
        <v>18.77</v>
      </c>
      <c r="V53" s="298">
        <v>22.67</v>
      </c>
      <c r="W53" s="298">
        <v>26.57</v>
      </c>
      <c r="X53" s="298">
        <v>30.48</v>
      </c>
      <c r="Y53" s="298">
        <v>34.380000000000003</v>
      </c>
      <c r="Z53" s="298">
        <v>38.28</v>
      </c>
      <c r="AA53" s="633">
        <v>42.18</v>
      </c>
      <c r="AB53" s="633">
        <f>AA53+3.9</f>
        <v>46.08</v>
      </c>
      <c r="AC53" s="633">
        <f t="shared" ref="AC53:AJ53" si="9">AB53+3.9</f>
        <v>49.98</v>
      </c>
      <c r="AD53" s="633">
        <f t="shared" si="9"/>
        <v>53.879999999999995</v>
      </c>
      <c r="AE53" s="633">
        <f t="shared" si="9"/>
        <v>57.779999999999994</v>
      </c>
      <c r="AF53" s="633">
        <f t="shared" si="9"/>
        <v>61.679999999999993</v>
      </c>
      <c r="AG53" s="633">
        <f t="shared" si="9"/>
        <v>65.58</v>
      </c>
      <c r="AH53" s="633">
        <f t="shared" si="9"/>
        <v>69.48</v>
      </c>
      <c r="AI53" s="633">
        <f t="shared" si="9"/>
        <v>73.38000000000001</v>
      </c>
      <c r="AJ53" s="633">
        <f t="shared" si="9"/>
        <v>77.280000000000015</v>
      </c>
      <c r="AK53" s="45"/>
      <c r="AL53" s="118" t="e">
        <f>C57</f>
        <v>#VALUE!</v>
      </c>
      <c r="AM53" s="118" t="e">
        <f>INDEX(P46:AJ65,MATCH(AL53,O46:O61,0),D63)</f>
        <v>#VALUE!</v>
      </c>
      <c r="AN53" s="118" t="e">
        <f>(((AN52-AM52)/(AO52-AM52))*(AO53-AM53))+AM53</f>
        <v>#VALUE!</v>
      </c>
      <c r="AO53" s="118" t="e">
        <f>INDEX(P46:AJ65,MATCH(AL53,O46:O61,0),E63)</f>
        <v>#VALUE!</v>
      </c>
      <c r="AP53" s="45"/>
      <c r="AQ53" s="46"/>
      <c r="AS53" s="193"/>
      <c r="AT53" s="425"/>
      <c r="AU53" s="426"/>
      <c r="AV53" s="426"/>
      <c r="AW53" s="426"/>
      <c r="AX53" s="193"/>
      <c r="AY53" s="193"/>
    </row>
    <row r="54" spans="1:59" ht="21.75" thickBot="1" x14ac:dyDescent="0.4">
      <c r="B54" s="652"/>
      <c r="C54" s="471"/>
      <c r="D54" s="40"/>
      <c r="E54" s="666"/>
      <c r="F54" s="169"/>
      <c r="G54" s="193"/>
      <c r="H54" s="193"/>
      <c r="I54" s="658"/>
      <c r="J54" s="658"/>
      <c r="K54" s="658"/>
      <c r="L54" s="193"/>
      <c r="N54" s="79"/>
      <c r="O54" s="674">
        <v>45.06</v>
      </c>
      <c r="P54" s="184">
        <v>10</v>
      </c>
      <c r="Q54" s="491"/>
      <c r="R54" s="298">
        <v>7.7</v>
      </c>
      <c r="S54" s="298">
        <v>11.91</v>
      </c>
      <c r="T54" s="298">
        <v>16.13</v>
      </c>
      <c r="U54" s="298">
        <v>20.350000000000001</v>
      </c>
      <c r="V54" s="298">
        <v>24.57</v>
      </c>
      <c r="W54" s="298">
        <v>28.78</v>
      </c>
      <c r="X54" s="298">
        <v>33</v>
      </c>
      <c r="Y54" s="298">
        <v>37.22</v>
      </c>
      <c r="Z54" s="298">
        <v>41.44</v>
      </c>
      <c r="AA54" s="633">
        <v>45.65</v>
      </c>
      <c r="AB54" s="633">
        <f>AA54+4.22</f>
        <v>49.87</v>
      </c>
      <c r="AC54" s="633">
        <f t="shared" ref="AC54:AJ54" si="10">AB54+4.22</f>
        <v>54.089999999999996</v>
      </c>
      <c r="AD54" s="633">
        <f t="shared" si="10"/>
        <v>58.309999999999995</v>
      </c>
      <c r="AE54" s="633">
        <f t="shared" si="10"/>
        <v>62.529999999999994</v>
      </c>
      <c r="AF54" s="633">
        <f t="shared" si="10"/>
        <v>66.75</v>
      </c>
      <c r="AG54" s="633">
        <f t="shared" si="10"/>
        <v>70.97</v>
      </c>
      <c r="AH54" s="633">
        <f t="shared" si="10"/>
        <v>75.19</v>
      </c>
      <c r="AI54" s="633">
        <f t="shared" si="10"/>
        <v>79.41</v>
      </c>
      <c r="AJ54" s="633">
        <f t="shared" si="10"/>
        <v>83.63</v>
      </c>
      <c r="AK54" s="45"/>
      <c r="AL54" s="413"/>
      <c r="AM54" s="118"/>
      <c r="AN54" s="119"/>
      <c r="AO54" s="118"/>
      <c r="AP54" s="45"/>
      <c r="AQ54" s="46"/>
      <c r="AS54" s="193"/>
      <c r="AT54" s="427"/>
      <c r="AU54" s="426"/>
      <c r="AV54" s="428"/>
      <c r="AW54" s="426"/>
      <c r="AX54" s="193"/>
      <c r="AY54" s="193"/>
    </row>
    <row r="55" spans="1:59" ht="19.5" thickBot="1" x14ac:dyDescent="0.35">
      <c r="B55" s="643"/>
      <c r="C55" s="471"/>
      <c r="D55" s="653"/>
      <c r="E55" s="667"/>
      <c r="F55" s="669"/>
      <c r="G55" s="425"/>
      <c r="H55" s="193"/>
      <c r="I55" s="658"/>
      <c r="J55" s="658"/>
      <c r="K55" s="658"/>
      <c r="L55" s="193"/>
      <c r="N55" s="79"/>
      <c r="O55" s="674">
        <v>49.06</v>
      </c>
      <c r="P55" s="184">
        <v>11</v>
      </c>
      <c r="Q55" s="491"/>
      <c r="R55" s="630">
        <v>8.33</v>
      </c>
      <c r="S55" s="630">
        <v>12.86</v>
      </c>
      <c r="T55" s="630">
        <v>17.39</v>
      </c>
      <c r="U55" s="630">
        <f>T55+4.53</f>
        <v>21.92</v>
      </c>
      <c r="V55" s="630">
        <f t="shared" ref="V55:AJ55" si="11">U55+4.53</f>
        <v>26.450000000000003</v>
      </c>
      <c r="W55" s="630">
        <f t="shared" si="11"/>
        <v>30.980000000000004</v>
      </c>
      <c r="X55" s="630">
        <f t="shared" si="11"/>
        <v>35.510000000000005</v>
      </c>
      <c r="Y55" s="630">
        <f t="shared" si="11"/>
        <v>40.040000000000006</v>
      </c>
      <c r="Z55" s="630">
        <f t="shared" si="11"/>
        <v>44.570000000000007</v>
      </c>
      <c r="AA55" s="630">
        <f t="shared" si="11"/>
        <v>49.100000000000009</v>
      </c>
      <c r="AB55" s="630">
        <f t="shared" si="11"/>
        <v>53.63000000000001</v>
      </c>
      <c r="AC55" s="630">
        <f t="shared" si="11"/>
        <v>58.160000000000011</v>
      </c>
      <c r="AD55" s="630">
        <f t="shared" si="11"/>
        <v>62.690000000000012</v>
      </c>
      <c r="AE55" s="630">
        <f t="shared" si="11"/>
        <v>67.220000000000013</v>
      </c>
      <c r="AF55" s="630">
        <f t="shared" si="11"/>
        <v>71.750000000000014</v>
      </c>
      <c r="AG55" s="630">
        <f t="shared" si="11"/>
        <v>76.280000000000015</v>
      </c>
      <c r="AH55" s="630">
        <f t="shared" si="11"/>
        <v>80.810000000000016</v>
      </c>
      <c r="AI55" s="630">
        <f t="shared" si="11"/>
        <v>85.340000000000018</v>
      </c>
      <c r="AJ55" s="630">
        <f t="shared" si="11"/>
        <v>89.870000000000019</v>
      </c>
      <c r="AK55" s="45"/>
      <c r="AL55" s="117"/>
      <c r="AM55" s="118"/>
      <c r="AN55" s="118"/>
      <c r="AO55" s="118"/>
      <c r="AP55" s="185"/>
      <c r="AQ55" s="46"/>
      <c r="AS55" s="193"/>
      <c r="AT55" s="425"/>
      <c r="AU55" s="426"/>
      <c r="AV55" s="426"/>
      <c r="AW55" s="426"/>
      <c r="AX55" s="193"/>
      <c r="AY55" s="193"/>
    </row>
    <row r="56" spans="1:59" ht="19.5" thickBot="1" x14ac:dyDescent="0.35">
      <c r="B56" s="639" t="s">
        <v>38</v>
      </c>
      <c r="C56" s="640" t="e">
        <f>C4+5.963+2.137</f>
        <v>#VALUE!</v>
      </c>
      <c r="D56" s="471"/>
      <c r="E56" s="666"/>
      <c r="F56" s="169"/>
      <c r="G56" s="656"/>
      <c r="H56" s="193"/>
      <c r="I56" s="658"/>
      <c r="J56" s="658"/>
      <c r="K56" s="658"/>
      <c r="L56" s="193"/>
      <c r="N56" s="79"/>
      <c r="O56" s="674">
        <v>53.06</v>
      </c>
      <c r="P56" s="184">
        <v>12</v>
      </c>
      <c r="Q56" s="491"/>
      <c r="R56" s="298">
        <v>8.9600000000000009</v>
      </c>
      <c r="S56" s="298">
        <v>13.81</v>
      </c>
      <c r="T56" s="298">
        <v>18.66</v>
      </c>
      <c r="U56" s="298">
        <v>23.51</v>
      </c>
      <c r="V56" s="298">
        <v>28.35</v>
      </c>
      <c r="W56" s="298">
        <v>33.200000000000003</v>
      </c>
      <c r="X56" s="298">
        <v>38.049999999999997</v>
      </c>
      <c r="Y56" s="298">
        <v>42.9</v>
      </c>
      <c r="Z56" s="298">
        <v>47.75</v>
      </c>
      <c r="AA56" s="633">
        <v>52.6</v>
      </c>
      <c r="AB56" s="633">
        <f>AA56+4.85</f>
        <v>57.45</v>
      </c>
      <c r="AC56" s="633">
        <f t="shared" ref="AC56:AJ56" si="12">AB56+4.85</f>
        <v>62.300000000000004</v>
      </c>
      <c r="AD56" s="633">
        <f t="shared" si="12"/>
        <v>67.150000000000006</v>
      </c>
      <c r="AE56" s="633">
        <f t="shared" si="12"/>
        <v>72</v>
      </c>
      <c r="AF56" s="633">
        <f t="shared" si="12"/>
        <v>76.849999999999994</v>
      </c>
      <c r="AG56" s="633">
        <f t="shared" si="12"/>
        <v>81.699999999999989</v>
      </c>
      <c r="AH56" s="633">
        <f t="shared" si="12"/>
        <v>86.549999999999983</v>
      </c>
      <c r="AI56" s="633">
        <f t="shared" si="12"/>
        <v>91.399999999999977</v>
      </c>
      <c r="AJ56" s="633">
        <f t="shared" si="12"/>
        <v>96.249999999999972</v>
      </c>
      <c r="AK56" s="45"/>
      <c r="AL56" s="327"/>
      <c r="AM56" s="327"/>
      <c r="AN56" s="327"/>
      <c r="AO56" s="327"/>
      <c r="AP56" s="327"/>
      <c r="AQ56" s="46"/>
      <c r="AS56" s="193"/>
      <c r="AT56" s="632"/>
      <c r="AU56" s="632"/>
      <c r="AV56" s="632"/>
      <c r="AW56" s="632"/>
      <c r="AX56" s="632"/>
      <c r="AY56" s="193"/>
    </row>
    <row r="57" spans="1:59" ht="19.5" thickBot="1" x14ac:dyDescent="0.35">
      <c r="B57" s="639" t="s">
        <v>39</v>
      </c>
      <c r="C57" s="906" t="e">
        <f>VALUE(FIXED(C5,2))</f>
        <v>#VALUE!</v>
      </c>
      <c r="D57" s="40"/>
      <c r="E57" s="666"/>
      <c r="F57" s="169"/>
      <c r="G57" s="656"/>
      <c r="H57" s="193"/>
      <c r="I57" s="658"/>
      <c r="J57" s="658"/>
      <c r="K57" s="658"/>
      <c r="L57" s="193"/>
      <c r="N57" s="79"/>
      <c r="O57" s="674">
        <v>57.06</v>
      </c>
      <c r="P57" s="184">
        <v>13</v>
      </c>
      <c r="Q57" s="491"/>
      <c r="R57" s="298">
        <v>9.59</v>
      </c>
      <c r="S57" s="298">
        <v>14.76</v>
      </c>
      <c r="T57" s="298">
        <v>19.920000000000002</v>
      </c>
      <c r="U57" s="298">
        <v>25.08</v>
      </c>
      <c r="V57" s="298">
        <v>30.25</v>
      </c>
      <c r="W57" s="298">
        <v>35.409999999999997</v>
      </c>
      <c r="X57" s="298">
        <v>40.58</v>
      </c>
      <c r="Y57" s="298">
        <v>45.74</v>
      </c>
      <c r="Z57" s="298">
        <v>50.91</v>
      </c>
      <c r="AA57" s="633">
        <v>56.07</v>
      </c>
      <c r="AB57" s="633">
        <f>AA57+5.17</f>
        <v>61.24</v>
      </c>
      <c r="AC57" s="633">
        <f t="shared" ref="AC57:AI57" si="13">AB57+5.17</f>
        <v>66.41</v>
      </c>
      <c r="AD57" s="633">
        <f t="shared" si="13"/>
        <v>71.58</v>
      </c>
      <c r="AE57" s="633">
        <f t="shared" si="13"/>
        <v>76.75</v>
      </c>
      <c r="AF57" s="633">
        <f t="shared" si="13"/>
        <v>81.92</v>
      </c>
      <c r="AG57" s="633">
        <f t="shared" si="13"/>
        <v>87.09</v>
      </c>
      <c r="AH57" s="633">
        <f t="shared" si="13"/>
        <v>92.26</v>
      </c>
      <c r="AI57" s="633">
        <f t="shared" si="13"/>
        <v>97.43</v>
      </c>
      <c r="AJ57" s="633">
        <v>102.55</v>
      </c>
      <c r="AK57" s="45"/>
      <c r="AL57" s="45"/>
      <c r="AM57" s="327"/>
      <c r="AN57" s="186"/>
      <c r="AO57" s="185"/>
      <c r="AP57" s="325"/>
      <c r="AQ57" s="46"/>
      <c r="AS57" s="193"/>
      <c r="AT57" s="193"/>
      <c r="AU57" s="632"/>
      <c r="AV57" s="430"/>
      <c r="AW57" s="193"/>
      <c r="AX57" s="429"/>
      <c r="AY57" s="193"/>
    </row>
    <row r="58" spans="1:59" ht="21.75" thickBot="1" x14ac:dyDescent="0.4">
      <c r="B58" s="642" t="s">
        <v>63</v>
      </c>
      <c r="C58" s="471"/>
      <c r="D58" s="471"/>
      <c r="E58" s="666"/>
      <c r="F58" s="169"/>
      <c r="G58" s="656"/>
      <c r="H58" s="193"/>
      <c r="I58" s="658"/>
      <c r="J58" s="658"/>
      <c r="K58" s="658"/>
      <c r="L58" s="193"/>
      <c r="N58" s="79"/>
      <c r="O58" s="674">
        <v>61.06</v>
      </c>
      <c r="P58" s="184">
        <v>14</v>
      </c>
      <c r="Q58" s="491"/>
      <c r="R58" s="633">
        <v>10.220000000000001</v>
      </c>
      <c r="S58" s="633">
        <v>15.7</v>
      </c>
      <c r="T58" s="633">
        <v>21.18</v>
      </c>
      <c r="U58" s="633">
        <f>T58+5.48</f>
        <v>26.66</v>
      </c>
      <c r="V58" s="633">
        <f t="shared" ref="V58:AI58" si="14">U58+5.48</f>
        <v>32.14</v>
      </c>
      <c r="W58" s="633">
        <f t="shared" si="14"/>
        <v>37.620000000000005</v>
      </c>
      <c r="X58" s="633">
        <f t="shared" si="14"/>
        <v>43.100000000000009</v>
      </c>
      <c r="Y58" s="633">
        <f t="shared" si="14"/>
        <v>48.580000000000013</v>
      </c>
      <c r="Z58" s="633">
        <f t="shared" si="14"/>
        <v>54.060000000000016</v>
      </c>
      <c r="AA58" s="633">
        <f t="shared" si="14"/>
        <v>59.54000000000002</v>
      </c>
      <c r="AB58" s="633">
        <f t="shared" si="14"/>
        <v>65.020000000000024</v>
      </c>
      <c r="AC58" s="633">
        <f t="shared" si="14"/>
        <v>70.500000000000028</v>
      </c>
      <c r="AD58" s="633">
        <f t="shared" si="14"/>
        <v>75.980000000000032</v>
      </c>
      <c r="AE58" s="633">
        <f t="shared" si="14"/>
        <v>81.460000000000036</v>
      </c>
      <c r="AF58" s="633">
        <f t="shared" si="14"/>
        <v>86.94000000000004</v>
      </c>
      <c r="AG58" s="633">
        <f t="shared" si="14"/>
        <v>92.420000000000044</v>
      </c>
      <c r="AH58" s="633">
        <f t="shared" si="14"/>
        <v>97.900000000000048</v>
      </c>
      <c r="AI58" s="633">
        <f t="shared" si="14"/>
        <v>103.38000000000005</v>
      </c>
      <c r="AJ58" s="633">
        <v>108.87</v>
      </c>
      <c r="AK58" s="45"/>
      <c r="AL58" s="45"/>
      <c r="AM58" s="327" t="s">
        <v>241</v>
      </c>
      <c r="AN58" s="186"/>
      <c r="AO58" s="153" t="e">
        <f>AN48</f>
        <v>#VALUE!</v>
      </c>
      <c r="AP58" s="325" t="s">
        <v>141</v>
      </c>
      <c r="AQ58" s="46"/>
      <c r="AS58" s="193"/>
      <c r="AT58" s="193"/>
      <c r="AU58" s="632"/>
      <c r="AV58" s="430"/>
      <c r="AW58" s="431"/>
      <c r="AX58" s="429"/>
      <c r="AY58" s="193"/>
    </row>
    <row r="59" spans="1:59" ht="19.5" thickBot="1" x14ac:dyDescent="0.35">
      <c r="B59" s="643"/>
      <c r="C59" s="40"/>
      <c r="D59" s="471"/>
      <c r="E59" s="666"/>
      <c r="F59" s="169"/>
      <c r="G59" s="193"/>
      <c r="H59" s="193"/>
      <c r="I59" s="658"/>
      <c r="J59" s="658"/>
      <c r="K59" s="658"/>
      <c r="L59" s="193"/>
      <c r="N59" s="79"/>
      <c r="O59" s="674">
        <v>65.06</v>
      </c>
      <c r="P59" s="184">
        <v>15</v>
      </c>
      <c r="Q59" s="491"/>
      <c r="R59" s="298">
        <v>10.85</v>
      </c>
      <c r="S59" s="298">
        <v>16.64</v>
      </c>
      <c r="T59" s="298">
        <v>22.45</v>
      </c>
      <c r="U59" s="298">
        <v>28.24</v>
      </c>
      <c r="V59" s="298">
        <v>34.04</v>
      </c>
      <c r="W59" s="298">
        <v>39.83</v>
      </c>
      <c r="X59" s="298">
        <v>45.63</v>
      </c>
      <c r="Y59" s="298">
        <v>51.43</v>
      </c>
      <c r="Z59" s="298">
        <v>57.22</v>
      </c>
      <c r="AA59" s="633">
        <v>63.02</v>
      </c>
      <c r="AB59" s="633">
        <f>AA59+5.8</f>
        <v>68.820000000000007</v>
      </c>
      <c r="AC59" s="633">
        <f t="shared" ref="AC59:AI59" si="15">AB59+5.8</f>
        <v>74.62</v>
      </c>
      <c r="AD59" s="633">
        <f t="shared" si="15"/>
        <v>80.42</v>
      </c>
      <c r="AE59" s="633">
        <f t="shared" si="15"/>
        <v>86.22</v>
      </c>
      <c r="AF59" s="633">
        <f t="shared" si="15"/>
        <v>92.02</v>
      </c>
      <c r="AG59" s="633">
        <f t="shared" si="15"/>
        <v>97.82</v>
      </c>
      <c r="AH59" s="633">
        <f t="shared" si="15"/>
        <v>103.61999999999999</v>
      </c>
      <c r="AI59" s="633">
        <f t="shared" si="15"/>
        <v>109.41999999999999</v>
      </c>
      <c r="AJ59" s="633">
        <v>115.18</v>
      </c>
      <c r="AK59" s="45"/>
      <c r="AL59" s="45"/>
      <c r="AM59" s="327" t="s">
        <v>242</v>
      </c>
      <c r="AN59" s="185"/>
      <c r="AO59" s="153" t="e">
        <f>AN53</f>
        <v>#VALUE!</v>
      </c>
      <c r="AP59" s="185" t="s">
        <v>141</v>
      </c>
      <c r="AQ59" s="77"/>
      <c r="AS59" s="193"/>
      <c r="AT59" s="193"/>
      <c r="AU59" s="632"/>
      <c r="AV59" s="193"/>
      <c r="AW59" s="431"/>
      <c r="AX59" s="193"/>
      <c r="AY59" s="193"/>
    </row>
    <row r="60" spans="1:59" ht="15.75" thickBot="1" x14ac:dyDescent="0.3">
      <c r="B60" s="643"/>
      <c r="C60" s="644"/>
      <c r="D60" s="645" t="s">
        <v>32</v>
      </c>
      <c r="E60" s="662"/>
      <c r="F60" s="668"/>
      <c r="G60" s="193"/>
      <c r="H60" s="193"/>
      <c r="I60" s="193"/>
      <c r="J60" s="193"/>
      <c r="K60" s="193"/>
      <c r="L60" s="193"/>
      <c r="N60" s="79"/>
      <c r="O60" s="674">
        <v>69.06</v>
      </c>
      <c r="P60" s="184">
        <v>16</v>
      </c>
      <c r="Q60" s="491"/>
      <c r="R60" s="298">
        <v>11.48</v>
      </c>
      <c r="S60" s="298">
        <v>17.600000000000001</v>
      </c>
      <c r="T60" s="298">
        <v>23.71</v>
      </c>
      <c r="U60" s="298">
        <v>29.82</v>
      </c>
      <c r="V60" s="298">
        <v>35.93</v>
      </c>
      <c r="W60" s="298">
        <v>42.04</v>
      </c>
      <c r="X60" s="298">
        <v>48.15</v>
      </c>
      <c r="Y60" s="298">
        <v>54.27</v>
      </c>
      <c r="Z60" s="298">
        <v>60.38</v>
      </c>
      <c r="AA60" s="633">
        <v>66.489999999999995</v>
      </c>
      <c r="AB60" s="633">
        <f>AA60+6.11</f>
        <v>72.599999999999994</v>
      </c>
      <c r="AC60" s="633">
        <f t="shared" ref="AC60:AI60" si="16">AB60+6.11</f>
        <v>78.709999999999994</v>
      </c>
      <c r="AD60" s="633">
        <f t="shared" si="16"/>
        <v>84.82</v>
      </c>
      <c r="AE60" s="633">
        <f t="shared" si="16"/>
        <v>90.929999999999993</v>
      </c>
      <c r="AF60" s="633">
        <f t="shared" si="16"/>
        <v>97.039999999999992</v>
      </c>
      <c r="AG60" s="633">
        <f t="shared" si="16"/>
        <v>103.14999999999999</v>
      </c>
      <c r="AH60" s="633">
        <f t="shared" si="16"/>
        <v>109.25999999999999</v>
      </c>
      <c r="AI60" s="633">
        <f t="shared" si="16"/>
        <v>115.36999999999999</v>
      </c>
      <c r="AJ60" s="633">
        <v>121.49</v>
      </c>
      <c r="AK60" s="45"/>
      <c r="AL60" s="45"/>
      <c r="AM60" s="45"/>
      <c r="AN60" s="45"/>
      <c r="AO60" s="45"/>
      <c r="AP60" s="45"/>
      <c r="AQ60" s="77"/>
      <c r="AS60" s="193"/>
      <c r="AT60" s="193"/>
      <c r="AU60" s="193"/>
      <c r="AV60" s="193"/>
      <c r="AW60" s="193"/>
      <c r="AX60" s="193"/>
      <c r="AY60" s="193"/>
      <c r="BG60" s="61"/>
    </row>
    <row r="61" spans="1:59" ht="15.75" thickBot="1" x14ac:dyDescent="0.3">
      <c r="B61" s="643"/>
      <c r="C61" s="646"/>
      <c r="D61" s="647" t="s">
        <v>64</v>
      </c>
      <c r="E61" s="663" t="s">
        <v>65</v>
      </c>
      <c r="F61" s="668"/>
      <c r="G61" s="193"/>
      <c r="H61" s="193"/>
      <c r="I61" s="193"/>
      <c r="J61" s="193"/>
      <c r="K61" s="193"/>
      <c r="L61" s="193"/>
      <c r="N61" s="79"/>
      <c r="O61" s="674">
        <v>73.06</v>
      </c>
      <c r="P61" s="184">
        <v>17</v>
      </c>
      <c r="Q61" s="491"/>
      <c r="R61" s="633">
        <v>12.12</v>
      </c>
      <c r="S61" s="633">
        <v>18.54</v>
      </c>
      <c r="T61" s="633">
        <v>24.97</v>
      </c>
      <c r="U61" s="633">
        <f>T61+6.43</f>
        <v>31.4</v>
      </c>
      <c r="V61" s="633">
        <f t="shared" ref="V61:AI61" si="17">U61+6.43</f>
        <v>37.83</v>
      </c>
      <c r="W61" s="633">
        <f t="shared" si="17"/>
        <v>44.26</v>
      </c>
      <c r="X61" s="633">
        <f t="shared" si="17"/>
        <v>50.69</v>
      </c>
      <c r="Y61" s="633">
        <f t="shared" si="17"/>
        <v>57.12</v>
      </c>
      <c r="Z61" s="633">
        <f t="shared" si="17"/>
        <v>63.55</v>
      </c>
      <c r="AA61" s="633">
        <v>69.959999999999994</v>
      </c>
      <c r="AB61" s="633">
        <f t="shared" si="17"/>
        <v>76.389999999999986</v>
      </c>
      <c r="AC61" s="633">
        <f t="shared" si="17"/>
        <v>82.82</v>
      </c>
      <c r="AD61" s="633">
        <f t="shared" si="17"/>
        <v>89.25</v>
      </c>
      <c r="AE61" s="633">
        <f t="shared" si="17"/>
        <v>95.68</v>
      </c>
      <c r="AF61" s="633">
        <f t="shared" si="17"/>
        <v>102.11000000000001</v>
      </c>
      <c r="AG61" s="633">
        <f t="shared" si="17"/>
        <v>108.54000000000002</v>
      </c>
      <c r="AH61" s="633">
        <f t="shared" si="17"/>
        <v>114.97000000000003</v>
      </c>
      <c r="AI61" s="633">
        <f t="shared" si="17"/>
        <v>121.40000000000003</v>
      </c>
      <c r="AJ61" s="633">
        <v>127.81</v>
      </c>
      <c r="AK61" s="45"/>
      <c r="AL61" s="45"/>
      <c r="AM61" s="45"/>
      <c r="AN61" s="45"/>
      <c r="AO61" s="45"/>
      <c r="AP61" s="45"/>
      <c r="AQ61" s="77"/>
      <c r="AS61" s="193"/>
      <c r="AT61" s="193"/>
      <c r="AU61" s="193"/>
      <c r="AV61" s="193"/>
      <c r="AW61" s="193"/>
      <c r="AX61" s="193"/>
      <c r="AY61" s="193"/>
      <c r="BG61" s="61"/>
    </row>
    <row r="62" spans="1:59" ht="15.75" thickBot="1" x14ac:dyDescent="0.3">
      <c r="A62" s="2"/>
      <c r="B62" s="643"/>
      <c r="C62" s="648"/>
      <c r="D62" s="649" t="e">
        <f>IF(AND(C56&lt;18,C56&gt;=H4),12,FLOOR(C56/6,1)*6)</f>
        <v>#VALUE!</v>
      </c>
      <c r="E62" s="664" t="e">
        <f>IF(D62&lt;12,12,D62+6)</f>
        <v>#VALUE!</v>
      </c>
      <c r="F62" s="668"/>
      <c r="G62" s="193"/>
      <c r="H62" s="193"/>
      <c r="I62" s="193"/>
      <c r="J62" s="193"/>
      <c r="K62" s="193"/>
      <c r="L62" s="193"/>
      <c r="N62" s="79"/>
      <c r="O62" s="154"/>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AS62" s="193"/>
      <c r="AT62" s="193"/>
      <c r="AU62" s="193"/>
      <c r="AV62" s="193"/>
      <c r="AW62" s="193"/>
      <c r="AX62" s="193"/>
      <c r="AY62" s="193"/>
      <c r="BG62" s="61"/>
    </row>
    <row r="63" spans="1:59" ht="15.75" thickBot="1" x14ac:dyDescent="0.3">
      <c r="A63" s="2"/>
      <c r="B63" s="643"/>
      <c r="C63" s="648" t="s">
        <v>34</v>
      </c>
      <c r="D63" s="649" t="e">
        <f>HLOOKUP(D62,P44:AJ45,2)</f>
        <v>#VALUE!</v>
      </c>
      <c r="E63" s="664" t="e">
        <f>HLOOKUP(E62,P44:AJ45,2)</f>
        <v>#VALUE!</v>
      </c>
      <c r="F63" s="668"/>
      <c r="G63" s="193"/>
      <c r="H63" s="193"/>
      <c r="I63" s="193"/>
      <c r="J63" s="193"/>
      <c r="K63" s="193"/>
      <c r="L63" s="193"/>
      <c r="N63" s="79"/>
      <c r="O63" s="124"/>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AS63" s="193"/>
      <c r="AT63" s="193"/>
      <c r="AU63" s="193"/>
      <c r="AV63" s="193"/>
      <c r="AW63" s="193"/>
      <c r="AX63" s="193"/>
      <c r="AY63" s="193"/>
      <c r="BG63" s="61"/>
    </row>
    <row r="64" spans="1:59" ht="15.75" thickBot="1" x14ac:dyDescent="0.3">
      <c r="B64" s="643"/>
      <c r="C64" s="650"/>
      <c r="D64" s="651"/>
      <c r="E64" s="665"/>
      <c r="F64" s="668"/>
      <c r="G64" s="193"/>
      <c r="H64" s="193"/>
      <c r="I64" s="193"/>
      <c r="J64" s="193"/>
      <c r="K64" s="193"/>
      <c r="L64" s="193"/>
      <c r="N64" s="79"/>
      <c r="O64" s="124"/>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15.75" thickBot="1" x14ac:dyDescent="0.3">
      <c r="B65" s="42"/>
      <c r="C65" s="43"/>
      <c r="D65" s="43"/>
      <c r="E65" s="43"/>
      <c r="F65" s="170"/>
      <c r="G65" s="193"/>
      <c r="H65" s="193"/>
      <c r="I65" s="193"/>
      <c r="J65" s="193"/>
      <c r="K65" s="193"/>
      <c r="L65" s="193"/>
      <c r="N65" s="79"/>
      <c r="O65" s="124"/>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193"/>
      <c r="C66" s="193"/>
      <c r="D66" s="193"/>
      <c r="E66" s="193"/>
      <c r="F66" s="193"/>
      <c r="G66" s="193"/>
      <c r="H66" s="193"/>
      <c r="I66" s="193"/>
      <c r="J66" s="193"/>
      <c r="K66" s="193"/>
      <c r="L66" s="193"/>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193"/>
      <c r="C67" s="436"/>
      <c r="D67" s="436"/>
      <c r="E67" s="436"/>
      <c r="F67" s="436"/>
      <c r="G67" s="436"/>
      <c r="H67" s="436"/>
      <c r="I67" s="436"/>
      <c r="J67" s="193"/>
      <c r="K67" s="193"/>
      <c r="L67" s="193"/>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193"/>
      <c r="C68" s="436"/>
      <c r="D68" s="436"/>
      <c r="E68" s="436"/>
      <c r="F68" s="436"/>
      <c r="G68" s="436"/>
      <c r="H68" s="436"/>
      <c r="I68" s="436"/>
      <c r="J68" s="193"/>
      <c r="K68" s="193"/>
      <c r="L68" s="193"/>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193"/>
      <c r="C69" s="436"/>
      <c r="D69" s="436"/>
      <c r="E69" s="436"/>
      <c r="F69" s="436"/>
      <c r="G69" s="436"/>
      <c r="H69" s="436"/>
      <c r="I69" s="436"/>
      <c r="J69" s="193"/>
      <c r="K69" s="193"/>
      <c r="L69" s="193"/>
      <c r="BG69" s="2"/>
      <c r="BH69" s="2"/>
    </row>
    <row r="70" spans="1:79" ht="24" thickBot="1" x14ac:dyDescent="0.4">
      <c r="A70" s="2"/>
      <c r="B70" s="193"/>
      <c r="C70" s="436"/>
      <c r="D70" s="436"/>
      <c r="E70" s="436"/>
      <c r="F70" s="436"/>
      <c r="G70" s="436"/>
      <c r="H70" s="436"/>
      <c r="I70" s="436"/>
      <c r="J70" s="193"/>
      <c r="K70" s="193"/>
      <c r="L70" s="193"/>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193"/>
      <c r="C71" s="436"/>
      <c r="D71" s="436"/>
      <c r="E71" s="436"/>
      <c r="F71" s="436"/>
      <c r="G71" s="436"/>
      <c r="H71" s="436"/>
      <c r="I71" s="436"/>
      <c r="J71" s="193"/>
      <c r="K71" s="193"/>
      <c r="L71" s="193"/>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193"/>
      <c r="C72" s="193"/>
      <c r="D72" s="193"/>
      <c r="E72" s="193"/>
      <c r="F72" s="193"/>
      <c r="G72" s="193"/>
      <c r="H72" s="193"/>
      <c r="I72" s="193"/>
      <c r="J72" s="193"/>
      <c r="K72" s="193"/>
      <c r="L72" s="193"/>
      <c r="N72" s="997"/>
      <c r="O72" s="423" t="s">
        <v>379</v>
      </c>
      <c r="P72" s="422"/>
      <c r="Q72" s="40"/>
      <c r="R72" s="423" t="s">
        <v>378</v>
      </c>
      <c r="S72" s="40"/>
      <c r="T72" s="40"/>
      <c r="U72" s="423" t="s">
        <v>249</v>
      </c>
      <c r="V72" s="40"/>
      <c r="W72" s="169"/>
      <c r="X72" s="193"/>
      <c r="Y72" s="41"/>
      <c r="Z72" s="496" t="s">
        <v>149</v>
      </c>
      <c r="AA72" s="40"/>
      <c r="AB72" s="40" t="e">
        <f>(AO58*2)+(AO59*2)</f>
        <v>#VALUE!</v>
      </c>
      <c r="AC72" s="40" t="s">
        <v>141</v>
      </c>
      <c r="AD72" s="40"/>
      <c r="AE72" s="40"/>
      <c r="AF72" s="40"/>
      <c r="AG72" s="40"/>
      <c r="AH72" s="40"/>
      <c r="AI72" s="40"/>
      <c r="AJ72" s="169"/>
      <c r="BF72" s="2"/>
      <c r="BG72" s="2"/>
    </row>
    <row r="73" spans="1:79" ht="21" x14ac:dyDescent="0.35">
      <c r="A73" s="2"/>
      <c r="B73" s="655"/>
      <c r="C73" s="193"/>
      <c r="D73" s="193"/>
      <c r="E73" s="193"/>
      <c r="F73" s="193"/>
      <c r="G73" s="193"/>
      <c r="H73" s="193"/>
      <c r="I73" s="193"/>
      <c r="J73" s="193"/>
      <c r="K73" s="193"/>
      <c r="L73" s="193"/>
      <c r="N73" s="872"/>
      <c r="O73" s="223" t="s">
        <v>142</v>
      </c>
      <c r="P73" s="40">
        <v>0.12740000000000001</v>
      </c>
      <c r="Q73" s="40" t="s">
        <v>139</v>
      </c>
      <c r="R73" s="40" t="s">
        <v>376</v>
      </c>
      <c r="S73" s="40">
        <f>0.14</f>
        <v>0.14000000000000001</v>
      </c>
      <c r="T73" s="40" t="s">
        <v>141</v>
      </c>
      <c r="U73" s="581" t="str">
        <f>IF(C4&gt;108.977,"GA_7.088",IF(AND(C3&lt;=108.977,C4&lt;=36.977),"OP_7.088","SE_7.088"))</f>
        <v>GA_7.088</v>
      </c>
      <c r="V73" s="583" t="e">
        <f>INDEX(MC_ROOF!J2:K10, MATCH(U73,MC_ROOF!J2:J10,0),2)</f>
        <v>#VALUE!</v>
      </c>
      <c r="W73" s="169" t="s">
        <v>141</v>
      </c>
      <c r="X73" s="193"/>
      <c r="Y73" s="41"/>
      <c r="Z73" s="496" t="s">
        <v>341</v>
      </c>
      <c r="AA73" s="40"/>
      <c r="AB73" s="415" t="e">
        <f>P76</f>
        <v>#N/A</v>
      </c>
      <c r="AC73" s="40" t="s">
        <v>141</v>
      </c>
      <c r="AD73" s="40"/>
      <c r="AE73" s="40"/>
      <c r="AF73" s="40"/>
      <c r="AG73" s="40"/>
      <c r="AH73" s="40"/>
      <c r="AI73" s="40"/>
      <c r="AJ73" s="169"/>
      <c r="BF73" s="2"/>
    </row>
    <row r="74" spans="1:79" ht="15.75" x14ac:dyDescent="0.25">
      <c r="A74" s="2"/>
      <c r="B74" s="193"/>
      <c r="C74" s="193"/>
      <c r="D74" s="425"/>
      <c r="E74" s="425"/>
      <c r="F74" s="426"/>
      <c r="G74" s="425"/>
      <c r="H74" s="193"/>
      <c r="I74" s="193"/>
      <c r="J74" s="193"/>
      <c r="K74" s="193"/>
      <c r="L74" s="193"/>
      <c r="N74" s="420"/>
      <c r="O74" s="40" t="s">
        <v>231</v>
      </c>
      <c r="P74" s="40" t="str">
        <f>C5</f>
        <v>ENTER HEIGHT</v>
      </c>
      <c r="Q74" s="40" t="s">
        <v>151</v>
      </c>
      <c r="R74" s="40" t="s">
        <v>244</v>
      </c>
      <c r="S74" s="40" t="e">
        <f>P75</f>
        <v>#N/A</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193"/>
      <c r="C75" s="193"/>
      <c r="D75" s="425"/>
      <c r="E75" s="656"/>
      <c r="F75" s="656"/>
      <c r="G75" s="656"/>
      <c r="H75" s="193"/>
      <c r="I75" s="193"/>
      <c r="J75" s="193"/>
      <c r="K75" s="193"/>
      <c r="L75" s="193"/>
      <c r="N75" s="41"/>
      <c r="O75" s="40" t="s">
        <v>336</v>
      </c>
      <c r="P75" s="40" t="e">
        <f>IF(G13=1,8,IF(G13=2,12,IF(G13=3,14,IF(G13=4,24,IF(G13=5,24,"N/A")))))</f>
        <v>#N/A</v>
      </c>
      <c r="Q75" s="40"/>
      <c r="R75" s="40"/>
      <c r="S75" s="40"/>
      <c r="T75" s="40"/>
      <c r="U75" s="40"/>
      <c r="V75" s="40"/>
      <c r="W75" s="169"/>
      <c r="X75" s="193"/>
      <c r="Y75" s="41"/>
      <c r="Z75" s="496" t="s">
        <v>342</v>
      </c>
      <c r="AA75" s="40"/>
      <c r="AB75" s="40" t="e">
        <f>S76</f>
        <v>#N/A</v>
      </c>
      <c r="AC75" s="40" t="s">
        <v>141</v>
      </c>
      <c r="AD75" s="40"/>
      <c r="AE75" s="40"/>
      <c r="AF75" s="40"/>
      <c r="AG75" s="40"/>
      <c r="AH75" s="40"/>
      <c r="AI75" s="40"/>
      <c r="AJ75" s="169"/>
    </row>
    <row r="76" spans="1:79" ht="18.75" x14ac:dyDescent="0.3">
      <c r="A76" s="2"/>
      <c r="B76" s="193"/>
      <c r="C76" s="193"/>
      <c r="D76" s="425"/>
      <c r="E76" s="656"/>
      <c r="F76" s="657"/>
      <c r="G76" s="656"/>
      <c r="H76" s="193"/>
      <c r="I76" s="658"/>
      <c r="J76" s="658"/>
      <c r="K76" s="658"/>
      <c r="L76" s="193"/>
      <c r="N76" s="41"/>
      <c r="O76" s="672" t="s">
        <v>380</v>
      </c>
      <c r="P76" s="40" t="e">
        <f>P75*(P73*P74)</f>
        <v>#N/A</v>
      </c>
      <c r="Q76" s="40" t="s">
        <v>141</v>
      </c>
      <c r="R76" s="495" t="s">
        <v>248</v>
      </c>
      <c r="S76" s="40" t="e">
        <f>S74*2*S73</f>
        <v>#N/A</v>
      </c>
      <c r="T76" s="40" t="s">
        <v>141</v>
      </c>
      <c r="U76" s="582" t="s">
        <v>249</v>
      </c>
      <c r="V76" s="583" t="e">
        <f>V73</f>
        <v>#VALUE!</v>
      </c>
      <c r="W76" s="169" t="s">
        <v>141</v>
      </c>
      <c r="X76" s="193"/>
      <c r="Y76" s="41"/>
      <c r="Z76" s="496" t="s">
        <v>254</v>
      </c>
      <c r="AA76" s="40"/>
      <c r="AB76" s="40" t="e">
        <f>S83</f>
        <v>#N/A</v>
      </c>
      <c r="AC76" s="40" t="s">
        <v>141</v>
      </c>
      <c r="AD76" s="40"/>
      <c r="AE76" s="40"/>
      <c r="AF76" s="40"/>
      <c r="AG76" s="40"/>
      <c r="AH76" s="40"/>
      <c r="AI76" s="40"/>
      <c r="AJ76" s="169"/>
      <c r="BS76" s="2"/>
      <c r="BT76" s="2"/>
      <c r="BU76" s="2"/>
      <c r="BV76" s="2"/>
      <c r="BW76" s="2"/>
      <c r="BX76" s="2"/>
      <c r="BY76" s="2"/>
      <c r="BZ76" s="2"/>
      <c r="CA76" s="2"/>
    </row>
    <row r="77" spans="1:79" ht="18.75" x14ac:dyDescent="0.3">
      <c r="B77" s="193"/>
      <c r="C77" s="193"/>
      <c r="D77" s="425"/>
      <c r="E77" s="656"/>
      <c r="F77" s="656"/>
      <c r="G77" s="656"/>
      <c r="H77" s="193"/>
      <c r="I77" s="658"/>
      <c r="J77" s="658"/>
      <c r="K77" s="658"/>
      <c r="L77" s="193"/>
      <c r="N77" s="41"/>
      <c r="O77" s="423"/>
      <c r="P77" s="40"/>
      <c r="Q77" s="40"/>
      <c r="R77" s="40"/>
      <c r="S77" s="40"/>
      <c r="T77" s="40"/>
      <c r="U77" s="40"/>
      <c r="V77" s="40"/>
      <c r="W77" s="169"/>
      <c r="X77" s="193"/>
      <c r="Y77" s="41"/>
      <c r="Z77" s="496" t="s">
        <v>249</v>
      </c>
      <c r="AA77" s="40"/>
      <c r="AB77" s="40" t="e">
        <f>V76</f>
        <v>#VALUE!</v>
      </c>
      <c r="AC77" s="40" t="s">
        <v>141</v>
      </c>
      <c r="AD77" s="40"/>
      <c r="AE77" s="40"/>
      <c r="AF77" s="40"/>
      <c r="AG77" s="40"/>
      <c r="AH77" s="40"/>
      <c r="AI77" s="40"/>
      <c r="AJ77" s="169"/>
      <c r="BS77" s="2"/>
      <c r="BT77" s="2"/>
      <c r="BU77" s="2"/>
      <c r="BV77" s="2"/>
      <c r="BW77" s="2"/>
      <c r="BX77" s="2"/>
      <c r="BY77" s="2"/>
      <c r="BZ77" s="2"/>
      <c r="CA77" s="2"/>
    </row>
    <row r="78" spans="1:79" x14ac:dyDescent="0.25">
      <c r="B78" s="193"/>
      <c r="C78" s="193"/>
      <c r="D78" s="193"/>
      <c r="E78" s="193"/>
      <c r="F78" s="193"/>
      <c r="G78" s="193"/>
      <c r="H78" s="193"/>
      <c r="I78" s="193"/>
      <c r="J78" s="193"/>
      <c r="K78" s="193"/>
      <c r="L78" s="193"/>
      <c r="N78" s="41"/>
      <c r="O78" s="423"/>
      <c r="P78" s="40"/>
      <c r="Q78" s="40"/>
      <c r="R78" s="40"/>
      <c r="S78" s="40"/>
      <c r="T78" s="40"/>
      <c r="U78" s="40"/>
      <c r="V78" s="40"/>
      <c r="W78" s="169"/>
      <c r="X78" s="193"/>
      <c r="Y78" s="41"/>
      <c r="Z78" s="496"/>
      <c r="AA78" s="40"/>
      <c r="AB78" s="40"/>
      <c r="AC78" s="40"/>
      <c r="AD78" s="40"/>
      <c r="AE78" s="40"/>
      <c r="AF78" s="40"/>
      <c r="AG78" s="40"/>
      <c r="AH78" s="40"/>
      <c r="AI78" s="40"/>
      <c r="AJ78" s="169"/>
      <c r="BS78" s="2"/>
      <c r="BT78" s="2"/>
      <c r="BU78" s="2"/>
      <c r="BV78" s="2"/>
      <c r="BW78" s="2"/>
      <c r="BX78" s="2"/>
      <c r="BY78" s="2"/>
      <c r="BZ78" s="2"/>
      <c r="CA78" s="2"/>
    </row>
    <row r="79" spans="1:79" x14ac:dyDescent="0.25">
      <c r="B79" s="193"/>
      <c r="C79" s="193"/>
      <c r="D79" s="193"/>
      <c r="E79" s="193"/>
      <c r="F79" s="193"/>
      <c r="G79" s="193"/>
      <c r="H79" s="193"/>
      <c r="I79" s="193"/>
      <c r="J79" s="193"/>
      <c r="K79" s="193"/>
      <c r="L79" s="193"/>
      <c r="N79" s="41"/>
      <c r="O79" s="423" t="s">
        <v>148</v>
      </c>
      <c r="P79" s="40"/>
      <c r="Q79" s="40"/>
      <c r="R79" s="423" t="s">
        <v>253</v>
      </c>
      <c r="S79" s="40"/>
      <c r="T79" s="40"/>
      <c r="U79" s="423"/>
      <c r="V79" s="40"/>
      <c r="W79" s="169"/>
      <c r="X79" s="193"/>
      <c r="Y79" s="41"/>
      <c r="AA79" s="40"/>
      <c r="AB79" s="40"/>
      <c r="AC79" s="40"/>
      <c r="AD79" s="40"/>
      <c r="AE79" s="40"/>
      <c r="AF79" s="40"/>
      <c r="AG79" s="40"/>
      <c r="AH79" s="40"/>
      <c r="AI79" s="40"/>
      <c r="AJ79" s="169"/>
      <c r="BS79" s="2"/>
      <c r="BT79" s="2"/>
      <c r="BU79" s="2"/>
      <c r="BV79" s="2"/>
      <c r="BW79" s="2"/>
      <c r="BX79" s="2"/>
      <c r="BY79" s="2"/>
      <c r="BZ79" s="2"/>
      <c r="CA79" s="2"/>
    </row>
    <row r="80" spans="1:79" x14ac:dyDescent="0.25">
      <c r="B80" s="193"/>
      <c r="C80" s="193"/>
      <c r="D80" s="193"/>
      <c r="E80" s="193"/>
      <c r="F80" s="193"/>
      <c r="G80" s="193"/>
      <c r="H80" s="193"/>
      <c r="I80" s="193"/>
      <c r="J80" s="193"/>
      <c r="K80" s="193"/>
      <c r="L80" s="193"/>
      <c r="N80" s="41"/>
      <c r="O80" s="223" t="s">
        <v>142</v>
      </c>
      <c r="P80" s="40">
        <v>8.9999999999999998E-4</v>
      </c>
      <c r="Q80" s="40" t="s">
        <v>147</v>
      </c>
      <c r="R80" s="40" t="s">
        <v>142</v>
      </c>
      <c r="S80" s="40">
        <v>2.2602375158275841E-2</v>
      </c>
      <c r="T80" s="40" t="s">
        <v>141</v>
      </c>
      <c r="U80" s="40"/>
      <c r="V80" s="40"/>
      <c r="W80" s="169"/>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79" ht="21" x14ac:dyDescent="0.35">
      <c r="B81" s="655"/>
      <c r="C81" s="193"/>
      <c r="D81" s="193"/>
      <c r="E81" s="193"/>
      <c r="F81" s="193"/>
      <c r="G81" s="193"/>
      <c r="H81" s="193"/>
      <c r="I81" s="193"/>
      <c r="J81" s="193"/>
      <c r="K81" s="193"/>
      <c r="L81" s="193"/>
      <c r="N81" s="41"/>
      <c r="O81" s="223" t="s">
        <v>152</v>
      </c>
      <c r="P81" s="40" t="e">
        <f>(C3*C5*2)+(C4*C5*2)</f>
        <v>#VALUE!</v>
      </c>
      <c r="Q81" s="40" t="s">
        <v>153</v>
      </c>
      <c r="R81" s="40" t="s">
        <v>231</v>
      </c>
      <c r="S81" s="40" t="str">
        <f>C5</f>
        <v>ENTER HEIGHT</v>
      </c>
      <c r="T81" s="40" t="s">
        <v>151</v>
      </c>
      <c r="U81" s="40"/>
      <c r="V81" s="40"/>
      <c r="W81" s="169"/>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79" ht="18.75" x14ac:dyDescent="0.3">
      <c r="A82" s="2"/>
      <c r="B82" s="436"/>
      <c r="C82" s="193"/>
      <c r="D82" s="854"/>
      <c r="E82" s="855"/>
      <c r="F82" s="193"/>
      <c r="G82" s="193"/>
      <c r="H82" s="856"/>
      <c r="I82" s="854"/>
      <c r="J82" s="854"/>
      <c r="K82" s="193"/>
      <c r="L82" s="193"/>
      <c r="N82" s="41"/>
      <c r="O82" s="223"/>
      <c r="P82" s="40"/>
      <c r="Q82" s="40"/>
      <c r="R82" s="40" t="s">
        <v>377</v>
      </c>
      <c r="S82" s="40" t="e">
        <f>IF(G13=1,2,IF(G13=2,4,IF(G13=3,4,IF(G13=4,8,IF(G13=5,8,"N/A")))))</f>
        <v>#N/A</v>
      </c>
      <c r="T82" s="40"/>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79" ht="18.75" x14ac:dyDescent="0.3">
      <c r="A83" s="2"/>
      <c r="B83" s="436"/>
      <c r="C83" s="193"/>
      <c r="D83" s="854"/>
      <c r="E83" s="855"/>
      <c r="F83" s="193"/>
      <c r="G83" s="193"/>
      <c r="H83" s="436"/>
      <c r="I83" s="854"/>
      <c r="J83" s="854"/>
      <c r="K83" s="193"/>
      <c r="L83" s="193"/>
      <c r="N83" s="41"/>
      <c r="O83" s="435" t="s">
        <v>148</v>
      </c>
      <c r="P83" s="415" t="e">
        <f>P80*P81</f>
        <v>#VALUE!</v>
      </c>
      <c r="Q83" s="40" t="s">
        <v>141</v>
      </c>
      <c r="R83" s="495" t="s">
        <v>254</v>
      </c>
      <c r="S83" s="40" t="e">
        <f>S82*(S80*S81)</f>
        <v>#N/A</v>
      </c>
      <c r="T83" s="40" t="s">
        <v>141</v>
      </c>
      <c r="U83" s="495"/>
      <c r="V83" s="40"/>
      <c r="W83" s="169"/>
      <c r="X83" s="193"/>
      <c r="Y83" s="41"/>
      <c r="Z83" s="40"/>
      <c r="AA83" s="40"/>
      <c r="AB83" s="40"/>
      <c r="AC83" s="40"/>
      <c r="AD83" s="40"/>
      <c r="AE83" s="40"/>
      <c r="AF83" s="40"/>
      <c r="AG83" s="40"/>
      <c r="AH83" s="40"/>
      <c r="AI83" s="40"/>
      <c r="AJ83" s="169"/>
      <c r="BS83" s="2"/>
      <c r="BT83" s="2"/>
      <c r="BU83" s="2"/>
      <c r="BV83" s="2"/>
      <c r="BW83" s="2"/>
      <c r="BX83" s="2"/>
      <c r="BY83" s="2"/>
      <c r="BZ83" s="2"/>
      <c r="CA83" s="2"/>
    </row>
    <row r="84" spans="1:79" ht="18.75" x14ac:dyDescent="0.3">
      <c r="A84" s="2"/>
      <c r="B84" s="436"/>
      <c r="C84" s="193"/>
      <c r="D84" s="854"/>
      <c r="E84" s="855"/>
      <c r="F84" s="193"/>
      <c r="G84" s="193"/>
      <c r="H84" s="436"/>
      <c r="I84" s="854"/>
      <c r="J84" s="854"/>
      <c r="K84" s="193"/>
      <c r="L84" s="193"/>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79" ht="18.75" x14ac:dyDescent="0.3">
      <c r="A85" s="2"/>
      <c r="B85" s="436"/>
      <c r="C85" s="193"/>
      <c r="D85" s="854"/>
      <c r="E85" s="855"/>
      <c r="F85" s="193"/>
      <c r="G85" s="193"/>
      <c r="H85" s="436"/>
      <c r="I85" s="854"/>
      <c r="J85" s="854"/>
      <c r="K85" s="193"/>
      <c r="L85" s="193"/>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79" ht="19.5" thickBot="1" x14ac:dyDescent="0.35">
      <c r="A86" s="2"/>
      <c r="B86" s="193"/>
      <c r="C86" s="857"/>
      <c r="D86" s="193"/>
      <c r="E86" s="193"/>
      <c r="F86" s="193"/>
      <c r="G86" s="193"/>
      <c r="H86" s="436"/>
      <c r="I86" s="858"/>
      <c r="J86" s="855"/>
      <c r="K86" s="193"/>
      <c r="L86" s="193"/>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79" ht="18.75" x14ac:dyDescent="0.3">
      <c r="B87" s="436"/>
      <c r="C87" s="193"/>
      <c r="D87" s="858"/>
      <c r="E87" s="855"/>
      <c r="F87" s="193"/>
      <c r="G87" s="859"/>
      <c r="H87" s="857"/>
      <c r="I87" s="854"/>
      <c r="J87" s="855"/>
      <c r="K87" s="193"/>
      <c r="L87" s="193"/>
      <c r="BS87" s="2"/>
      <c r="BT87" s="2"/>
      <c r="BU87" s="2"/>
      <c r="BV87" s="2"/>
      <c r="BW87" s="2"/>
      <c r="BX87" s="2"/>
      <c r="BY87" s="2"/>
      <c r="BZ87" s="2"/>
      <c r="CA87" s="2"/>
    </row>
    <row r="88" spans="1:79" ht="18.75" x14ac:dyDescent="0.3">
      <c r="B88" s="859"/>
      <c r="C88" s="857"/>
      <c r="D88" s="858"/>
      <c r="E88" s="855"/>
      <c r="F88" s="193"/>
      <c r="G88" s="193"/>
      <c r="H88" s="857"/>
      <c r="I88" s="854"/>
      <c r="J88" s="855"/>
      <c r="K88" s="193"/>
      <c r="L88" s="193"/>
      <c r="BS88" s="2"/>
      <c r="BT88" s="2"/>
      <c r="BU88" s="2"/>
      <c r="BV88" s="2"/>
      <c r="BW88" s="2"/>
      <c r="BX88" s="2"/>
      <c r="BY88" s="2"/>
      <c r="BZ88" s="2"/>
      <c r="CA88" s="2"/>
    </row>
    <row r="89" spans="1:79" ht="19.5" thickBot="1" x14ac:dyDescent="0.35">
      <c r="B89" s="193"/>
      <c r="C89" s="857"/>
      <c r="D89" s="858"/>
      <c r="E89" s="855"/>
      <c r="F89" s="193"/>
      <c r="G89" s="193"/>
      <c r="H89" s="193"/>
      <c r="I89" s="193"/>
      <c r="J89" s="193"/>
      <c r="K89" s="193"/>
      <c r="L89" s="193"/>
      <c r="N89" s="2"/>
      <c r="O89" s="918" t="s">
        <v>412</v>
      </c>
      <c r="P89" s="919"/>
      <c r="Q89" s="920"/>
      <c r="R89" s="920"/>
      <c r="S89" s="920"/>
      <c r="T89" s="920"/>
      <c r="U89" s="920"/>
      <c r="V89" s="920"/>
      <c r="W89" s="920"/>
      <c r="X89" s="920"/>
      <c r="Y89" s="920"/>
      <c r="Z89" s="920"/>
      <c r="AA89" s="919"/>
      <c r="AB89" s="934"/>
      <c r="AC89" s="934"/>
      <c r="AD89" s="934"/>
      <c r="AE89" s="934"/>
      <c r="AF89" s="934"/>
      <c r="AG89" s="934"/>
      <c r="AH89" s="934"/>
      <c r="AI89" s="919"/>
      <c r="AJ89" s="919"/>
      <c r="AK89" s="919"/>
      <c r="AL89" s="919"/>
      <c r="AM89" s="921"/>
      <c r="BS89" s="2"/>
      <c r="BT89" s="2"/>
      <c r="BU89" s="2"/>
      <c r="BV89" s="2"/>
      <c r="BW89" s="2"/>
      <c r="BX89" s="2"/>
      <c r="BY89" s="2"/>
      <c r="BZ89" s="2"/>
      <c r="CA89" s="2"/>
    </row>
    <row r="90" spans="1:79" ht="15.75" thickBot="1" x14ac:dyDescent="0.3">
      <c r="A90" s="2"/>
      <c r="B90" s="193"/>
      <c r="C90" s="193"/>
      <c r="D90" s="193"/>
      <c r="E90" s="193"/>
      <c r="F90" s="193"/>
      <c r="G90" s="193"/>
      <c r="H90" s="193"/>
      <c r="I90" s="193"/>
      <c r="J90" s="193"/>
      <c r="K90" s="193"/>
      <c r="L90" s="193"/>
      <c r="N90" s="2"/>
      <c r="O90" s="922"/>
      <c r="P90" s="913"/>
      <c r="Q90" s="914">
        <v>9</v>
      </c>
      <c r="R90" s="915">
        <v>12</v>
      </c>
      <c r="S90" s="915">
        <v>18</v>
      </c>
      <c r="T90" s="915">
        <v>24</v>
      </c>
      <c r="U90" s="915">
        <v>30</v>
      </c>
      <c r="V90" s="915">
        <v>36</v>
      </c>
      <c r="W90" s="915">
        <v>42</v>
      </c>
      <c r="X90" s="915">
        <v>48</v>
      </c>
      <c r="Y90" s="915">
        <v>54</v>
      </c>
      <c r="Z90" s="915">
        <v>60</v>
      </c>
      <c r="AA90" s="913" t="s">
        <v>413</v>
      </c>
      <c r="AB90" s="932"/>
      <c r="AC90" s="932"/>
      <c r="AD90" s="932"/>
      <c r="AE90" s="932"/>
      <c r="AF90" s="932"/>
      <c r="AG90" s="932"/>
      <c r="AH90" s="932"/>
      <c r="AI90" s="913"/>
      <c r="AJ90" s="913"/>
      <c r="AK90" s="913"/>
      <c r="AL90" s="913"/>
      <c r="AM90" s="923"/>
      <c r="BS90" s="2"/>
      <c r="BT90" s="2"/>
      <c r="BU90" s="2"/>
      <c r="BV90" s="2"/>
      <c r="BW90" s="2"/>
      <c r="BX90" s="2"/>
      <c r="BY90" s="2"/>
      <c r="BZ90" s="2"/>
      <c r="CA90" s="2"/>
    </row>
    <row r="91" spans="1:79" ht="15.75" thickBot="1" x14ac:dyDescent="0.3">
      <c r="A91" s="2"/>
      <c r="B91" s="193"/>
      <c r="C91" s="193"/>
      <c r="D91" s="193"/>
      <c r="E91" s="193"/>
      <c r="F91" s="193"/>
      <c r="G91" s="193"/>
      <c r="H91" s="193"/>
      <c r="I91" s="193"/>
      <c r="J91" s="193"/>
      <c r="K91" s="193"/>
      <c r="L91" s="193"/>
      <c r="N91" s="2"/>
      <c r="O91" s="935">
        <f>O46</f>
        <v>13.06</v>
      </c>
      <c r="P91" s="913"/>
      <c r="Q91" s="924" t="s">
        <v>414</v>
      </c>
      <c r="R91" s="924" t="s">
        <v>414</v>
      </c>
      <c r="S91" s="925">
        <f t="shared" ref="S91:Z106" si="18">S46-R46</f>
        <v>1.69</v>
      </c>
      <c r="T91" s="925">
        <f t="shared" si="18"/>
        <v>1.6900000000000004</v>
      </c>
      <c r="U91" s="925">
        <f t="shared" si="18"/>
        <v>1.6899999999999995</v>
      </c>
      <c r="V91" s="925">
        <f t="shared" si="18"/>
        <v>1.6900000000000004</v>
      </c>
      <c r="W91" s="925">
        <f t="shared" si="18"/>
        <v>1.6899999999999995</v>
      </c>
      <c r="X91" s="925">
        <f t="shared" si="18"/>
        <v>1.6899999999999995</v>
      </c>
      <c r="Y91" s="925">
        <f t="shared" si="18"/>
        <v>1.6899999999999995</v>
      </c>
      <c r="Z91" s="925">
        <f t="shared" si="18"/>
        <v>1.6899999999999995</v>
      </c>
      <c r="AA91" s="913" t="s">
        <v>415</v>
      </c>
      <c r="AB91" s="932"/>
      <c r="AC91" s="932"/>
      <c r="AD91" s="932"/>
      <c r="AE91" s="932"/>
      <c r="AF91" s="932"/>
      <c r="AG91" s="932"/>
      <c r="AH91" s="932"/>
      <c r="AI91" s="913"/>
      <c r="AJ91" s="913"/>
      <c r="AK91" s="913"/>
      <c r="AL91" s="913"/>
      <c r="AM91" s="923"/>
      <c r="BS91" s="2"/>
      <c r="BT91" s="2"/>
      <c r="BU91" s="2"/>
      <c r="BV91" s="2"/>
      <c r="BW91" s="2"/>
      <c r="BX91" s="2"/>
      <c r="BY91" s="2"/>
      <c r="BZ91" s="2"/>
      <c r="CA91" s="2"/>
    </row>
    <row r="92" spans="1:79" ht="15.75" thickBot="1" x14ac:dyDescent="0.3">
      <c r="A92" s="2"/>
      <c r="B92" s="193"/>
      <c r="C92" s="193"/>
      <c r="D92" s="193"/>
      <c r="E92" s="193"/>
      <c r="F92" s="193"/>
      <c r="G92" s="193"/>
      <c r="H92" s="193"/>
      <c r="I92" s="193"/>
      <c r="J92" s="193"/>
      <c r="K92" s="193"/>
      <c r="L92" s="193"/>
      <c r="N92" s="2"/>
      <c r="O92" s="935">
        <f t="shared" ref="O92:O106" si="19">O47</f>
        <v>17.059999999999999</v>
      </c>
      <c r="P92" s="913"/>
      <c r="Q92" s="925" t="s">
        <v>414</v>
      </c>
      <c r="R92" s="925" t="s">
        <v>414</v>
      </c>
      <c r="S92" s="925">
        <f t="shared" si="18"/>
        <v>2.0000000000000004</v>
      </c>
      <c r="T92" s="925">
        <f t="shared" si="18"/>
        <v>2.0099999999999998</v>
      </c>
      <c r="U92" s="925">
        <f t="shared" si="18"/>
        <v>2.0100000000000007</v>
      </c>
      <c r="V92" s="925">
        <f t="shared" si="18"/>
        <v>2.0099999999999998</v>
      </c>
      <c r="W92" s="925">
        <f t="shared" si="18"/>
        <v>2.0099999999999998</v>
      </c>
      <c r="X92" s="925">
        <f t="shared" si="18"/>
        <v>2</v>
      </c>
      <c r="Y92" s="925">
        <f t="shared" si="18"/>
        <v>2.009999999999998</v>
      </c>
      <c r="Z92" s="925">
        <f t="shared" si="18"/>
        <v>2.0100000000000016</v>
      </c>
      <c r="AA92" s="913"/>
      <c r="AB92" s="932"/>
      <c r="AC92" s="932"/>
      <c r="AD92" s="932"/>
      <c r="AE92" s="932"/>
      <c r="AF92" s="932"/>
      <c r="AG92" s="932"/>
      <c r="AH92" s="932"/>
      <c r="AI92" s="913"/>
      <c r="AJ92" s="913"/>
      <c r="AK92" s="913"/>
      <c r="AL92" s="913"/>
      <c r="AM92" s="923"/>
      <c r="BS92" s="2"/>
      <c r="BT92" s="2"/>
      <c r="BU92" s="2"/>
      <c r="BV92" s="2"/>
      <c r="BW92" s="2"/>
      <c r="BX92" s="2"/>
      <c r="BY92" s="2"/>
      <c r="BZ92" s="2"/>
      <c r="CA92" s="2"/>
    </row>
    <row r="93" spans="1:79" ht="15.75" thickBot="1" x14ac:dyDescent="0.3">
      <c r="A93" s="2"/>
      <c r="B93" s="193"/>
      <c r="C93" s="193"/>
      <c r="D93" s="193"/>
      <c r="E93" s="193"/>
      <c r="F93" s="193"/>
      <c r="G93" s="193"/>
      <c r="H93" s="193"/>
      <c r="I93" s="193"/>
      <c r="J93" s="193"/>
      <c r="K93" s="193"/>
      <c r="L93" s="193"/>
      <c r="N93" s="2"/>
      <c r="O93" s="935">
        <f t="shared" si="19"/>
        <v>21.06</v>
      </c>
      <c r="P93" s="913"/>
      <c r="Q93" s="925" t="s">
        <v>414</v>
      </c>
      <c r="R93" s="925" t="s">
        <v>414</v>
      </c>
      <c r="S93" s="925">
        <f t="shared" si="18"/>
        <v>2.3200000000000003</v>
      </c>
      <c r="T93" s="925">
        <f t="shared" si="18"/>
        <v>2.33</v>
      </c>
      <c r="U93" s="925">
        <f t="shared" si="18"/>
        <v>2.3200000000000003</v>
      </c>
      <c r="V93" s="925">
        <f t="shared" si="18"/>
        <v>2.3199999999999985</v>
      </c>
      <c r="W93" s="925">
        <f t="shared" si="18"/>
        <v>2.33</v>
      </c>
      <c r="X93" s="925">
        <f t="shared" si="18"/>
        <v>2.3200000000000021</v>
      </c>
      <c r="Y93" s="925">
        <f t="shared" si="18"/>
        <v>2.3200000000000003</v>
      </c>
      <c r="Z93" s="925">
        <f t="shared" si="18"/>
        <v>2.3299999999999983</v>
      </c>
      <c r="AA93" s="913"/>
      <c r="AB93" s="932"/>
      <c r="AC93" s="932"/>
      <c r="AD93" s="932"/>
      <c r="AE93" s="932"/>
      <c r="AF93" s="932"/>
      <c r="AG93" s="932"/>
      <c r="AH93" s="932"/>
      <c r="AI93" s="913"/>
      <c r="AJ93" s="913"/>
      <c r="AK93" s="913"/>
      <c r="AL93" s="913"/>
      <c r="AM93" s="923"/>
      <c r="BS93" s="2"/>
      <c r="BT93" s="2"/>
      <c r="BU93" s="2"/>
      <c r="BV93" s="2"/>
      <c r="BW93" s="2"/>
      <c r="BX93" s="2"/>
      <c r="BY93" s="2"/>
      <c r="BZ93" s="2"/>
      <c r="CA93" s="2"/>
    </row>
    <row r="94" spans="1:79" ht="18.75" customHeight="1" thickBot="1" x14ac:dyDescent="0.3">
      <c r="A94" s="2"/>
      <c r="B94" s="193"/>
      <c r="C94" s="193"/>
      <c r="D94" s="193"/>
      <c r="E94" s="193"/>
      <c r="F94" s="193"/>
      <c r="G94" s="193"/>
      <c r="H94" s="193"/>
      <c r="I94" s="193"/>
      <c r="J94" s="193"/>
      <c r="K94" s="193"/>
      <c r="L94" s="193"/>
      <c r="N94" s="2"/>
      <c r="O94" s="935">
        <f t="shared" si="19"/>
        <v>25.06</v>
      </c>
      <c r="P94" s="913"/>
      <c r="Q94" s="925" t="s">
        <v>414</v>
      </c>
      <c r="R94" s="925" t="s">
        <v>414</v>
      </c>
      <c r="S94" s="925">
        <f t="shared" si="18"/>
        <v>2.6399999999999997</v>
      </c>
      <c r="T94" s="925">
        <f t="shared" si="18"/>
        <v>2.6400000000000006</v>
      </c>
      <c r="U94" s="925">
        <f t="shared" si="18"/>
        <v>2.6400000000000006</v>
      </c>
      <c r="V94" s="925">
        <f t="shared" si="18"/>
        <v>2.6400000000000006</v>
      </c>
      <c r="W94" s="925">
        <f t="shared" si="18"/>
        <v>2.6400000000000006</v>
      </c>
      <c r="X94" s="925">
        <f t="shared" si="18"/>
        <v>2.6400000000000006</v>
      </c>
      <c r="Y94" s="925">
        <f t="shared" si="18"/>
        <v>2.6400000000000006</v>
      </c>
      <c r="Z94" s="925">
        <f t="shared" si="18"/>
        <v>2.6400000000000006</v>
      </c>
      <c r="AA94" s="913"/>
      <c r="AB94" s="932"/>
      <c r="AC94" s="932"/>
      <c r="AD94" s="932"/>
      <c r="AE94" s="932"/>
      <c r="AF94" s="932"/>
      <c r="AG94" s="932"/>
      <c r="AH94" s="932"/>
      <c r="AI94" s="913"/>
      <c r="AJ94" s="913"/>
      <c r="AK94" s="913"/>
      <c r="AL94" s="913"/>
      <c r="AM94" s="923"/>
      <c r="BS94" s="2"/>
      <c r="BT94" s="2"/>
      <c r="BU94" s="2"/>
      <c r="BV94" s="2"/>
      <c r="BW94" s="2"/>
      <c r="BX94" s="2"/>
      <c r="BY94" s="2"/>
      <c r="BZ94" s="2"/>
      <c r="CA94" s="2"/>
    </row>
    <row r="95" spans="1:79" ht="18.75" customHeight="1" thickBot="1" x14ac:dyDescent="0.3">
      <c r="A95" s="2"/>
      <c r="N95" s="2"/>
      <c r="O95" s="935">
        <f t="shared" si="19"/>
        <v>29.06</v>
      </c>
      <c r="P95" s="913"/>
      <c r="Q95" s="925" t="s">
        <v>414</v>
      </c>
      <c r="R95" s="925" t="s">
        <v>414</v>
      </c>
      <c r="S95" s="925">
        <f t="shared" si="18"/>
        <v>2.9600000000000009</v>
      </c>
      <c r="T95" s="925">
        <f t="shared" si="18"/>
        <v>2.9499999999999993</v>
      </c>
      <c r="U95" s="925">
        <f t="shared" si="18"/>
        <v>2.9599999999999991</v>
      </c>
      <c r="V95" s="925">
        <f t="shared" si="18"/>
        <v>2.9499999999999993</v>
      </c>
      <c r="W95" s="925">
        <f t="shared" si="18"/>
        <v>2.9600000000000009</v>
      </c>
      <c r="X95" s="925">
        <f t="shared" si="18"/>
        <v>2.9499999999999993</v>
      </c>
      <c r="Y95" s="925">
        <f t="shared" si="18"/>
        <v>2.9600000000000009</v>
      </c>
      <c r="Z95" s="925">
        <f t="shared" si="18"/>
        <v>2.9499999999999993</v>
      </c>
      <c r="AA95" s="913"/>
      <c r="AB95" s="932"/>
      <c r="AC95" s="932"/>
      <c r="AD95" s="932"/>
      <c r="AE95" s="932"/>
      <c r="AF95" s="932"/>
      <c r="AG95" s="932"/>
      <c r="AH95" s="932"/>
      <c r="AI95" s="913"/>
      <c r="AJ95" s="913"/>
      <c r="AK95" s="913"/>
      <c r="AL95" s="913"/>
      <c r="AM95" s="923"/>
      <c r="BS95" s="2"/>
      <c r="BT95" s="2"/>
      <c r="BU95" s="2"/>
      <c r="BV95" s="2"/>
      <c r="BW95" s="2"/>
      <c r="BX95" s="2"/>
      <c r="BY95" s="2"/>
      <c r="BZ95" s="2"/>
      <c r="CA95" s="2"/>
    </row>
    <row r="96" spans="1:79" ht="15.75" thickBot="1" x14ac:dyDescent="0.3">
      <c r="A96" s="193"/>
      <c r="G96" s="193"/>
      <c r="H96" s="193"/>
      <c r="I96" s="193"/>
      <c r="J96" s="193"/>
      <c r="K96" s="193"/>
      <c r="L96" s="193"/>
      <c r="M96" s="193"/>
      <c r="N96" s="193"/>
      <c r="O96" s="935">
        <f t="shared" si="19"/>
        <v>33.06</v>
      </c>
      <c r="P96" s="913"/>
      <c r="Q96" s="925" t="s">
        <v>414</v>
      </c>
      <c r="R96" s="925" t="s">
        <v>414</v>
      </c>
      <c r="S96" s="925">
        <f t="shared" si="18"/>
        <v>3.2700000000000005</v>
      </c>
      <c r="T96" s="925">
        <f t="shared" si="18"/>
        <v>3.2699999999999996</v>
      </c>
      <c r="U96" s="925">
        <f t="shared" si="18"/>
        <v>3.2699999999999996</v>
      </c>
      <c r="V96" s="925">
        <f t="shared" si="18"/>
        <v>3.2699999999999996</v>
      </c>
      <c r="W96" s="925">
        <f t="shared" si="18"/>
        <v>3.2800000000000011</v>
      </c>
      <c r="X96" s="925">
        <f t="shared" si="18"/>
        <v>3.2699999999999996</v>
      </c>
      <c r="Y96" s="925">
        <f t="shared" si="18"/>
        <v>3.2699999999999996</v>
      </c>
      <c r="Z96" s="925">
        <f t="shared" si="18"/>
        <v>3.2699999999999996</v>
      </c>
      <c r="AA96" s="913"/>
      <c r="AB96" s="932"/>
      <c r="AC96" s="932"/>
      <c r="AD96" s="932"/>
      <c r="AE96" s="932"/>
      <c r="AF96" s="932"/>
      <c r="AG96" s="932"/>
      <c r="AH96" s="932"/>
      <c r="AI96" s="913"/>
      <c r="AJ96" s="913"/>
      <c r="AK96" s="913"/>
      <c r="AL96" s="913"/>
      <c r="AM96" s="923"/>
      <c r="BS96" s="2"/>
      <c r="BT96" s="2"/>
      <c r="BU96" s="2"/>
      <c r="BV96" s="2"/>
      <c r="BW96" s="2"/>
      <c r="BX96" s="2"/>
      <c r="BY96" s="2"/>
      <c r="BZ96" s="2"/>
      <c r="CA96" s="2"/>
    </row>
    <row r="97" spans="1:79" ht="15.75" thickBot="1" x14ac:dyDescent="0.3">
      <c r="A97" s="193"/>
      <c r="G97" s="193"/>
      <c r="H97" s="193"/>
      <c r="I97" s="193"/>
      <c r="J97" s="193"/>
      <c r="K97" s="193"/>
      <c r="L97" s="193"/>
      <c r="M97" s="193"/>
      <c r="N97" s="193"/>
      <c r="O97" s="935">
        <f t="shared" si="19"/>
        <v>37.06</v>
      </c>
      <c r="P97" s="913"/>
      <c r="Q97" s="925" t="s">
        <v>414</v>
      </c>
      <c r="R97" s="925" t="s">
        <v>414</v>
      </c>
      <c r="S97" s="925">
        <f t="shared" si="18"/>
        <v>3.59</v>
      </c>
      <c r="T97" s="925">
        <f t="shared" si="18"/>
        <v>3.59</v>
      </c>
      <c r="U97" s="925">
        <f t="shared" si="18"/>
        <v>3.59</v>
      </c>
      <c r="V97" s="925">
        <f t="shared" si="18"/>
        <v>3.59</v>
      </c>
      <c r="W97" s="925">
        <f t="shared" si="18"/>
        <v>3.59</v>
      </c>
      <c r="X97" s="925">
        <f t="shared" si="18"/>
        <v>3.59</v>
      </c>
      <c r="Y97" s="925">
        <f t="shared" si="18"/>
        <v>3.59</v>
      </c>
      <c r="Z97" s="925">
        <f t="shared" si="18"/>
        <v>3.59</v>
      </c>
      <c r="AA97" s="913"/>
      <c r="AB97" s="932"/>
      <c r="AC97" s="932"/>
      <c r="AD97" s="932"/>
      <c r="AE97" s="932"/>
      <c r="AF97" s="932"/>
      <c r="AG97" s="932"/>
      <c r="AH97" s="932"/>
      <c r="AI97" s="913"/>
      <c r="AJ97" s="913"/>
      <c r="AK97" s="913"/>
      <c r="AL97" s="913"/>
      <c r="AM97" s="923"/>
      <c r="BS97" s="2"/>
      <c r="BT97" s="2"/>
      <c r="BU97" s="2"/>
      <c r="BV97" s="2"/>
      <c r="BW97" s="2"/>
      <c r="BX97" s="2"/>
      <c r="BY97" s="2"/>
      <c r="BZ97" s="2"/>
      <c r="CA97" s="2"/>
    </row>
    <row r="98" spans="1:79" ht="15.75" thickBot="1" x14ac:dyDescent="0.3">
      <c r="A98" s="193"/>
      <c r="G98" s="193"/>
      <c r="H98" s="193"/>
      <c r="I98" s="193"/>
      <c r="J98" s="193"/>
      <c r="K98" s="193"/>
      <c r="L98" s="193"/>
      <c r="M98" s="193"/>
      <c r="N98" s="193"/>
      <c r="O98" s="935">
        <f t="shared" si="19"/>
        <v>41.06</v>
      </c>
      <c r="P98" s="913"/>
      <c r="Q98" s="925" t="s">
        <v>414</v>
      </c>
      <c r="R98" s="925" t="s">
        <v>414</v>
      </c>
      <c r="S98" s="925">
        <f t="shared" si="18"/>
        <v>3.910000000000001</v>
      </c>
      <c r="T98" s="925">
        <f t="shared" si="18"/>
        <v>3.8999999999999986</v>
      </c>
      <c r="U98" s="925">
        <f t="shared" si="18"/>
        <v>3.9000000000000004</v>
      </c>
      <c r="V98" s="925">
        <f t="shared" si="18"/>
        <v>3.9000000000000021</v>
      </c>
      <c r="W98" s="925">
        <f t="shared" si="18"/>
        <v>3.8999999999999986</v>
      </c>
      <c r="X98" s="925">
        <f t="shared" si="18"/>
        <v>3.91</v>
      </c>
      <c r="Y98" s="925">
        <f t="shared" si="18"/>
        <v>3.9000000000000021</v>
      </c>
      <c r="Z98" s="925">
        <f t="shared" si="18"/>
        <v>3.8999999999999986</v>
      </c>
      <c r="AA98" s="913"/>
      <c r="AB98" s="932"/>
      <c r="AC98" s="932"/>
      <c r="AD98" s="932"/>
      <c r="AE98" s="932"/>
      <c r="AF98" s="932"/>
      <c r="AG98" s="932"/>
      <c r="AH98" s="932"/>
      <c r="AI98" s="913"/>
      <c r="AJ98" s="913"/>
      <c r="AK98" s="913"/>
      <c r="AL98" s="913"/>
      <c r="AM98" s="923"/>
      <c r="BS98" s="2"/>
      <c r="BT98" s="2"/>
      <c r="BU98" s="2"/>
      <c r="BV98" s="2"/>
      <c r="BW98" s="2"/>
      <c r="BX98" s="2"/>
      <c r="BY98" s="2"/>
      <c r="BZ98" s="2"/>
      <c r="CA98" s="2"/>
    </row>
    <row r="99" spans="1:79" ht="15.75" thickBot="1" x14ac:dyDescent="0.3">
      <c r="A99" s="193"/>
      <c r="G99" s="193"/>
      <c r="H99" s="193"/>
      <c r="I99" s="193"/>
      <c r="J99" s="193"/>
      <c r="K99" s="193"/>
      <c r="L99" s="193"/>
      <c r="M99" s="193"/>
      <c r="N99" s="193"/>
      <c r="O99" s="935">
        <f t="shared" si="19"/>
        <v>45.06</v>
      </c>
      <c r="P99" s="913"/>
      <c r="Q99" s="925" t="s">
        <v>414</v>
      </c>
      <c r="R99" s="925" t="s">
        <v>414</v>
      </c>
      <c r="S99" s="925">
        <f t="shared" si="18"/>
        <v>4.21</v>
      </c>
      <c r="T99" s="925">
        <f t="shared" si="18"/>
        <v>4.2199999999999989</v>
      </c>
      <c r="U99" s="925">
        <f t="shared" si="18"/>
        <v>4.2200000000000024</v>
      </c>
      <c r="V99" s="925">
        <f t="shared" si="18"/>
        <v>4.2199999999999989</v>
      </c>
      <c r="W99" s="925">
        <f t="shared" si="18"/>
        <v>4.2100000000000009</v>
      </c>
      <c r="X99" s="925">
        <f t="shared" si="18"/>
        <v>4.2199999999999989</v>
      </c>
      <c r="Y99" s="925">
        <f t="shared" si="18"/>
        <v>4.2199999999999989</v>
      </c>
      <c r="Z99" s="925">
        <f t="shared" si="18"/>
        <v>4.2199999999999989</v>
      </c>
      <c r="AA99" s="913"/>
      <c r="AB99" s="932"/>
      <c r="AC99" s="932"/>
      <c r="AD99" s="932"/>
      <c r="AE99" s="932"/>
      <c r="AF99" s="932"/>
      <c r="AG99" s="932"/>
      <c r="AH99" s="932"/>
      <c r="AI99" s="913"/>
      <c r="AJ99" s="913"/>
      <c r="AK99" s="913"/>
      <c r="AL99" s="913"/>
      <c r="AM99" s="923"/>
      <c r="BS99" s="2"/>
      <c r="BT99" s="2"/>
      <c r="BU99" s="2"/>
      <c r="BV99" s="2"/>
      <c r="BW99" s="2"/>
      <c r="BX99" s="2"/>
      <c r="BY99" s="2"/>
      <c r="BZ99" s="2"/>
      <c r="CA99" s="2"/>
    </row>
    <row r="100" spans="1:79" ht="15.75" thickBot="1" x14ac:dyDescent="0.3">
      <c r="A100" s="193"/>
      <c r="G100" s="193"/>
      <c r="H100" s="193"/>
      <c r="I100" s="193"/>
      <c r="J100" s="193"/>
      <c r="K100" s="193"/>
      <c r="L100" s="193"/>
      <c r="M100" s="193"/>
      <c r="N100" s="193"/>
      <c r="O100" s="935">
        <f t="shared" si="19"/>
        <v>49.06</v>
      </c>
      <c r="P100" s="913"/>
      <c r="Q100" s="925" t="s">
        <v>414</v>
      </c>
      <c r="R100" s="925" t="s">
        <v>414</v>
      </c>
      <c r="S100" s="925">
        <f t="shared" si="18"/>
        <v>4.5299999999999994</v>
      </c>
      <c r="T100" s="925">
        <f t="shared" si="18"/>
        <v>4.5300000000000011</v>
      </c>
      <c r="U100" s="925">
        <f t="shared" si="18"/>
        <v>4.5300000000000011</v>
      </c>
      <c r="V100" s="925">
        <f t="shared" si="18"/>
        <v>4.5300000000000011</v>
      </c>
      <c r="W100" s="925">
        <f t="shared" si="18"/>
        <v>4.5300000000000011</v>
      </c>
      <c r="X100" s="925">
        <f t="shared" si="18"/>
        <v>4.5300000000000011</v>
      </c>
      <c r="Y100" s="925">
        <f t="shared" si="18"/>
        <v>4.5300000000000011</v>
      </c>
      <c r="Z100" s="925">
        <f t="shared" si="18"/>
        <v>4.5300000000000011</v>
      </c>
      <c r="AA100" s="913"/>
      <c r="AB100" s="932"/>
      <c r="AC100" s="932"/>
      <c r="AD100" s="932"/>
      <c r="AE100" s="932"/>
      <c r="AF100" s="932"/>
      <c r="AG100" s="932"/>
      <c r="AH100" s="932"/>
      <c r="AI100" s="913"/>
      <c r="AJ100" s="913"/>
      <c r="AK100" s="913"/>
      <c r="AL100" s="913"/>
      <c r="AM100" s="923"/>
      <c r="BS100" s="2"/>
      <c r="BT100" s="2"/>
      <c r="BU100" s="2"/>
      <c r="BV100" s="2"/>
      <c r="BW100" s="2"/>
      <c r="BX100" s="2"/>
      <c r="BY100" s="2"/>
      <c r="BZ100" s="2"/>
      <c r="CA100" s="2"/>
    </row>
    <row r="101" spans="1:79" ht="15.75" thickBot="1" x14ac:dyDescent="0.3">
      <c r="A101" s="193"/>
      <c r="G101" s="436"/>
      <c r="H101" s="436"/>
      <c r="I101" s="436"/>
      <c r="J101" s="193"/>
      <c r="K101" s="193"/>
      <c r="L101" s="193"/>
      <c r="M101" s="193"/>
      <c r="N101" s="193"/>
      <c r="O101" s="935">
        <f t="shared" si="19"/>
        <v>53.06</v>
      </c>
      <c r="P101" s="913"/>
      <c r="Q101" s="925" t="s">
        <v>414</v>
      </c>
      <c r="R101" s="925" t="s">
        <v>414</v>
      </c>
      <c r="S101" s="925">
        <f t="shared" si="18"/>
        <v>4.8499999999999996</v>
      </c>
      <c r="T101" s="925">
        <f t="shared" si="18"/>
        <v>4.8499999999999996</v>
      </c>
      <c r="U101" s="925">
        <f t="shared" si="18"/>
        <v>4.8500000000000014</v>
      </c>
      <c r="V101" s="925">
        <f t="shared" si="18"/>
        <v>4.84</v>
      </c>
      <c r="W101" s="925">
        <f t="shared" si="18"/>
        <v>4.8500000000000014</v>
      </c>
      <c r="X101" s="925">
        <f t="shared" si="18"/>
        <v>4.8499999999999943</v>
      </c>
      <c r="Y101" s="925">
        <f t="shared" si="18"/>
        <v>4.8500000000000014</v>
      </c>
      <c r="Z101" s="925">
        <f t="shared" si="18"/>
        <v>4.8500000000000014</v>
      </c>
      <c r="AA101" s="913"/>
      <c r="AB101" s="932"/>
      <c r="AC101" s="932"/>
      <c r="AD101" s="932"/>
      <c r="AE101" s="932"/>
      <c r="AF101" s="932"/>
      <c r="AG101" s="932"/>
      <c r="AH101" s="932"/>
      <c r="AI101" s="913"/>
      <c r="AJ101" s="913"/>
      <c r="AK101" s="913"/>
      <c r="AL101" s="913"/>
      <c r="AM101" s="923"/>
      <c r="BS101" s="2"/>
      <c r="BT101" s="2"/>
      <c r="BU101" s="2"/>
      <c r="BV101" s="2"/>
      <c r="BW101" s="2"/>
      <c r="BX101" s="2"/>
      <c r="BY101" s="2"/>
      <c r="BZ101" s="2"/>
      <c r="CA101" s="2"/>
    </row>
    <row r="102" spans="1:79" ht="15.75" thickBot="1" x14ac:dyDescent="0.3">
      <c r="A102" s="193"/>
      <c r="G102" s="436"/>
      <c r="H102" s="436"/>
      <c r="I102" s="436"/>
      <c r="J102" s="193"/>
      <c r="K102" s="193"/>
      <c r="L102" s="193"/>
      <c r="M102" s="193"/>
      <c r="N102" s="193"/>
      <c r="O102" s="935">
        <f t="shared" si="19"/>
        <v>57.06</v>
      </c>
      <c r="P102" s="913"/>
      <c r="Q102" s="925" t="s">
        <v>414</v>
      </c>
      <c r="R102" s="925" t="s">
        <v>414</v>
      </c>
      <c r="S102" s="925">
        <f t="shared" si="18"/>
        <v>5.17</v>
      </c>
      <c r="T102" s="925">
        <f t="shared" si="18"/>
        <v>5.1600000000000019</v>
      </c>
      <c r="U102" s="925">
        <f t="shared" si="18"/>
        <v>5.1599999999999966</v>
      </c>
      <c r="V102" s="925">
        <f t="shared" si="18"/>
        <v>5.1700000000000017</v>
      </c>
      <c r="W102" s="925">
        <f t="shared" si="18"/>
        <v>5.1599999999999966</v>
      </c>
      <c r="X102" s="925">
        <f t="shared" si="18"/>
        <v>5.1700000000000017</v>
      </c>
      <c r="Y102" s="925">
        <f t="shared" si="18"/>
        <v>5.1600000000000037</v>
      </c>
      <c r="Z102" s="925">
        <f t="shared" si="18"/>
        <v>5.1699999999999946</v>
      </c>
      <c r="AA102" s="913"/>
      <c r="AB102" s="932"/>
      <c r="AC102" s="932"/>
      <c r="AD102" s="932"/>
      <c r="AE102" s="932"/>
      <c r="AF102" s="932"/>
      <c r="AG102" s="932"/>
      <c r="AH102" s="932"/>
      <c r="AI102" s="913"/>
      <c r="AJ102" s="913"/>
      <c r="AK102" s="913"/>
      <c r="AL102" s="913"/>
      <c r="AM102" s="923"/>
      <c r="BS102" s="2"/>
      <c r="BT102" s="2"/>
      <c r="BU102" s="2"/>
      <c r="BV102" s="2"/>
      <c r="BW102" s="2"/>
      <c r="BX102" s="2"/>
      <c r="BY102" s="2"/>
      <c r="BZ102" s="2"/>
      <c r="CA102" s="2"/>
    </row>
    <row r="103" spans="1:79" ht="15.75" thickBot="1" x14ac:dyDescent="0.3">
      <c r="A103" s="193"/>
      <c r="G103" s="436"/>
      <c r="H103" s="436"/>
      <c r="I103" s="436"/>
      <c r="J103" s="193"/>
      <c r="K103" s="193"/>
      <c r="L103" s="193"/>
      <c r="M103" s="193"/>
      <c r="N103" s="193"/>
      <c r="O103" s="935">
        <f t="shared" si="19"/>
        <v>61.06</v>
      </c>
      <c r="P103" s="913"/>
      <c r="Q103" s="925" t="s">
        <v>414</v>
      </c>
      <c r="R103" s="925" t="s">
        <v>414</v>
      </c>
      <c r="S103" s="925">
        <f t="shared" si="18"/>
        <v>5.4799999999999986</v>
      </c>
      <c r="T103" s="925">
        <f t="shared" si="18"/>
        <v>5.48</v>
      </c>
      <c r="U103" s="925">
        <f t="shared" si="18"/>
        <v>5.48</v>
      </c>
      <c r="V103" s="925">
        <f t="shared" si="18"/>
        <v>5.48</v>
      </c>
      <c r="W103" s="925">
        <f t="shared" si="18"/>
        <v>5.480000000000004</v>
      </c>
      <c r="X103" s="925">
        <f t="shared" si="18"/>
        <v>5.480000000000004</v>
      </c>
      <c r="Y103" s="925">
        <f t="shared" si="18"/>
        <v>5.480000000000004</v>
      </c>
      <c r="Z103" s="925">
        <f t="shared" si="18"/>
        <v>5.480000000000004</v>
      </c>
      <c r="AA103" s="913"/>
      <c r="AB103" s="932"/>
      <c r="AC103" s="932"/>
      <c r="AD103" s="932"/>
      <c r="AE103" s="932"/>
      <c r="AF103" s="932"/>
      <c r="AG103" s="932"/>
      <c r="AH103" s="932"/>
      <c r="AI103" s="913"/>
      <c r="AJ103" s="913"/>
      <c r="AK103" s="913"/>
      <c r="AL103" s="913"/>
      <c r="AM103" s="923"/>
      <c r="BS103" s="2"/>
      <c r="BT103" s="2"/>
      <c r="BU103" s="2"/>
      <c r="BV103" s="2"/>
      <c r="BW103" s="2"/>
      <c r="BX103" s="2"/>
      <c r="BY103" s="2"/>
      <c r="BZ103" s="2"/>
      <c r="CA103" s="2"/>
    </row>
    <row r="104" spans="1:79" ht="15.75" thickBot="1" x14ac:dyDescent="0.3">
      <c r="A104" s="193"/>
      <c r="G104" s="436"/>
      <c r="H104" s="436"/>
      <c r="I104" s="436"/>
      <c r="J104" s="193"/>
      <c r="K104" s="193"/>
      <c r="L104" s="193"/>
      <c r="M104" s="193"/>
      <c r="N104" s="193"/>
      <c r="O104" s="935">
        <f t="shared" si="19"/>
        <v>65.06</v>
      </c>
      <c r="P104" s="913"/>
      <c r="Q104" s="925" t="s">
        <v>414</v>
      </c>
      <c r="R104" s="925" t="s">
        <v>414</v>
      </c>
      <c r="S104" s="925">
        <f t="shared" si="18"/>
        <v>5.7900000000000009</v>
      </c>
      <c r="T104" s="925">
        <f t="shared" si="18"/>
        <v>5.8099999999999987</v>
      </c>
      <c r="U104" s="925">
        <f t="shared" si="18"/>
        <v>5.7899999999999991</v>
      </c>
      <c r="V104" s="925">
        <f t="shared" si="18"/>
        <v>5.8000000000000007</v>
      </c>
      <c r="W104" s="925">
        <f t="shared" si="18"/>
        <v>5.7899999999999991</v>
      </c>
      <c r="X104" s="925">
        <f t="shared" si="18"/>
        <v>5.8000000000000043</v>
      </c>
      <c r="Y104" s="925">
        <f t="shared" si="18"/>
        <v>5.7999999999999972</v>
      </c>
      <c r="Z104" s="925">
        <f t="shared" si="18"/>
        <v>5.7899999999999991</v>
      </c>
      <c r="AA104" s="913"/>
      <c r="AB104" s="913"/>
      <c r="AC104" s="913"/>
      <c r="AD104" s="913"/>
      <c r="AE104" s="913"/>
      <c r="AF104" s="913"/>
      <c r="AG104" s="913"/>
      <c r="AH104" s="913"/>
      <c r="AI104" s="913"/>
      <c r="AJ104" s="913"/>
      <c r="AK104" s="913"/>
      <c r="AL104" s="913"/>
      <c r="AM104" s="923"/>
      <c r="BS104" s="2"/>
      <c r="BT104" s="2"/>
      <c r="BU104" s="2"/>
      <c r="BV104" s="2"/>
      <c r="BW104" s="2"/>
      <c r="BX104" s="2"/>
      <c r="BY104" s="2"/>
      <c r="BZ104" s="2"/>
      <c r="CA104" s="2"/>
    </row>
    <row r="105" spans="1:79" ht="15.75" thickBot="1" x14ac:dyDescent="0.3">
      <c r="A105" s="193"/>
      <c r="G105" s="436"/>
      <c r="H105" s="436"/>
      <c r="I105" s="436"/>
      <c r="J105" s="193"/>
      <c r="K105" s="193"/>
      <c r="L105" s="193"/>
      <c r="M105" s="193"/>
      <c r="N105" s="193"/>
      <c r="O105" s="935">
        <f t="shared" si="19"/>
        <v>69.06</v>
      </c>
      <c r="P105" s="913"/>
      <c r="Q105" s="925" t="s">
        <v>414</v>
      </c>
      <c r="R105" s="925" t="s">
        <v>414</v>
      </c>
      <c r="S105" s="925">
        <f t="shared" si="18"/>
        <v>6.120000000000001</v>
      </c>
      <c r="T105" s="925">
        <f t="shared" si="18"/>
        <v>6.1099999999999994</v>
      </c>
      <c r="U105" s="925">
        <f t="shared" si="18"/>
        <v>6.1099999999999994</v>
      </c>
      <c r="V105" s="925">
        <f t="shared" si="18"/>
        <v>6.1099999999999994</v>
      </c>
      <c r="W105" s="925">
        <f t="shared" si="18"/>
        <v>6.1099999999999994</v>
      </c>
      <c r="X105" s="925">
        <f t="shared" si="18"/>
        <v>6.1099999999999994</v>
      </c>
      <c r="Y105" s="925">
        <f t="shared" si="18"/>
        <v>6.1200000000000045</v>
      </c>
      <c r="Z105" s="925">
        <f t="shared" si="18"/>
        <v>6.1099999999999994</v>
      </c>
      <c r="AA105" s="913"/>
      <c r="AB105" s="913"/>
      <c r="AC105" s="913"/>
      <c r="AD105" s="913"/>
      <c r="AE105" s="913"/>
      <c r="AF105" s="913"/>
      <c r="AG105" s="913"/>
      <c r="AH105" s="913"/>
      <c r="AI105" s="913"/>
      <c r="AJ105" s="913"/>
      <c r="AK105" s="913"/>
      <c r="AL105" s="913"/>
      <c r="AM105" s="923"/>
      <c r="BS105" s="2"/>
      <c r="BT105" s="2"/>
      <c r="BU105" s="2"/>
      <c r="BV105" s="2"/>
      <c r="BW105" s="2"/>
      <c r="BX105" s="2"/>
      <c r="BY105" s="2"/>
      <c r="BZ105" s="2"/>
      <c r="CA105" s="2"/>
    </row>
    <row r="106" spans="1:79" ht="15.75" thickBot="1" x14ac:dyDescent="0.3">
      <c r="A106" s="193"/>
      <c r="G106" s="193"/>
      <c r="H106" s="193"/>
      <c r="I106" s="193"/>
      <c r="J106" s="193"/>
      <c r="K106" s="193"/>
      <c r="L106" s="193"/>
      <c r="M106" s="193"/>
      <c r="N106" s="193"/>
      <c r="O106" s="935">
        <f t="shared" si="19"/>
        <v>73.06</v>
      </c>
      <c r="P106" s="913"/>
      <c r="Q106" s="925" t="s">
        <v>414</v>
      </c>
      <c r="R106" s="925" t="s">
        <v>414</v>
      </c>
      <c r="S106" s="925">
        <f t="shared" si="18"/>
        <v>6.42</v>
      </c>
      <c r="T106" s="925">
        <f t="shared" si="18"/>
        <v>6.43</v>
      </c>
      <c r="U106" s="925">
        <f t="shared" si="18"/>
        <v>6.43</v>
      </c>
      <c r="V106" s="925">
        <f t="shared" si="18"/>
        <v>6.43</v>
      </c>
      <c r="W106" s="925">
        <f t="shared" si="18"/>
        <v>6.43</v>
      </c>
      <c r="X106" s="925">
        <f t="shared" si="18"/>
        <v>6.43</v>
      </c>
      <c r="Y106" s="925">
        <f t="shared" si="18"/>
        <v>6.43</v>
      </c>
      <c r="Z106" s="925">
        <f t="shared" si="18"/>
        <v>6.43</v>
      </c>
      <c r="AA106" s="913"/>
      <c r="AB106" s="913"/>
      <c r="AC106" s="913"/>
      <c r="AD106" s="913"/>
      <c r="AE106" s="913"/>
      <c r="AF106" s="913"/>
      <c r="AG106" s="913"/>
      <c r="AH106" s="913"/>
      <c r="AI106" s="913"/>
      <c r="AJ106" s="913"/>
      <c r="AK106" s="913"/>
      <c r="AL106" s="913"/>
      <c r="AM106" s="923"/>
      <c r="BS106" s="2"/>
      <c r="BT106" s="2"/>
      <c r="BU106" s="2"/>
      <c r="BV106" s="2"/>
      <c r="BW106" s="2"/>
      <c r="BX106" s="2"/>
      <c r="BY106" s="2"/>
      <c r="BZ106" s="2"/>
      <c r="CA106" s="2"/>
    </row>
    <row r="107" spans="1:79" ht="18.75" x14ac:dyDescent="0.3">
      <c r="A107" s="193"/>
      <c r="G107" s="193"/>
      <c r="H107" s="193"/>
      <c r="I107" s="658"/>
      <c r="J107" s="658"/>
      <c r="K107" s="658"/>
      <c r="L107" s="193"/>
      <c r="M107" s="193"/>
      <c r="N107" s="193"/>
      <c r="O107" s="922"/>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23"/>
    </row>
    <row r="108" spans="1:79" ht="19.5" thickBot="1" x14ac:dyDescent="0.35">
      <c r="A108" s="193"/>
      <c r="G108" s="425"/>
      <c r="H108" s="193"/>
      <c r="I108" s="658"/>
      <c r="J108" s="658"/>
      <c r="K108" s="658"/>
      <c r="L108" s="193"/>
      <c r="M108" s="193"/>
      <c r="N108" s="193"/>
      <c r="O108" s="922" t="s">
        <v>416</v>
      </c>
      <c r="P108" s="913"/>
      <c r="Q108" s="924"/>
      <c r="R108" s="924"/>
      <c r="S108" s="924"/>
      <c r="T108" s="924"/>
      <c r="U108" s="924"/>
      <c r="V108" s="924"/>
      <c r="W108" s="924"/>
      <c r="X108" s="924"/>
      <c r="Y108" s="924"/>
      <c r="Z108" s="924"/>
      <c r="AA108" s="913"/>
      <c r="AB108" s="913"/>
      <c r="AC108" s="913"/>
      <c r="AD108" s="913"/>
      <c r="AE108" s="913"/>
      <c r="AF108" s="913"/>
      <c r="AG108" s="913"/>
      <c r="AH108" s="913"/>
      <c r="AI108" s="913"/>
      <c r="AJ108" s="913"/>
      <c r="AK108" s="913"/>
      <c r="AL108" s="913"/>
      <c r="AM108" s="923"/>
    </row>
    <row r="109" spans="1:79" ht="19.5" thickBot="1" x14ac:dyDescent="0.35">
      <c r="A109" s="193"/>
      <c r="G109" s="193"/>
      <c r="H109" s="193"/>
      <c r="I109" s="193"/>
      <c r="J109" s="658"/>
      <c r="K109" s="658"/>
      <c r="L109" s="193"/>
      <c r="M109" s="193"/>
      <c r="N109" s="193"/>
      <c r="O109" s="922"/>
      <c r="P109" s="913"/>
      <c r="Q109" s="914">
        <v>9</v>
      </c>
      <c r="R109" s="915">
        <v>12</v>
      </c>
      <c r="S109" s="915">
        <f t="shared" ref="S109:Z109" si="20">R109+6</f>
        <v>18</v>
      </c>
      <c r="T109" s="915">
        <f t="shared" si="20"/>
        <v>24</v>
      </c>
      <c r="U109" s="915">
        <f t="shared" si="20"/>
        <v>30</v>
      </c>
      <c r="V109" s="915">
        <f t="shared" si="20"/>
        <v>36</v>
      </c>
      <c r="W109" s="915">
        <f t="shared" si="20"/>
        <v>42</v>
      </c>
      <c r="X109" s="915">
        <f t="shared" si="20"/>
        <v>48</v>
      </c>
      <c r="Y109" s="915">
        <f t="shared" si="20"/>
        <v>54</v>
      </c>
      <c r="Z109" s="915">
        <f t="shared" si="20"/>
        <v>60</v>
      </c>
      <c r="AA109" s="913" t="s">
        <v>413</v>
      </c>
      <c r="AB109" s="913"/>
      <c r="AC109" s="913"/>
      <c r="AD109" s="913"/>
      <c r="AE109" s="913"/>
      <c r="AF109" s="913"/>
      <c r="AG109" s="913"/>
      <c r="AH109" s="913"/>
      <c r="AI109" s="913"/>
      <c r="AJ109" s="913"/>
      <c r="AK109" s="913"/>
      <c r="AL109" s="913"/>
      <c r="AM109" s="923"/>
    </row>
    <row r="110" spans="1:79" ht="19.5" thickBot="1" x14ac:dyDescent="0.35">
      <c r="A110" s="193"/>
      <c r="G110" s="193"/>
      <c r="H110" s="193"/>
      <c r="I110" s="193"/>
      <c r="J110" s="658"/>
      <c r="K110" s="658"/>
      <c r="L110" s="193"/>
      <c r="M110" s="193"/>
      <c r="N110" s="193"/>
      <c r="O110" s="935">
        <f>O46</f>
        <v>13.06</v>
      </c>
      <c r="P110" s="913"/>
      <c r="Q110" s="924" t="s">
        <v>414</v>
      </c>
      <c r="R110" s="924" t="s">
        <v>414</v>
      </c>
      <c r="S110" s="924" t="s">
        <v>414</v>
      </c>
      <c r="T110" s="924" t="s">
        <v>414</v>
      </c>
      <c r="U110" s="924" t="s">
        <v>414</v>
      </c>
      <c r="V110" s="924" t="s">
        <v>414</v>
      </c>
      <c r="W110" s="924" t="s">
        <v>414</v>
      </c>
      <c r="X110" s="924" t="s">
        <v>414</v>
      </c>
      <c r="Y110" s="924" t="s">
        <v>414</v>
      </c>
      <c r="Z110" s="924" t="s">
        <v>414</v>
      </c>
      <c r="AA110" s="913" t="s">
        <v>424</v>
      </c>
      <c r="AB110" s="913"/>
      <c r="AC110" s="913"/>
      <c r="AD110" s="913"/>
      <c r="AE110" s="913"/>
      <c r="AF110" s="913"/>
      <c r="AG110" s="913"/>
      <c r="AH110" s="913"/>
      <c r="AI110" s="913"/>
      <c r="AJ110" s="913"/>
      <c r="AK110" s="913"/>
      <c r="AL110" s="913"/>
      <c r="AM110" s="923"/>
    </row>
    <row r="111" spans="1:79" ht="19.5" thickBot="1" x14ac:dyDescent="0.35">
      <c r="A111" s="193"/>
      <c r="G111" s="193"/>
      <c r="H111" s="193"/>
      <c r="I111" s="193"/>
      <c r="J111" s="658"/>
      <c r="K111" s="658"/>
      <c r="L111" s="193"/>
      <c r="M111" s="193"/>
      <c r="N111" s="193"/>
      <c r="O111" s="935">
        <f t="shared" ref="O111:O125" si="21">O47</f>
        <v>17.059999999999999</v>
      </c>
      <c r="P111" s="913"/>
      <c r="Q111" s="925"/>
      <c r="R111" s="932">
        <f t="shared" ref="R111:Z125" si="22">R47-R46</f>
        <v>0.62999999999999989</v>
      </c>
      <c r="S111" s="932">
        <f t="shared" si="22"/>
        <v>0.94000000000000039</v>
      </c>
      <c r="T111" s="932">
        <f t="shared" si="22"/>
        <v>1.2599999999999998</v>
      </c>
      <c r="U111" s="932">
        <f t="shared" si="22"/>
        <v>1.580000000000001</v>
      </c>
      <c r="V111" s="932">
        <f t="shared" si="22"/>
        <v>1.9000000000000004</v>
      </c>
      <c r="W111" s="932">
        <f t="shared" si="22"/>
        <v>2.2200000000000006</v>
      </c>
      <c r="X111" s="932">
        <f t="shared" si="22"/>
        <v>2.5300000000000011</v>
      </c>
      <c r="Y111" s="932">
        <f t="shared" si="22"/>
        <v>2.8499999999999996</v>
      </c>
      <c r="Z111" s="932">
        <f t="shared" si="22"/>
        <v>3.1700000000000017</v>
      </c>
      <c r="AA111" s="913"/>
      <c r="AB111" s="913"/>
      <c r="AC111" s="913"/>
      <c r="AD111" s="913"/>
      <c r="AE111" s="913"/>
      <c r="AF111" s="913"/>
      <c r="AG111" s="913"/>
      <c r="AH111" s="913"/>
      <c r="AI111" s="913"/>
      <c r="AJ111" s="913"/>
      <c r="AK111" s="913"/>
      <c r="AL111" s="913"/>
      <c r="AM111" s="923"/>
    </row>
    <row r="112" spans="1:79" ht="19.5" thickBot="1" x14ac:dyDescent="0.35">
      <c r="A112" s="193"/>
      <c r="G112" s="193"/>
      <c r="H112" s="193"/>
      <c r="I112" s="193"/>
      <c r="J112" s="658"/>
      <c r="K112" s="658"/>
      <c r="L112" s="193"/>
      <c r="M112" s="193"/>
      <c r="N112" s="193"/>
      <c r="O112" s="935">
        <f t="shared" si="21"/>
        <v>21.06</v>
      </c>
      <c r="P112" s="913"/>
      <c r="Q112" s="925"/>
      <c r="R112" s="932">
        <f t="shared" si="22"/>
        <v>0.63000000000000034</v>
      </c>
      <c r="S112" s="932">
        <f t="shared" si="22"/>
        <v>0.95000000000000018</v>
      </c>
      <c r="T112" s="932">
        <f t="shared" si="22"/>
        <v>1.2700000000000005</v>
      </c>
      <c r="U112" s="932">
        <f t="shared" si="22"/>
        <v>1.58</v>
      </c>
      <c r="V112" s="932">
        <f t="shared" si="22"/>
        <v>1.8899999999999988</v>
      </c>
      <c r="W112" s="932">
        <f t="shared" si="22"/>
        <v>2.2099999999999991</v>
      </c>
      <c r="X112" s="932">
        <f t="shared" si="22"/>
        <v>2.5300000000000011</v>
      </c>
      <c r="Y112" s="932">
        <f t="shared" si="22"/>
        <v>2.8400000000000034</v>
      </c>
      <c r="Z112" s="932">
        <f t="shared" si="22"/>
        <v>3.16</v>
      </c>
      <c r="AA112" s="913"/>
      <c r="AB112" s="913"/>
      <c r="AC112" s="913"/>
      <c r="AD112" s="913"/>
      <c r="AE112" s="913"/>
      <c r="AF112" s="913"/>
      <c r="AG112" s="913"/>
      <c r="AH112" s="913"/>
      <c r="AI112" s="913"/>
      <c r="AJ112" s="913"/>
      <c r="AK112" s="913"/>
      <c r="AL112" s="913"/>
      <c r="AM112" s="923"/>
    </row>
    <row r="113" spans="1:39" ht="15.75" thickBot="1" x14ac:dyDescent="0.3">
      <c r="A113" s="193"/>
      <c r="G113" s="436"/>
      <c r="H113" s="436"/>
      <c r="I113" s="436"/>
      <c r="J113" s="193"/>
      <c r="K113" s="193"/>
      <c r="L113" s="193"/>
      <c r="M113" s="193"/>
      <c r="N113" s="193"/>
      <c r="O113" s="935">
        <f t="shared" si="21"/>
        <v>25.06</v>
      </c>
      <c r="P113" s="913"/>
      <c r="Q113" s="925"/>
      <c r="R113" s="932">
        <f t="shared" si="22"/>
        <v>0.62999999999999989</v>
      </c>
      <c r="S113" s="932">
        <f t="shared" si="22"/>
        <v>0.94999999999999929</v>
      </c>
      <c r="T113" s="932">
        <f t="shared" si="22"/>
        <v>1.2599999999999998</v>
      </c>
      <c r="U113" s="932">
        <f t="shared" si="22"/>
        <v>1.58</v>
      </c>
      <c r="V113" s="932">
        <f t="shared" si="22"/>
        <v>1.9000000000000021</v>
      </c>
      <c r="W113" s="932">
        <f t="shared" si="22"/>
        <v>2.2100000000000026</v>
      </c>
      <c r="X113" s="932">
        <f t="shared" si="22"/>
        <v>2.5300000000000011</v>
      </c>
      <c r="Y113" s="932">
        <f t="shared" si="22"/>
        <v>2.8500000000000014</v>
      </c>
      <c r="Z113" s="932">
        <f t="shared" si="22"/>
        <v>3.1600000000000037</v>
      </c>
      <c r="AA113" s="913"/>
      <c r="AB113" s="913"/>
      <c r="AC113" s="913"/>
      <c r="AD113" s="913"/>
      <c r="AE113" s="913"/>
      <c r="AF113" s="913"/>
      <c r="AG113" s="913"/>
      <c r="AH113" s="913"/>
      <c r="AI113" s="913"/>
      <c r="AJ113" s="913"/>
      <c r="AK113" s="913"/>
      <c r="AL113" s="913"/>
      <c r="AM113" s="923"/>
    </row>
    <row r="114" spans="1:39" ht="15.75" thickBot="1" x14ac:dyDescent="0.3">
      <c r="A114" s="193"/>
      <c r="G114" s="436"/>
      <c r="H114" s="436"/>
      <c r="I114" s="436"/>
      <c r="J114" s="193"/>
      <c r="K114" s="193"/>
      <c r="L114" s="193"/>
      <c r="M114" s="193"/>
      <c r="N114" s="193"/>
      <c r="O114" s="935">
        <f t="shared" si="21"/>
        <v>29.06</v>
      </c>
      <c r="P114" s="913"/>
      <c r="Q114" s="925"/>
      <c r="R114" s="932">
        <f t="shared" si="22"/>
        <v>0.62999999999999989</v>
      </c>
      <c r="S114" s="932">
        <f t="shared" si="22"/>
        <v>0.95000000000000107</v>
      </c>
      <c r="T114" s="932">
        <f t="shared" si="22"/>
        <v>1.2599999999999998</v>
      </c>
      <c r="U114" s="932">
        <f t="shared" si="22"/>
        <v>1.5799999999999983</v>
      </c>
      <c r="V114" s="932">
        <f t="shared" si="22"/>
        <v>1.889999999999997</v>
      </c>
      <c r="W114" s="932">
        <f t="shared" si="22"/>
        <v>2.2099999999999973</v>
      </c>
      <c r="X114" s="932">
        <f t="shared" si="22"/>
        <v>2.519999999999996</v>
      </c>
      <c r="Y114" s="932">
        <f t="shared" si="22"/>
        <v>2.8399999999999963</v>
      </c>
      <c r="Z114" s="932">
        <f t="shared" si="22"/>
        <v>3.149999999999995</v>
      </c>
      <c r="AA114" s="913"/>
      <c r="AB114" s="913"/>
      <c r="AC114" s="913"/>
      <c r="AD114" s="913"/>
      <c r="AE114" s="913"/>
      <c r="AF114" s="913"/>
      <c r="AG114" s="913"/>
      <c r="AH114" s="913"/>
      <c r="AI114" s="913"/>
      <c r="AJ114" s="913"/>
      <c r="AK114" s="913"/>
      <c r="AL114" s="913"/>
      <c r="AM114" s="923"/>
    </row>
    <row r="115" spans="1:39" ht="15.75" thickBot="1" x14ac:dyDescent="0.3">
      <c r="A115" s="193"/>
      <c r="G115" s="436"/>
      <c r="H115" s="436"/>
      <c r="I115" s="436"/>
      <c r="J115" s="193"/>
      <c r="K115" s="193"/>
      <c r="L115" s="193"/>
      <c r="M115" s="193"/>
      <c r="N115" s="193"/>
      <c r="O115" s="935">
        <f t="shared" si="21"/>
        <v>33.06</v>
      </c>
      <c r="P115" s="913"/>
      <c r="Q115" s="925"/>
      <c r="R115" s="932">
        <f t="shared" si="22"/>
        <v>0.62999999999999989</v>
      </c>
      <c r="S115" s="932">
        <f t="shared" si="22"/>
        <v>0.9399999999999995</v>
      </c>
      <c r="T115" s="932">
        <f t="shared" si="22"/>
        <v>1.2599999999999998</v>
      </c>
      <c r="U115" s="932">
        <f t="shared" si="22"/>
        <v>1.5700000000000003</v>
      </c>
      <c r="V115" s="932">
        <f t="shared" si="22"/>
        <v>1.8900000000000006</v>
      </c>
      <c r="W115" s="932">
        <f t="shared" si="22"/>
        <v>2.2100000000000009</v>
      </c>
      <c r="X115" s="932">
        <f t="shared" si="22"/>
        <v>2.5300000000000011</v>
      </c>
      <c r="Y115" s="932">
        <f t="shared" si="22"/>
        <v>2.84</v>
      </c>
      <c r="Z115" s="932">
        <f t="shared" si="22"/>
        <v>3.16</v>
      </c>
      <c r="AA115" s="913"/>
      <c r="AB115" s="913"/>
      <c r="AC115" s="913"/>
      <c r="AD115" s="913"/>
      <c r="AE115" s="913"/>
      <c r="AF115" s="913"/>
      <c r="AG115" s="913"/>
      <c r="AH115" s="913"/>
      <c r="AI115" s="913"/>
      <c r="AJ115" s="913"/>
      <c r="AK115" s="913"/>
      <c r="AL115" s="913"/>
      <c r="AM115" s="923"/>
    </row>
    <row r="116" spans="1:39" ht="15.75" thickBot="1" x14ac:dyDescent="0.3">
      <c r="A116" s="193"/>
      <c r="G116" s="436"/>
      <c r="H116" s="436"/>
      <c r="I116" s="436"/>
      <c r="J116" s="193"/>
      <c r="K116" s="193"/>
      <c r="L116" s="193"/>
      <c r="M116" s="193"/>
      <c r="N116" s="193"/>
      <c r="O116" s="935">
        <f t="shared" si="21"/>
        <v>37.06</v>
      </c>
      <c r="P116" s="913"/>
      <c r="Q116" s="925"/>
      <c r="R116" s="932">
        <f t="shared" si="22"/>
        <v>0.62999999999999989</v>
      </c>
      <c r="S116" s="932">
        <f t="shared" si="22"/>
        <v>0.94999999999999929</v>
      </c>
      <c r="T116" s="932">
        <f t="shared" si="22"/>
        <v>1.2699999999999996</v>
      </c>
      <c r="U116" s="932">
        <f t="shared" si="22"/>
        <v>1.5899999999999999</v>
      </c>
      <c r="V116" s="932">
        <f t="shared" si="22"/>
        <v>1.9100000000000001</v>
      </c>
      <c r="W116" s="932">
        <f t="shared" si="22"/>
        <v>2.2199999999999989</v>
      </c>
      <c r="X116" s="932">
        <f t="shared" si="22"/>
        <v>2.5399999999999991</v>
      </c>
      <c r="Y116" s="932">
        <f t="shared" si="22"/>
        <v>2.8599999999999994</v>
      </c>
      <c r="Z116" s="932">
        <f t="shared" si="22"/>
        <v>3.1799999999999997</v>
      </c>
      <c r="AA116" s="913"/>
      <c r="AB116" s="913"/>
      <c r="AC116" s="913"/>
      <c r="AD116" s="913"/>
      <c r="AE116" s="913"/>
      <c r="AF116" s="913"/>
      <c r="AG116" s="913"/>
      <c r="AH116" s="913"/>
      <c r="AI116" s="913"/>
      <c r="AJ116" s="913"/>
      <c r="AK116" s="913"/>
      <c r="AL116" s="913"/>
      <c r="AM116" s="923"/>
    </row>
    <row r="117" spans="1:39" ht="15.75" thickBot="1" x14ac:dyDescent="0.3">
      <c r="A117" s="193"/>
      <c r="G117" s="436"/>
      <c r="H117" s="436"/>
      <c r="I117" s="436"/>
      <c r="J117" s="193"/>
      <c r="K117" s="193"/>
      <c r="L117" s="193"/>
      <c r="M117" s="193"/>
      <c r="N117" s="193"/>
      <c r="O117" s="935">
        <f t="shared" si="21"/>
        <v>41.06</v>
      </c>
      <c r="P117" s="913"/>
      <c r="Q117" s="925"/>
      <c r="R117" s="932">
        <f t="shared" si="22"/>
        <v>0.62999999999999989</v>
      </c>
      <c r="S117" s="932">
        <f t="shared" si="22"/>
        <v>0.95000000000000107</v>
      </c>
      <c r="T117" s="932">
        <f t="shared" si="22"/>
        <v>1.2599999999999998</v>
      </c>
      <c r="U117" s="932">
        <f t="shared" si="22"/>
        <v>1.5700000000000003</v>
      </c>
      <c r="V117" s="932">
        <f t="shared" si="22"/>
        <v>1.8800000000000026</v>
      </c>
      <c r="W117" s="932">
        <f t="shared" si="22"/>
        <v>2.1900000000000013</v>
      </c>
      <c r="X117" s="932">
        <f t="shared" si="22"/>
        <v>2.5100000000000016</v>
      </c>
      <c r="Y117" s="932">
        <f t="shared" si="22"/>
        <v>2.8200000000000038</v>
      </c>
      <c r="Z117" s="932">
        <f t="shared" si="22"/>
        <v>3.1300000000000026</v>
      </c>
      <c r="AA117" s="913"/>
      <c r="AB117" s="913"/>
      <c r="AC117" s="913"/>
      <c r="AD117" s="913"/>
      <c r="AE117" s="913"/>
      <c r="AF117" s="913"/>
      <c r="AG117" s="913"/>
      <c r="AH117" s="913"/>
      <c r="AI117" s="913"/>
      <c r="AJ117" s="913"/>
      <c r="AK117" s="913"/>
      <c r="AL117" s="913"/>
      <c r="AM117" s="923"/>
    </row>
    <row r="118" spans="1:39" ht="15.75" thickBot="1" x14ac:dyDescent="0.3">
      <c r="A118" s="193"/>
      <c r="G118" s="193"/>
      <c r="H118" s="193"/>
      <c r="I118" s="193"/>
      <c r="J118" s="193"/>
      <c r="K118" s="193"/>
      <c r="L118" s="193"/>
      <c r="M118" s="193"/>
      <c r="N118" s="193"/>
      <c r="O118" s="935">
        <f t="shared" si="21"/>
        <v>45.06</v>
      </c>
      <c r="P118" s="913"/>
      <c r="Q118" s="925"/>
      <c r="R118" s="932">
        <f t="shared" si="22"/>
        <v>0.64000000000000057</v>
      </c>
      <c r="S118" s="932">
        <f t="shared" si="22"/>
        <v>0.9399999999999995</v>
      </c>
      <c r="T118" s="932">
        <f t="shared" si="22"/>
        <v>1.2599999999999998</v>
      </c>
      <c r="U118" s="932">
        <f t="shared" si="22"/>
        <v>1.5800000000000018</v>
      </c>
      <c r="V118" s="932">
        <f t="shared" si="22"/>
        <v>1.8999999999999986</v>
      </c>
      <c r="W118" s="932">
        <f t="shared" si="22"/>
        <v>2.2100000000000009</v>
      </c>
      <c r="X118" s="932">
        <f t="shared" si="22"/>
        <v>2.5199999999999996</v>
      </c>
      <c r="Y118" s="932">
        <f t="shared" si="22"/>
        <v>2.8399999999999963</v>
      </c>
      <c r="Z118" s="932">
        <f t="shared" si="22"/>
        <v>3.1599999999999966</v>
      </c>
      <c r="AA118" s="913"/>
      <c r="AB118" s="913"/>
      <c r="AC118" s="913"/>
      <c r="AD118" s="913"/>
      <c r="AE118" s="913"/>
      <c r="AF118" s="913"/>
      <c r="AG118" s="913"/>
      <c r="AH118" s="913"/>
      <c r="AI118" s="913"/>
      <c r="AJ118" s="913"/>
      <c r="AK118" s="913"/>
      <c r="AL118" s="913"/>
      <c r="AM118" s="923"/>
    </row>
    <row r="119" spans="1:39" ht="15.75" thickBot="1" x14ac:dyDescent="0.3">
      <c r="A119" s="193"/>
      <c r="B119" s="193"/>
      <c r="C119" s="193"/>
      <c r="D119" s="193"/>
      <c r="E119" s="193"/>
      <c r="F119" s="193"/>
      <c r="G119" s="193"/>
      <c r="H119" s="193"/>
      <c r="I119" s="193"/>
      <c r="J119" s="193"/>
      <c r="K119" s="193"/>
      <c r="L119" s="193"/>
      <c r="M119" s="193"/>
      <c r="N119" s="193"/>
      <c r="O119" s="935">
        <f t="shared" si="21"/>
        <v>49.06</v>
      </c>
      <c r="P119" s="913"/>
      <c r="Q119" s="925"/>
      <c r="R119" s="932">
        <f t="shared" si="22"/>
        <v>0.62999999999999989</v>
      </c>
      <c r="S119" s="932">
        <f t="shared" si="22"/>
        <v>0.94999999999999929</v>
      </c>
      <c r="T119" s="932">
        <f t="shared" si="22"/>
        <v>1.2600000000000016</v>
      </c>
      <c r="U119" s="932">
        <f t="shared" si="22"/>
        <v>1.5700000000000003</v>
      </c>
      <c r="V119" s="932">
        <f t="shared" si="22"/>
        <v>1.8800000000000026</v>
      </c>
      <c r="W119" s="932">
        <f t="shared" si="22"/>
        <v>2.2000000000000028</v>
      </c>
      <c r="X119" s="932">
        <f t="shared" si="22"/>
        <v>2.5100000000000051</v>
      </c>
      <c r="Y119" s="932">
        <f t="shared" si="22"/>
        <v>2.8200000000000074</v>
      </c>
      <c r="Z119" s="932">
        <f t="shared" si="22"/>
        <v>3.1300000000000097</v>
      </c>
      <c r="AA119" s="913"/>
      <c r="AB119" s="913"/>
      <c r="AC119" s="913"/>
      <c r="AD119" s="913"/>
      <c r="AE119" s="913"/>
      <c r="AF119" s="913"/>
      <c r="AG119" s="913"/>
      <c r="AH119" s="913"/>
      <c r="AI119" s="913"/>
      <c r="AJ119" s="913"/>
      <c r="AK119" s="913"/>
      <c r="AL119" s="913"/>
      <c r="AM119" s="923"/>
    </row>
    <row r="120" spans="1:39" ht="15.75" thickBot="1" x14ac:dyDescent="0.3">
      <c r="A120" s="193"/>
      <c r="B120" s="193"/>
      <c r="C120" s="193"/>
      <c r="D120" s="193"/>
      <c r="E120" s="193"/>
      <c r="F120" s="193"/>
      <c r="G120" s="193"/>
      <c r="H120" s="193"/>
      <c r="I120" s="193"/>
      <c r="J120" s="193"/>
      <c r="K120" s="193"/>
      <c r="L120" s="193"/>
      <c r="M120" s="193"/>
      <c r="N120" s="193"/>
      <c r="O120" s="935">
        <f t="shared" si="21"/>
        <v>53.06</v>
      </c>
      <c r="P120" s="913"/>
      <c r="Q120" s="925"/>
      <c r="R120" s="932">
        <f t="shared" si="22"/>
        <v>0.63000000000000078</v>
      </c>
      <c r="S120" s="932">
        <f t="shared" si="22"/>
        <v>0.95000000000000107</v>
      </c>
      <c r="T120" s="932">
        <f t="shared" si="22"/>
        <v>1.2699999999999996</v>
      </c>
      <c r="U120" s="932">
        <f t="shared" si="22"/>
        <v>1.5899999999999999</v>
      </c>
      <c r="V120" s="932">
        <f t="shared" si="22"/>
        <v>1.8999999999999986</v>
      </c>
      <c r="W120" s="932">
        <f t="shared" si="22"/>
        <v>2.2199999999999989</v>
      </c>
      <c r="X120" s="932">
        <f t="shared" si="22"/>
        <v>2.539999999999992</v>
      </c>
      <c r="Y120" s="932">
        <f t="shared" si="22"/>
        <v>2.8599999999999923</v>
      </c>
      <c r="Z120" s="932">
        <f t="shared" si="22"/>
        <v>3.1799999999999926</v>
      </c>
      <c r="AA120" s="913"/>
      <c r="AB120" s="913"/>
      <c r="AC120" s="913"/>
      <c r="AD120" s="913"/>
      <c r="AE120" s="913"/>
      <c r="AF120" s="913"/>
      <c r="AG120" s="913"/>
      <c r="AH120" s="913"/>
      <c r="AI120" s="913"/>
      <c r="AJ120" s="913"/>
      <c r="AK120" s="913"/>
      <c r="AL120" s="913"/>
      <c r="AM120" s="923"/>
    </row>
    <row r="121" spans="1:39" ht="15.75" thickBot="1" x14ac:dyDescent="0.3">
      <c r="A121" s="193"/>
      <c r="B121" s="193"/>
      <c r="C121" s="193"/>
      <c r="D121" s="193"/>
      <c r="E121" s="193"/>
      <c r="F121" s="193"/>
      <c r="G121" s="193"/>
      <c r="H121" s="193"/>
      <c r="I121" s="193"/>
      <c r="J121" s="193"/>
      <c r="K121" s="193"/>
      <c r="L121" s="193"/>
      <c r="M121" s="193"/>
      <c r="N121" s="193"/>
      <c r="O121" s="935">
        <f t="shared" si="21"/>
        <v>57.06</v>
      </c>
      <c r="P121" s="913"/>
      <c r="Q121" s="925"/>
      <c r="R121" s="932">
        <f t="shared" si="22"/>
        <v>0.62999999999999901</v>
      </c>
      <c r="S121" s="932">
        <f t="shared" si="22"/>
        <v>0.94999999999999929</v>
      </c>
      <c r="T121" s="932">
        <f t="shared" si="22"/>
        <v>1.2600000000000016</v>
      </c>
      <c r="U121" s="932">
        <f t="shared" si="22"/>
        <v>1.5699999999999967</v>
      </c>
      <c r="V121" s="932">
        <f t="shared" si="22"/>
        <v>1.8999999999999986</v>
      </c>
      <c r="W121" s="932">
        <f t="shared" si="22"/>
        <v>2.2099999999999937</v>
      </c>
      <c r="X121" s="932">
        <f t="shared" si="22"/>
        <v>2.5300000000000011</v>
      </c>
      <c r="Y121" s="932">
        <f t="shared" si="22"/>
        <v>2.8400000000000034</v>
      </c>
      <c r="Z121" s="932">
        <f t="shared" si="22"/>
        <v>3.1599999999999966</v>
      </c>
      <c r="AA121" s="913"/>
      <c r="AB121" s="913"/>
      <c r="AC121" s="913"/>
      <c r="AD121" s="913"/>
      <c r="AE121" s="913"/>
      <c r="AF121" s="913"/>
      <c r="AG121" s="913"/>
      <c r="AH121" s="913"/>
      <c r="AI121" s="913"/>
      <c r="AJ121" s="913"/>
      <c r="AK121" s="913"/>
      <c r="AL121" s="913"/>
      <c r="AM121" s="923"/>
    </row>
    <row r="122" spans="1:39" ht="15.75" thickBot="1" x14ac:dyDescent="0.3">
      <c r="O122" s="935">
        <f t="shared" si="21"/>
        <v>61.06</v>
      </c>
      <c r="P122" s="913"/>
      <c r="Q122" s="913"/>
      <c r="R122" s="932">
        <f t="shared" si="22"/>
        <v>0.63000000000000078</v>
      </c>
      <c r="S122" s="932">
        <f t="shared" si="22"/>
        <v>0.9399999999999995</v>
      </c>
      <c r="T122" s="932">
        <f t="shared" si="22"/>
        <v>1.259999999999998</v>
      </c>
      <c r="U122" s="932">
        <f t="shared" si="22"/>
        <v>1.5800000000000018</v>
      </c>
      <c r="V122" s="932">
        <f t="shared" si="22"/>
        <v>1.8900000000000006</v>
      </c>
      <c r="W122" s="932">
        <f t="shared" si="22"/>
        <v>2.210000000000008</v>
      </c>
      <c r="X122" s="932">
        <f t="shared" si="22"/>
        <v>2.5200000000000102</v>
      </c>
      <c r="Y122" s="932">
        <f t="shared" si="22"/>
        <v>2.8400000000000105</v>
      </c>
      <c r="Z122" s="932">
        <f t="shared" si="22"/>
        <v>3.1500000000000199</v>
      </c>
      <c r="AA122" s="913"/>
      <c r="AB122" s="913"/>
      <c r="AC122" s="913"/>
      <c r="AD122" s="913"/>
      <c r="AE122" s="913"/>
      <c r="AF122" s="913"/>
      <c r="AG122" s="913"/>
      <c r="AH122" s="913"/>
      <c r="AI122" s="913"/>
      <c r="AJ122" s="913"/>
      <c r="AK122" s="913"/>
      <c r="AL122" s="913"/>
      <c r="AM122" s="923"/>
    </row>
    <row r="123" spans="1:39" ht="15.75" thickBot="1" x14ac:dyDescent="0.3">
      <c r="O123" s="935">
        <f t="shared" si="21"/>
        <v>65.06</v>
      </c>
      <c r="P123" s="913"/>
      <c r="Q123" s="913"/>
      <c r="R123" s="932">
        <f t="shared" si="22"/>
        <v>0.62999999999999901</v>
      </c>
      <c r="S123" s="932">
        <f t="shared" si="22"/>
        <v>0.94000000000000128</v>
      </c>
      <c r="T123" s="932">
        <f t="shared" si="22"/>
        <v>1.2699999999999996</v>
      </c>
      <c r="U123" s="932">
        <f t="shared" si="22"/>
        <v>1.5799999999999983</v>
      </c>
      <c r="V123" s="932">
        <f t="shared" si="22"/>
        <v>1.8999999999999986</v>
      </c>
      <c r="W123" s="932">
        <f t="shared" si="22"/>
        <v>2.2099999999999937</v>
      </c>
      <c r="X123" s="932">
        <f t="shared" si="22"/>
        <v>2.529999999999994</v>
      </c>
      <c r="Y123" s="932">
        <f t="shared" si="22"/>
        <v>2.8499999999999872</v>
      </c>
      <c r="Z123" s="932">
        <f t="shared" si="22"/>
        <v>3.1599999999999824</v>
      </c>
      <c r="AA123" s="913"/>
      <c r="AB123" s="913"/>
      <c r="AC123" s="913"/>
      <c r="AD123" s="913"/>
      <c r="AE123" s="913"/>
      <c r="AF123" s="913"/>
      <c r="AG123" s="913"/>
      <c r="AH123" s="913"/>
      <c r="AI123" s="913"/>
      <c r="AJ123" s="913"/>
      <c r="AK123" s="913"/>
      <c r="AL123" s="913"/>
      <c r="AM123" s="923"/>
    </row>
    <row r="124" spans="1:39" ht="15.75" thickBot="1" x14ac:dyDescent="0.3">
      <c r="O124" s="935">
        <f t="shared" si="21"/>
        <v>69.06</v>
      </c>
      <c r="P124" s="913"/>
      <c r="Q124" s="913"/>
      <c r="R124" s="932">
        <f t="shared" si="22"/>
        <v>0.63000000000000078</v>
      </c>
      <c r="S124" s="932">
        <f t="shared" si="22"/>
        <v>0.96000000000000085</v>
      </c>
      <c r="T124" s="932">
        <f t="shared" si="22"/>
        <v>1.2600000000000016</v>
      </c>
      <c r="U124" s="932">
        <f t="shared" si="22"/>
        <v>1.5800000000000018</v>
      </c>
      <c r="V124" s="932">
        <f t="shared" si="22"/>
        <v>1.8900000000000006</v>
      </c>
      <c r="W124" s="932">
        <f t="shared" si="22"/>
        <v>2.2100000000000009</v>
      </c>
      <c r="X124" s="932">
        <f t="shared" si="22"/>
        <v>2.519999999999996</v>
      </c>
      <c r="Y124" s="932">
        <f t="shared" si="22"/>
        <v>2.8400000000000034</v>
      </c>
      <c r="Z124" s="932">
        <f t="shared" si="22"/>
        <v>3.1600000000000037</v>
      </c>
      <c r="AA124" s="913"/>
      <c r="AB124" s="913"/>
      <c r="AC124" s="913"/>
      <c r="AD124" s="913"/>
      <c r="AE124" s="913"/>
      <c r="AF124" s="913"/>
      <c r="AG124" s="913"/>
      <c r="AH124" s="913"/>
      <c r="AI124" s="913"/>
      <c r="AJ124" s="913"/>
      <c r="AK124" s="913"/>
      <c r="AL124" s="913"/>
      <c r="AM124" s="923"/>
    </row>
    <row r="125" spans="1:39" ht="15.75" thickBot="1" x14ac:dyDescent="0.3">
      <c r="O125" s="935">
        <f t="shared" si="21"/>
        <v>73.06</v>
      </c>
      <c r="P125" s="913"/>
      <c r="Q125" s="913"/>
      <c r="R125" s="932">
        <f t="shared" si="22"/>
        <v>0.63999999999999879</v>
      </c>
      <c r="S125" s="932">
        <f t="shared" si="22"/>
        <v>0.93999999999999773</v>
      </c>
      <c r="T125" s="932">
        <f t="shared" si="22"/>
        <v>1.259999999999998</v>
      </c>
      <c r="U125" s="932">
        <f t="shared" si="22"/>
        <v>1.5799999999999983</v>
      </c>
      <c r="V125" s="932">
        <f t="shared" si="22"/>
        <v>1.8999999999999986</v>
      </c>
      <c r="W125" s="932">
        <f t="shared" si="22"/>
        <v>2.2199999999999989</v>
      </c>
      <c r="X125" s="932">
        <f t="shared" si="22"/>
        <v>2.5399999999999991</v>
      </c>
      <c r="Y125" s="932">
        <f t="shared" si="22"/>
        <v>2.8499999999999943</v>
      </c>
      <c r="Z125" s="932">
        <f t="shared" si="22"/>
        <v>3.1699999999999946</v>
      </c>
      <c r="AA125" s="913"/>
      <c r="AB125" s="913"/>
      <c r="AC125" s="913"/>
      <c r="AD125" s="913"/>
      <c r="AE125" s="913"/>
      <c r="AF125" s="913"/>
      <c r="AG125" s="913"/>
      <c r="AH125" s="913"/>
      <c r="AI125" s="913"/>
      <c r="AJ125" s="913"/>
      <c r="AK125" s="913"/>
      <c r="AL125" s="913"/>
      <c r="AM125" s="923"/>
    </row>
    <row r="126" spans="1:39" x14ac:dyDescent="0.25">
      <c r="O126" s="922"/>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23"/>
    </row>
    <row r="127" spans="1:39" x14ac:dyDescent="0.25">
      <c r="O127" s="928"/>
      <c r="P127" s="929"/>
      <c r="Q127" s="929"/>
      <c r="R127" s="929"/>
      <c r="S127" s="929"/>
      <c r="T127" s="929"/>
      <c r="U127" s="929"/>
      <c r="V127" s="929"/>
      <c r="W127" s="929"/>
      <c r="X127" s="929"/>
      <c r="Y127" s="929"/>
      <c r="Z127" s="929"/>
      <c r="AA127" s="929"/>
      <c r="AB127" s="929"/>
      <c r="AC127" s="929"/>
      <c r="AD127" s="929"/>
      <c r="AE127" s="929"/>
      <c r="AF127" s="929"/>
      <c r="AG127" s="929"/>
      <c r="AH127" s="929"/>
      <c r="AI127" s="929"/>
      <c r="AJ127" s="929"/>
      <c r="AK127" s="929"/>
      <c r="AL127" s="929"/>
      <c r="AM127" s="930"/>
    </row>
    <row r="141" ht="150.75" customHeight="1" x14ac:dyDescent="0.25"/>
    <row r="150" spans="3:3" x14ac:dyDescent="0.25">
      <c r="C150" s="138"/>
    </row>
    <row r="151" spans="3:3" x14ac:dyDescent="0.25">
      <c r="C151" s="138"/>
    </row>
    <row r="282" spans="24:25" x14ac:dyDescent="0.25">
      <c r="X282" s="110"/>
      <c r="Y282" s="109"/>
    </row>
  </sheetData>
  <sheetProtection algorithmName="SHA-512" hashValue="YtDhRfNsqroBW3Z2lkhUrZ5m4Yw+tVLoU4IrzYuJY1RfHZZ1XPm6HKBpyvYSpAFG47RNyeI80fLXCOexUn6D7g==" saltValue="fyE5TOG5QSHsZp04l/3p2g==" spinCount="100000" sheet="1" objects="1" scenarios="1"/>
  <mergeCells count="6">
    <mergeCell ref="N71:N72"/>
    <mergeCell ref="N44:N45"/>
    <mergeCell ref="D17:D18"/>
    <mergeCell ref="E17:E18"/>
    <mergeCell ref="F17:F18"/>
    <mergeCell ref="G17:G18"/>
  </mergeCells>
  <conditionalFormatting sqref="R52:AA52 R49:AJ49 AB51:AJ51 R55:AJ55">
    <cfRule type="colorScale" priority="34">
      <colorScale>
        <cfvo type="min"/>
        <cfvo type="percentile" val="50"/>
        <cfvo type="max"/>
        <color rgb="FF63BE7B"/>
        <color rgb="FFFFEB84"/>
        <color rgb="FFF8696B"/>
      </colorScale>
    </cfRule>
  </conditionalFormatting>
  <conditionalFormatting sqref="R52:AA52 R49:AJ49 AB51:AJ51 R55:AJ55">
    <cfRule type="colorScale" priority="32">
      <colorScale>
        <cfvo type="min"/>
        <cfvo type="percentile" val="50"/>
        <cfvo type="max"/>
        <color rgb="FF63BE7B"/>
        <color rgb="FFFFEB84"/>
        <color rgb="FFF8696B"/>
      </colorScale>
    </cfRule>
  </conditionalFormatting>
  <conditionalFormatting sqref="R52:AA52 R49:AJ49 AB51:AJ51 R55:AJ55">
    <cfRule type="colorScale" priority="28">
      <colorScale>
        <cfvo type="min"/>
        <cfvo type="percentile" val="50"/>
        <cfvo type="max"/>
        <color rgb="FF63BE7B"/>
        <color rgb="FFFFEB84"/>
        <color rgb="FFF8696B"/>
      </colorScale>
    </cfRule>
  </conditionalFormatting>
  <conditionalFormatting sqref="R47:Z47">
    <cfRule type="colorScale" priority="27">
      <colorScale>
        <cfvo type="min"/>
        <cfvo type="percentile" val="50"/>
        <cfvo type="max"/>
        <color rgb="FF63BE7B"/>
        <color rgb="FFFFEB84"/>
        <color rgb="FFF8696B"/>
      </colorScale>
    </cfRule>
  </conditionalFormatting>
  <conditionalFormatting sqref="R47:Z47">
    <cfRule type="colorScale" priority="26">
      <colorScale>
        <cfvo type="min"/>
        <cfvo type="percentile" val="50"/>
        <cfvo type="max"/>
        <color rgb="FF63BE7B"/>
        <color rgb="FFFFEB84"/>
        <color rgb="FFF8696B"/>
      </colorScale>
    </cfRule>
  </conditionalFormatting>
  <conditionalFormatting sqref="R47:AA47">
    <cfRule type="colorScale" priority="25">
      <colorScale>
        <cfvo type="min"/>
        <cfvo type="percentile" val="50"/>
        <cfvo type="max"/>
        <color rgb="FF63BE7B"/>
        <color rgb="FFFFEB84"/>
        <color rgb="FFF8696B"/>
      </colorScale>
    </cfRule>
  </conditionalFormatting>
  <conditionalFormatting sqref="R48:Z48">
    <cfRule type="colorScale" priority="24">
      <colorScale>
        <cfvo type="min"/>
        <cfvo type="percentile" val="50"/>
        <cfvo type="max"/>
        <color rgb="FF63BE7B"/>
        <color rgb="FFFFEB84"/>
        <color rgb="FFF8696B"/>
      </colorScale>
    </cfRule>
  </conditionalFormatting>
  <conditionalFormatting sqref="R48:Z48">
    <cfRule type="colorScale" priority="23">
      <colorScale>
        <cfvo type="min"/>
        <cfvo type="percentile" val="50"/>
        <cfvo type="max"/>
        <color rgb="FF63BE7B"/>
        <color rgb="FFFFEB84"/>
        <color rgb="FFF8696B"/>
      </colorScale>
    </cfRule>
  </conditionalFormatting>
  <conditionalFormatting sqref="R48:AA48">
    <cfRule type="colorScale" priority="22">
      <colorScale>
        <cfvo type="min"/>
        <cfvo type="percentile" val="50"/>
        <cfvo type="max"/>
        <color rgb="FF63BE7B"/>
        <color rgb="FFFFEB84"/>
        <color rgb="FFF8696B"/>
      </colorScale>
    </cfRule>
  </conditionalFormatting>
  <conditionalFormatting sqref="R50:Z50">
    <cfRule type="colorScale" priority="21">
      <colorScale>
        <cfvo type="min"/>
        <cfvo type="percentile" val="50"/>
        <cfvo type="max"/>
        <color rgb="FF63BE7B"/>
        <color rgb="FFFFEB84"/>
        <color rgb="FFF8696B"/>
      </colorScale>
    </cfRule>
  </conditionalFormatting>
  <conditionalFormatting sqref="R50:Z50">
    <cfRule type="colorScale" priority="20">
      <colorScale>
        <cfvo type="min"/>
        <cfvo type="percentile" val="50"/>
        <cfvo type="max"/>
        <color rgb="FF63BE7B"/>
        <color rgb="FFFFEB84"/>
        <color rgb="FFF8696B"/>
      </colorScale>
    </cfRule>
  </conditionalFormatting>
  <conditionalFormatting sqref="R50:AA50">
    <cfRule type="colorScale" priority="19">
      <colorScale>
        <cfvo type="min"/>
        <cfvo type="percentile" val="50"/>
        <cfvo type="max"/>
        <color rgb="FF63BE7B"/>
        <color rgb="FFFFEB84"/>
        <color rgb="FFF8696B"/>
      </colorScale>
    </cfRule>
  </conditionalFormatting>
  <conditionalFormatting sqref="R51:Z51">
    <cfRule type="colorScale" priority="18">
      <colorScale>
        <cfvo type="min"/>
        <cfvo type="percentile" val="50"/>
        <cfvo type="max"/>
        <color rgb="FF63BE7B"/>
        <color rgb="FFFFEB84"/>
        <color rgb="FFF8696B"/>
      </colorScale>
    </cfRule>
  </conditionalFormatting>
  <conditionalFormatting sqref="R51:Z51">
    <cfRule type="colorScale" priority="17">
      <colorScale>
        <cfvo type="min"/>
        <cfvo type="percentile" val="50"/>
        <cfvo type="max"/>
        <color rgb="FF63BE7B"/>
        <color rgb="FFFFEB84"/>
        <color rgb="FFF8696B"/>
      </colorScale>
    </cfRule>
  </conditionalFormatting>
  <conditionalFormatting sqref="R51:AA51">
    <cfRule type="colorScale" priority="16">
      <colorScale>
        <cfvo type="min"/>
        <cfvo type="percentile" val="50"/>
        <cfvo type="max"/>
        <color rgb="FF63BE7B"/>
        <color rgb="FFFFEB84"/>
        <color rgb="FFF8696B"/>
      </colorScale>
    </cfRule>
  </conditionalFormatting>
  <conditionalFormatting sqref="R53:Z54">
    <cfRule type="colorScale" priority="15">
      <colorScale>
        <cfvo type="min"/>
        <cfvo type="percentile" val="50"/>
        <cfvo type="max"/>
        <color rgb="FF63BE7B"/>
        <color rgb="FFFFEB84"/>
        <color rgb="FFF8696B"/>
      </colorScale>
    </cfRule>
  </conditionalFormatting>
  <conditionalFormatting sqref="R53:Z54">
    <cfRule type="colorScale" priority="14">
      <colorScale>
        <cfvo type="min"/>
        <cfvo type="percentile" val="50"/>
        <cfvo type="max"/>
        <color rgb="FF63BE7B"/>
        <color rgb="FFFFEB84"/>
        <color rgb="FFF8696B"/>
      </colorScale>
    </cfRule>
  </conditionalFormatting>
  <conditionalFormatting sqref="R53:AA54">
    <cfRule type="colorScale" priority="13">
      <colorScale>
        <cfvo type="min"/>
        <cfvo type="percentile" val="50"/>
        <cfvo type="max"/>
        <color rgb="FF63BE7B"/>
        <color rgb="FFFFEB84"/>
        <color rgb="FFF8696B"/>
      </colorScale>
    </cfRule>
  </conditionalFormatting>
  <conditionalFormatting sqref="R56:Z57">
    <cfRule type="colorScale" priority="12">
      <colorScale>
        <cfvo type="min"/>
        <cfvo type="percentile" val="50"/>
        <cfvo type="max"/>
        <color rgb="FF63BE7B"/>
        <color rgb="FFFFEB84"/>
        <color rgb="FFF8696B"/>
      </colorScale>
    </cfRule>
  </conditionalFormatting>
  <conditionalFormatting sqref="R56:Z57">
    <cfRule type="colorScale" priority="11">
      <colorScale>
        <cfvo type="min"/>
        <cfvo type="percentile" val="50"/>
        <cfvo type="max"/>
        <color rgb="FF63BE7B"/>
        <color rgb="FFFFEB84"/>
        <color rgb="FFF8696B"/>
      </colorScale>
    </cfRule>
  </conditionalFormatting>
  <conditionalFormatting sqref="R56:AA57">
    <cfRule type="colorScale" priority="10">
      <colorScale>
        <cfvo type="min"/>
        <cfvo type="percentile" val="50"/>
        <cfvo type="max"/>
        <color rgb="FF63BE7B"/>
        <color rgb="FFFFEB84"/>
        <color rgb="FFF8696B"/>
      </colorScale>
    </cfRule>
  </conditionalFormatting>
  <conditionalFormatting sqref="R59:Z60">
    <cfRule type="colorScale" priority="9">
      <colorScale>
        <cfvo type="min"/>
        <cfvo type="percentile" val="50"/>
        <cfvo type="max"/>
        <color rgb="FF63BE7B"/>
        <color rgb="FFFFEB84"/>
        <color rgb="FFF8696B"/>
      </colorScale>
    </cfRule>
  </conditionalFormatting>
  <conditionalFormatting sqref="R59:Z60">
    <cfRule type="colorScale" priority="8">
      <colorScale>
        <cfvo type="min"/>
        <cfvo type="percentile" val="50"/>
        <cfvo type="max"/>
        <color rgb="FF63BE7B"/>
        <color rgb="FFFFEB84"/>
        <color rgb="FFF8696B"/>
      </colorScale>
    </cfRule>
  </conditionalFormatting>
  <conditionalFormatting sqref="R59:AA60">
    <cfRule type="colorScale" priority="7">
      <colorScale>
        <cfvo type="min"/>
        <cfvo type="percentile" val="50"/>
        <cfvo type="max"/>
        <color rgb="FF63BE7B"/>
        <color rgb="FFFFEB84"/>
        <color rgb="FFF8696B"/>
      </colorScale>
    </cfRule>
  </conditionalFormatting>
  <conditionalFormatting sqref="R46:AJ61">
    <cfRule type="colorScale" priority="6">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Q111:Z121 R122:Z125">
    <cfRule type="colorScale" priority="4">
      <colorScale>
        <cfvo type="min"/>
        <cfvo type="percentile" val="50"/>
        <cfvo type="max"/>
        <color rgb="FF63BE7B"/>
        <color rgb="FFFFEB84"/>
        <color rgb="FFF8696B"/>
      </colorScale>
    </cfRule>
  </conditionalFormatting>
  <conditionalFormatting sqref="Q92:Z106">
    <cfRule type="colorScale" priority="3">
      <colorScale>
        <cfvo type="min"/>
        <cfvo type="percentile" val="50"/>
        <cfvo type="max"/>
        <color rgb="FF63BE7B"/>
        <color rgb="FFFFEB84"/>
        <color rgb="FFF8696B"/>
      </colorScale>
    </cfRule>
  </conditionalFormatting>
  <conditionalFormatting sqref="S91:Z10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P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6.42578125" customWidth="1"/>
    <col min="4" max="4" width="15.7109375" customWidth="1"/>
    <col min="5" max="5" width="17.85546875" customWidth="1"/>
    <col min="6" max="6" width="12.7109375" customWidth="1"/>
    <col min="7" max="7" width="16" customWidth="1"/>
    <col min="8" max="8" width="15" customWidth="1"/>
    <col min="9" max="9" width="16.8554687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18" customWidth="1"/>
    <col min="19" max="19" width="13.42578125" customWidth="1"/>
    <col min="20" max="20" width="10.28515625" customWidth="1"/>
    <col min="21" max="21" width="18"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3.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76" ht="21.75" thickBot="1" x14ac:dyDescent="0.4">
      <c r="B1" s="188" t="s">
        <v>36</v>
      </c>
      <c r="C1" s="213" t="s">
        <v>211</v>
      </c>
      <c r="D1" s="189"/>
      <c r="E1" s="189"/>
      <c r="F1" s="189"/>
      <c r="G1" s="189"/>
      <c r="H1" s="189"/>
      <c r="I1" s="190"/>
    </row>
    <row r="2" spans="2:276"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76" ht="18.75" x14ac:dyDescent="0.3">
      <c r="B3" s="214" t="s">
        <v>181</v>
      </c>
      <c r="C3" s="187" t="str">
        <f>IF(AND('DATA ENTRY'!B22="mm",'DATA ENTRY'!B23&gt;=406,'DATA ENTRY'!B23&lt;=406.4),16,IF('DATA ENTRY'!B22="mm",'DATA ENTRY'!B23/25.4,'DATA ENTRY'!B23))</f>
        <v>ENTER LENGTH</v>
      </c>
      <c r="D3" s="179"/>
      <c r="E3" s="40"/>
      <c r="F3" s="40"/>
      <c r="G3" s="215" t="s">
        <v>229</v>
      </c>
      <c r="H3" s="187">
        <v>16</v>
      </c>
      <c r="I3" s="191">
        <v>108</v>
      </c>
      <c r="N3" s="41"/>
      <c r="O3" s="40"/>
      <c r="P3" s="40"/>
      <c r="Q3" s="40"/>
      <c r="R3" s="40"/>
      <c r="S3" s="40"/>
      <c r="T3" s="40"/>
      <c r="U3" s="40"/>
      <c r="V3" s="40"/>
      <c r="W3" s="169"/>
    </row>
    <row r="4" spans="2:276" ht="18.75" x14ac:dyDescent="0.3">
      <c r="B4" s="214" t="s">
        <v>38</v>
      </c>
      <c r="C4" s="187" t="str">
        <f>IF(AND('DATA ENTRY'!B22="mm",'DATA ENTRY'!B24&gt;=406,'DATA ENTRY'!B24&lt;=406.4),16,IF('DATA ENTRY'!B22="mm",'DATA ENTRY'!B24/25.4,'DATA ENTRY'!B24))</f>
        <v>ENTER WIDTH</v>
      </c>
      <c r="D4" s="179"/>
      <c r="E4" s="40"/>
      <c r="F4" s="40"/>
      <c r="G4" s="215" t="s">
        <v>230</v>
      </c>
      <c r="H4" s="187">
        <v>16</v>
      </c>
      <c r="I4" s="191">
        <v>108</v>
      </c>
      <c r="N4" s="41"/>
      <c r="O4" s="173" t="str">
        <f>C1&amp;"_MODEL"</f>
        <v>MCZE445_MODEL</v>
      </c>
      <c r="P4" s="173" t="s">
        <v>237</v>
      </c>
      <c r="Q4" s="173"/>
      <c r="R4" s="173"/>
      <c r="S4" s="173"/>
      <c r="T4" s="40"/>
      <c r="U4" s="40"/>
      <c r="V4" s="179" t="s">
        <v>93</v>
      </c>
      <c r="W4" s="169"/>
    </row>
    <row r="5" spans="2:276" ht="18.75" x14ac:dyDescent="0.3">
      <c r="B5" s="214" t="s">
        <v>39</v>
      </c>
      <c r="C5" s="187" t="str">
        <f>IF('DATA ENTRY'!B22="mm",VALUE(FIXED('DATA ENTRY'!B25/25.4)),'DATA ENTRY'!B25)</f>
        <v>ENTER HEIGHT</v>
      </c>
      <c r="D5" s="179"/>
      <c r="E5" s="40"/>
      <c r="F5" s="40"/>
      <c r="G5" s="215" t="s">
        <v>231</v>
      </c>
      <c r="H5" s="187">
        <v>15.72</v>
      </c>
      <c r="I5" s="191">
        <v>70.72</v>
      </c>
      <c r="N5" s="171" t="s">
        <v>79</v>
      </c>
      <c r="O5" s="173" t="str">
        <f>C1&amp;"_FA"</f>
        <v>MCZE445_FA</v>
      </c>
      <c r="P5" s="175" t="str">
        <f>P22</f>
        <v/>
      </c>
      <c r="Q5" s="173" t="s">
        <v>42</v>
      </c>
      <c r="R5" s="40"/>
      <c r="S5" s="40"/>
      <c r="T5" s="40"/>
      <c r="U5" s="40"/>
      <c r="V5" s="173" t="str">
        <f>C1&amp;"_W"</f>
        <v>MCZE445_W</v>
      </c>
      <c r="W5" s="178" t="str">
        <f>C3</f>
        <v>ENTER LENGTH</v>
      </c>
    </row>
    <row r="6" spans="2:276" ht="18.75" x14ac:dyDescent="0.3">
      <c r="B6" s="214" t="s">
        <v>40</v>
      </c>
      <c r="C6" s="483" t="str">
        <f>IF('DATA ENTRY'!B22="mm",'DATA ENTRY'!B26*2.1188799727597,'DATA ENTRY'!B26)</f>
        <v>ENTER AIR VOLUME</v>
      </c>
      <c r="D6" s="215"/>
      <c r="E6" s="215"/>
      <c r="F6" s="40"/>
      <c r="G6" s="40"/>
      <c r="H6" s="40"/>
      <c r="I6" s="169"/>
      <c r="N6" s="171" t="s">
        <v>56</v>
      </c>
      <c r="O6" s="173" t="str">
        <f>C1&amp;"_FA%"</f>
        <v>MCZE445_FA%</v>
      </c>
      <c r="P6" s="176" t="e">
        <f>P24</f>
        <v>#VALUE!</v>
      </c>
      <c r="Q6" s="173" t="s">
        <v>13</v>
      </c>
      <c r="R6" s="40"/>
      <c r="S6" s="40"/>
      <c r="T6" s="40"/>
      <c r="U6" s="40"/>
      <c r="V6" s="173" t="str">
        <f>C1&amp;"_H"</f>
        <v>MCZE445_H</v>
      </c>
      <c r="W6" s="178" t="str">
        <f>C4</f>
        <v>ENTER WIDTH</v>
      </c>
    </row>
    <row r="7" spans="2:276" ht="18.75" x14ac:dyDescent="0.3">
      <c r="B7" s="214" t="s">
        <v>41</v>
      </c>
      <c r="C7" s="215" t="str">
        <f>'DATA ENTRY'!B27</f>
        <v>SELECT AIR DIRECTION</v>
      </c>
      <c r="D7" s="215"/>
      <c r="E7" s="215"/>
      <c r="F7" s="40"/>
      <c r="G7" s="40"/>
      <c r="H7" s="40"/>
      <c r="I7" s="169"/>
      <c r="N7" s="171" t="s">
        <v>82</v>
      </c>
      <c r="O7" s="173" t="str">
        <f>C1&amp;"_VEL"</f>
        <v>MCZE445_VEL</v>
      </c>
      <c r="P7" s="176" t="e">
        <f>P26</f>
        <v>#VALUE!</v>
      </c>
      <c r="Q7" s="173" t="s">
        <v>0</v>
      </c>
      <c r="R7" s="40"/>
      <c r="S7" s="40"/>
      <c r="T7" s="40"/>
      <c r="U7" s="40"/>
      <c r="V7" s="173" t="str">
        <f>C1&amp;"_SL"</f>
        <v>MCZE445_SL</v>
      </c>
      <c r="W7" s="178" t="e">
        <f>C9</f>
        <v>#VALUE!</v>
      </c>
    </row>
    <row r="8" spans="2:276" ht="18.75" x14ac:dyDescent="0.3">
      <c r="B8" s="214"/>
      <c r="C8" s="215"/>
      <c r="D8" s="215"/>
      <c r="E8" s="215"/>
      <c r="F8" s="40"/>
      <c r="G8" s="40"/>
      <c r="H8" s="40"/>
      <c r="I8" s="169"/>
      <c r="N8" s="171" t="s">
        <v>80</v>
      </c>
      <c r="O8" s="173" t="str">
        <f>C1&amp;"_Intake"</f>
        <v>MCZE445_Intake</v>
      </c>
      <c r="P8" s="177" t="e">
        <f>P27</f>
        <v>#VALUE!</v>
      </c>
      <c r="Q8" s="173" t="s">
        <v>85</v>
      </c>
      <c r="R8" s="40"/>
      <c r="S8" s="40"/>
      <c r="T8" s="40"/>
      <c r="U8" s="40"/>
      <c r="V8" s="173" t="str">
        <f>C1&amp;"_SW"</f>
        <v>MCZE445_SW</v>
      </c>
      <c r="W8" s="178" t="e">
        <f>F9</f>
        <v>#VALUE!</v>
      </c>
    </row>
    <row r="9" spans="2:276" ht="18.75" x14ac:dyDescent="0.3">
      <c r="B9" s="214" t="s">
        <v>183</v>
      </c>
      <c r="C9" s="462" t="e">
        <f>CEILING(C3/60,1)</f>
        <v>#VALUE!</v>
      </c>
      <c r="D9" s="215"/>
      <c r="E9" s="215" t="s">
        <v>60</v>
      </c>
      <c r="F9" s="462" t="e">
        <f>CEILING(C4/60,1)</f>
        <v>#VALUE!</v>
      </c>
      <c r="G9" s="40"/>
      <c r="H9" s="215" t="s">
        <v>61</v>
      </c>
      <c r="I9" s="463" t="e">
        <f>CEILING(C5/I5,1)</f>
        <v>#VALUE!</v>
      </c>
      <c r="N9" s="171" t="s">
        <v>81</v>
      </c>
      <c r="O9" s="173" t="str">
        <f>C1&amp;"_Exhaust"</f>
        <v>MCZE445_Exhaust</v>
      </c>
      <c r="P9" s="177" t="e">
        <f>P28</f>
        <v>#VALUE!</v>
      </c>
      <c r="Q9" s="173" t="s">
        <v>85</v>
      </c>
      <c r="R9" s="40"/>
      <c r="S9" s="40"/>
      <c r="T9" s="40"/>
      <c r="U9" s="40"/>
      <c r="V9" s="173" t="str">
        <f>C1&amp;"_TA"</f>
        <v>MCZE445_TA</v>
      </c>
      <c r="W9" s="178">
        <f>IF(OR(C3&lt;H3,C4&lt;H4,C5&lt;H5,C3&gt;I3,C4&gt;I4,C5&gt;I5),0,(C3*C4)/144)</f>
        <v>0</v>
      </c>
    </row>
    <row r="10" spans="2:276" ht="18.75" x14ac:dyDescent="0.3">
      <c r="B10" s="214" t="s">
        <v>184</v>
      </c>
      <c r="C10" s="462" t="e">
        <f>(C3/C9)</f>
        <v>#VALUE!</v>
      </c>
      <c r="D10" s="215"/>
      <c r="E10" s="215" t="s">
        <v>58</v>
      </c>
      <c r="F10" s="462" t="e">
        <f>(C4/F9)</f>
        <v>#VALUE!</v>
      </c>
      <c r="G10" s="40"/>
      <c r="H10" s="215" t="s">
        <v>51</v>
      </c>
      <c r="I10" s="463" t="e">
        <f>(C5/I9)</f>
        <v>#VALUE!</v>
      </c>
      <c r="N10" s="171" t="s">
        <v>86</v>
      </c>
      <c r="O10" s="173" t="str">
        <f>C1&amp;"_SEC"</f>
        <v>MCZE445_SEC</v>
      </c>
      <c r="P10" s="173">
        <f>IF(OR(C3&lt;H3,C4&lt;H4,C5&lt;H5,C3&gt;I3,C4&gt;I4,C5&gt;I5),0,D13)</f>
        <v>0</v>
      </c>
      <c r="Q10" s="173"/>
      <c r="R10" s="40"/>
      <c r="S10" s="40"/>
      <c r="T10" s="40"/>
      <c r="U10" s="40"/>
      <c r="V10" s="40"/>
      <c r="W10" s="169"/>
    </row>
    <row r="11" spans="2:276" ht="18.75" x14ac:dyDescent="0.3">
      <c r="B11" s="214"/>
      <c r="C11" s="215"/>
      <c r="D11" s="215"/>
      <c r="E11" s="215"/>
      <c r="F11" s="215"/>
      <c r="G11" s="40"/>
      <c r="H11" s="40"/>
      <c r="I11" s="169"/>
      <c r="N11" s="171" t="s">
        <v>83</v>
      </c>
      <c r="O11" s="173" t="str">
        <f>C1&amp;"_SECW"</f>
        <v>MCZE445_SECW</v>
      </c>
      <c r="P11" s="194" t="e">
        <f>IF(OR(D3&gt;I3,D4&gt;I4,D5&gt;I5),0,AB81)</f>
        <v>#VALUE!</v>
      </c>
      <c r="Q11" s="173" t="s">
        <v>72</v>
      </c>
      <c r="R11" s="40"/>
      <c r="S11" s="40"/>
      <c r="T11" s="40"/>
      <c r="U11" s="40"/>
      <c r="V11" s="40"/>
      <c r="W11" s="169"/>
    </row>
    <row r="12" spans="2:276" ht="19.5" thickBot="1" x14ac:dyDescent="0.35">
      <c r="B12" s="41"/>
      <c r="C12" s="214" t="s">
        <v>185</v>
      </c>
      <c r="D12" s="462" t="e">
        <f>C9*I9</f>
        <v>#VALUE!</v>
      </c>
      <c r="E12" s="215"/>
      <c r="F12" s="215" t="s">
        <v>186</v>
      </c>
      <c r="G12" s="462" t="e">
        <f>F9*I9</f>
        <v>#VALUE!</v>
      </c>
      <c r="H12" s="40"/>
      <c r="I12" s="169"/>
      <c r="N12" s="172" t="s">
        <v>84</v>
      </c>
      <c r="O12" s="174" t="str">
        <f>C1&amp;"_TW"</f>
        <v>MCZE445_TW</v>
      </c>
      <c r="P12" s="416">
        <f>IF(OR(C3&lt;H3,C4&lt;H4,C5&lt;H5,C3&gt;I3,C4&gt;I4,C5&gt;I5),0,AB80)</f>
        <v>0</v>
      </c>
      <c r="Q12" s="174" t="s">
        <v>72</v>
      </c>
      <c r="R12" s="43"/>
      <c r="S12" s="43"/>
      <c r="T12" s="43"/>
      <c r="U12" s="43"/>
      <c r="V12" s="43"/>
      <c r="W12" s="170"/>
    </row>
    <row r="13" spans="2:276" ht="18.75" x14ac:dyDescent="0.3">
      <c r="B13" s="41"/>
      <c r="C13" s="215" t="s">
        <v>187</v>
      </c>
      <c r="D13" s="462" t="e">
        <f>IF(OR(C10=0,F10=0,I10=0),0,((2*D12)+(2*G12)))</f>
        <v>#VALUE!</v>
      </c>
      <c r="E13" s="187"/>
      <c r="F13" s="215" t="s">
        <v>337</v>
      </c>
      <c r="G13" s="462" t="e">
        <f>VALUE(RIGHT('FOR ENGINEERS'!F21,1))</f>
        <v>#N/A</v>
      </c>
      <c r="H13" s="40"/>
      <c r="I13" s="169"/>
      <c r="L13" s="71"/>
      <c r="M13" s="71"/>
      <c r="N13" s="425"/>
      <c r="O13" s="425"/>
      <c r="P13" s="425"/>
      <c r="Q13" s="425"/>
      <c r="R13" s="193"/>
      <c r="S13" s="193"/>
      <c r="T13" s="193"/>
      <c r="U13" s="193"/>
      <c r="V13" s="193"/>
      <c r="W13" s="193"/>
      <c r="X13" s="71"/>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3"/>
      <c r="IX13" s="193"/>
      <c r="IY13" s="193"/>
      <c r="IZ13" s="193"/>
      <c r="JA13" s="193"/>
      <c r="JB13" s="193"/>
      <c r="JC13" s="193"/>
      <c r="JD13" s="193"/>
      <c r="JE13" s="193"/>
      <c r="JF13" s="193"/>
      <c r="JG13" s="193"/>
      <c r="JH13" s="193"/>
      <c r="JI13" s="193"/>
      <c r="JJ13" s="193"/>
      <c r="JK13" s="193"/>
      <c r="JL13" s="193"/>
      <c r="JM13" s="193"/>
      <c r="JN13" s="193"/>
      <c r="JO13" s="193"/>
      <c r="JP13" s="193"/>
    </row>
    <row r="14" spans="2:276" ht="15.75" thickBot="1" x14ac:dyDescent="0.3">
      <c r="B14" s="42"/>
      <c r="C14" s="43"/>
      <c r="D14" s="43"/>
      <c r="E14" s="43"/>
      <c r="F14" s="43"/>
      <c r="G14" s="43"/>
      <c r="H14" s="43"/>
      <c r="I14" s="170"/>
      <c r="L14" s="71"/>
      <c r="M14" s="71"/>
      <c r="N14" s="71"/>
      <c r="O14" s="71"/>
      <c r="P14" s="71"/>
      <c r="Q14" s="71"/>
      <c r="R14" s="71"/>
      <c r="S14" s="71"/>
      <c r="T14" s="71"/>
      <c r="U14" s="71"/>
      <c r="V14" s="71"/>
      <c r="W14" s="71"/>
      <c r="X14" s="71"/>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c r="IZ14" s="193"/>
      <c r="JA14" s="193"/>
      <c r="JB14" s="193"/>
      <c r="JC14" s="193"/>
      <c r="JD14" s="193"/>
      <c r="JE14" s="193"/>
      <c r="JF14" s="193"/>
      <c r="JG14" s="193"/>
      <c r="JH14" s="193"/>
      <c r="JI14" s="193"/>
      <c r="JJ14" s="193"/>
      <c r="JK14" s="193"/>
      <c r="JL14" s="193"/>
      <c r="JM14" s="193"/>
      <c r="JN14" s="193"/>
      <c r="JO14" s="193"/>
      <c r="JP14" s="193"/>
    </row>
    <row r="15" spans="2:276" ht="27" thickBot="1" x14ac:dyDescent="0.45">
      <c r="B15" s="166" t="s">
        <v>364</v>
      </c>
      <c r="C15" s="122"/>
      <c r="D15" s="812"/>
      <c r="E15" s="813"/>
      <c r="F15" s="813"/>
      <c r="G15" s="813"/>
      <c r="H15" s="813"/>
      <c r="I15" s="813"/>
      <c r="J15" s="813"/>
      <c r="K15" s="813"/>
      <c r="L15" s="813"/>
      <c r="M15" s="813"/>
      <c r="N15" s="813"/>
      <c r="O15" s="813"/>
      <c r="P15" s="813"/>
      <c r="Q15" s="813"/>
      <c r="R15" s="813"/>
      <c r="S15" s="813"/>
      <c r="T15" s="813"/>
      <c r="U15" s="813"/>
      <c r="V15" s="813"/>
      <c r="W15" s="814"/>
      <c r="X15" s="815"/>
      <c r="Y15" s="816"/>
      <c r="AS15" s="193"/>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c r="IW15" s="800"/>
      <c r="IX15" s="800"/>
      <c r="IY15" s="193"/>
      <c r="IZ15" s="193"/>
      <c r="JA15" s="193"/>
      <c r="JB15" s="193"/>
      <c r="JC15" s="193"/>
      <c r="JD15" s="193"/>
      <c r="JE15" s="193"/>
      <c r="JF15" s="193"/>
      <c r="JG15" s="193"/>
      <c r="JH15" s="193"/>
      <c r="JI15" s="193"/>
      <c r="JJ15" s="193"/>
      <c r="JK15" s="193"/>
      <c r="JL15" s="193"/>
      <c r="JM15" s="193"/>
      <c r="JN15" s="193"/>
      <c r="JO15" s="193"/>
      <c r="JP15" s="193"/>
    </row>
    <row r="16" spans="2:276" ht="15.75" customHeight="1" thickBot="1" x14ac:dyDescent="0.3">
      <c r="B16" s="810"/>
      <c r="C16" s="811"/>
      <c r="D16" s="811"/>
      <c r="E16" s="811"/>
      <c r="F16" s="811"/>
      <c r="G16" s="811"/>
      <c r="H16" s="811"/>
      <c r="I16" s="811"/>
      <c r="J16" s="811"/>
      <c r="K16" s="811"/>
      <c r="L16" s="811"/>
      <c r="M16" s="811"/>
      <c r="N16" s="811"/>
      <c r="O16" s="811"/>
      <c r="P16" s="811"/>
      <c r="Q16" s="811"/>
      <c r="R16" s="811"/>
      <c r="S16" s="811"/>
      <c r="T16" s="811"/>
      <c r="U16" s="811"/>
      <c r="V16" s="811"/>
      <c r="W16" s="811"/>
      <c r="X16" s="114"/>
      <c r="Y16" s="120"/>
      <c r="AS16" s="193"/>
      <c r="AT16" s="507"/>
      <c r="AU16" s="507"/>
      <c r="AV16" s="507"/>
      <c r="AW16" s="507"/>
      <c r="AX16" s="507"/>
      <c r="AY16" s="507"/>
      <c r="AZ16" s="507"/>
      <c r="BA16" s="507"/>
      <c r="BB16" s="507"/>
      <c r="BC16" s="507"/>
      <c r="BD16" s="507"/>
      <c r="BE16" s="507"/>
      <c r="BF16" s="507"/>
      <c r="BG16" s="507"/>
      <c r="BH16" s="786"/>
      <c r="BI16" s="787"/>
      <c r="BJ16" s="787"/>
      <c r="BK16" s="787"/>
      <c r="BL16" s="787"/>
      <c r="BM16" s="787"/>
      <c r="BN16" s="787"/>
      <c r="BO16" s="787"/>
      <c r="BP16" s="787"/>
      <c r="BQ16" s="787"/>
      <c r="BR16" s="786"/>
      <c r="BS16" s="787"/>
      <c r="BT16" s="787"/>
      <c r="BU16" s="787"/>
      <c r="BV16" s="787"/>
      <c r="BW16" s="787"/>
      <c r="BX16" s="787"/>
      <c r="BY16" s="787"/>
      <c r="BZ16" s="787"/>
      <c r="CA16" s="787"/>
      <c r="CB16" s="786"/>
      <c r="CC16" s="787"/>
      <c r="CD16" s="787"/>
      <c r="CE16" s="787"/>
      <c r="CF16" s="787"/>
      <c r="CG16" s="787"/>
      <c r="CH16" s="787"/>
      <c r="CI16" s="787"/>
      <c r="CJ16" s="787"/>
      <c r="CK16" s="787"/>
      <c r="CL16" s="786"/>
      <c r="CM16" s="787"/>
      <c r="CN16" s="787"/>
      <c r="CO16" s="787"/>
      <c r="CP16" s="787"/>
      <c r="CQ16" s="787"/>
      <c r="CR16" s="787"/>
      <c r="CS16" s="787"/>
      <c r="CT16" s="787"/>
      <c r="CU16" s="787"/>
      <c r="CV16" s="786"/>
      <c r="CW16" s="787"/>
      <c r="CX16" s="787"/>
      <c r="CY16" s="787"/>
      <c r="CZ16" s="787"/>
      <c r="DA16" s="787"/>
      <c r="DB16" s="787"/>
      <c r="DC16" s="787"/>
      <c r="DD16" s="787"/>
      <c r="DE16" s="787"/>
      <c r="DF16" s="786"/>
      <c r="DG16" s="787"/>
      <c r="DH16" s="787"/>
      <c r="DI16" s="787"/>
      <c r="DJ16" s="787"/>
      <c r="DK16" s="787"/>
      <c r="DL16" s="787"/>
      <c r="DM16" s="787"/>
      <c r="DN16" s="787"/>
      <c r="DO16" s="787"/>
      <c r="DP16" s="786"/>
      <c r="DQ16" s="787"/>
      <c r="DR16" s="787"/>
      <c r="DS16" s="787"/>
      <c r="DT16" s="787"/>
      <c r="DU16" s="787"/>
      <c r="DV16" s="787"/>
      <c r="DW16" s="787"/>
      <c r="DX16" s="787"/>
      <c r="DY16" s="787"/>
      <c r="DZ16" s="786"/>
      <c r="EA16" s="787"/>
      <c r="EB16" s="787"/>
      <c r="EC16" s="787"/>
      <c r="ED16" s="787"/>
      <c r="EE16" s="787"/>
      <c r="EF16" s="787"/>
      <c r="EG16" s="787"/>
      <c r="EH16" s="787"/>
      <c r="EI16" s="787"/>
      <c r="EJ16" s="786"/>
      <c r="EK16" s="787"/>
      <c r="EL16" s="787"/>
      <c r="EM16" s="787"/>
      <c r="EN16" s="787"/>
      <c r="EO16" s="787"/>
      <c r="EP16" s="787"/>
      <c r="EQ16" s="787"/>
      <c r="ER16" s="787"/>
      <c r="ES16" s="787"/>
      <c r="ET16" s="786"/>
      <c r="EU16" s="787"/>
      <c r="EV16" s="787"/>
      <c r="EW16" s="787"/>
      <c r="EX16" s="787"/>
      <c r="EY16" s="787"/>
      <c r="EZ16" s="787"/>
      <c r="FA16" s="787"/>
      <c r="FB16" s="787"/>
      <c r="FC16" s="787"/>
      <c r="FD16" s="786"/>
      <c r="FE16" s="787"/>
      <c r="FF16" s="787"/>
      <c r="FG16" s="787"/>
      <c r="FH16" s="787"/>
      <c r="FI16" s="787"/>
      <c r="FJ16" s="787"/>
      <c r="FK16" s="787"/>
      <c r="FL16" s="787"/>
      <c r="FM16" s="787"/>
      <c r="FN16" s="786"/>
      <c r="FO16" s="787"/>
      <c r="FP16" s="787"/>
      <c r="FQ16" s="787"/>
      <c r="FR16" s="787"/>
      <c r="FS16" s="787"/>
      <c r="FT16" s="787"/>
      <c r="FU16" s="787"/>
      <c r="FV16" s="787"/>
      <c r="FW16" s="787"/>
      <c r="FX16" s="786"/>
      <c r="FY16" s="787"/>
      <c r="FZ16" s="787"/>
      <c r="GA16" s="787"/>
      <c r="GB16" s="787"/>
      <c r="GC16" s="787"/>
      <c r="GD16" s="787"/>
      <c r="GE16" s="787"/>
      <c r="GF16" s="787"/>
      <c r="GG16" s="787"/>
      <c r="GH16" s="786"/>
      <c r="GI16" s="787"/>
      <c r="GJ16" s="787"/>
      <c r="GK16" s="787"/>
      <c r="GL16" s="787"/>
      <c r="GM16" s="787"/>
      <c r="GN16" s="787"/>
      <c r="GO16" s="787"/>
      <c r="GP16" s="787"/>
      <c r="GQ16" s="787"/>
      <c r="GR16" s="786"/>
      <c r="GS16" s="787"/>
      <c r="GT16" s="787"/>
      <c r="GU16" s="787"/>
      <c r="GV16" s="787"/>
      <c r="GW16" s="787"/>
      <c r="GX16" s="787"/>
      <c r="GY16" s="787"/>
      <c r="GZ16" s="787"/>
      <c r="HA16" s="787"/>
      <c r="HB16" s="786"/>
      <c r="HC16" s="787"/>
      <c r="HD16" s="787"/>
      <c r="HE16" s="787"/>
      <c r="HF16" s="787"/>
      <c r="HG16" s="787"/>
      <c r="HH16" s="787"/>
      <c r="HI16" s="787"/>
      <c r="HJ16" s="787"/>
      <c r="HK16" s="787"/>
      <c r="HL16" s="786"/>
      <c r="HM16" s="787"/>
      <c r="HN16" s="787"/>
      <c r="HO16" s="787"/>
      <c r="HP16" s="787"/>
      <c r="HQ16" s="787"/>
      <c r="HR16" s="787"/>
      <c r="HS16" s="787"/>
      <c r="HT16" s="787"/>
      <c r="HU16" s="787"/>
      <c r="HV16" s="786"/>
      <c r="HW16" s="787"/>
      <c r="HX16" s="787"/>
      <c r="HY16" s="787"/>
      <c r="HZ16" s="787"/>
      <c r="IA16" s="787"/>
      <c r="IB16" s="787"/>
      <c r="IC16" s="787"/>
      <c r="ID16" s="787"/>
      <c r="IE16" s="787"/>
      <c r="IF16" s="786"/>
      <c r="IG16" s="787"/>
      <c r="IH16" s="787"/>
      <c r="II16" s="787"/>
      <c r="IJ16" s="787"/>
      <c r="IK16" s="787"/>
      <c r="IL16" s="787"/>
      <c r="IM16" s="787"/>
      <c r="IN16" s="507"/>
      <c r="IO16" s="507"/>
      <c r="IP16" s="507"/>
      <c r="IQ16" s="507"/>
      <c r="IR16" s="507"/>
      <c r="IS16" s="507"/>
      <c r="IT16" s="507"/>
      <c r="IU16" s="507"/>
      <c r="IV16" s="507"/>
      <c r="IW16" s="507"/>
      <c r="IX16" s="507"/>
      <c r="IY16" s="193"/>
      <c r="IZ16" s="193"/>
      <c r="JA16" s="193"/>
      <c r="JB16" s="193"/>
      <c r="JC16" s="193"/>
      <c r="JD16" s="193"/>
      <c r="JE16" s="193"/>
      <c r="JF16" s="193"/>
      <c r="JG16" s="193"/>
      <c r="JH16" s="193"/>
      <c r="JI16" s="193"/>
      <c r="JJ16" s="193"/>
      <c r="JK16" s="193"/>
      <c r="JL16" s="193"/>
      <c r="JM16" s="193"/>
      <c r="JN16" s="193"/>
      <c r="JO16" s="193"/>
      <c r="JP16" s="193"/>
    </row>
    <row r="17" spans="2:276" ht="19.5" thickBot="1" x14ac:dyDescent="0.35">
      <c r="B17" s="214"/>
      <c r="C17" s="809"/>
      <c r="D17" s="1001" t="s">
        <v>365</v>
      </c>
      <c r="E17" s="1001" t="s">
        <v>361</v>
      </c>
      <c r="F17" s="1002" t="s">
        <v>362</v>
      </c>
      <c r="G17" s="1002" t="s">
        <v>363</v>
      </c>
      <c r="H17" s="40"/>
      <c r="I17" s="40"/>
      <c r="J17" s="40"/>
      <c r="K17" s="40"/>
      <c r="L17" s="40"/>
      <c r="M17" s="40"/>
      <c r="N17" s="40"/>
      <c r="O17" s="40"/>
      <c r="P17" s="40"/>
      <c r="Q17" s="40"/>
      <c r="R17" s="40"/>
      <c r="S17" s="40"/>
      <c r="T17" s="40"/>
      <c r="U17" s="40"/>
      <c r="V17" s="40"/>
      <c r="W17" s="40"/>
      <c r="X17" s="113"/>
      <c r="Y17" s="46"/>
      <c r="AC17" s="71"/>
      <c r="AD17" s="71"/>
      <c r="AE17" s="860"/>
      <c r="AF17" s="71"/>
      <c r="AG17" s="71"/>
      <c r="AH17" s="71"/>
      <c r="AI17" s="71"/>
      <c r="AS17" s="193"/>
      <c r="AT17" s="507"/>
      <c r="AU17" s="801"/>
      <c r="AV17" s="801"/>
      <c r="AW17" s="802"/>
      <c r="AX17" s="802"/>
      <c r="AY17" s="802"/>
      <c r="AZ17" s="802"/>
      <c r="BA17" s="802"/>
      <c r="BB17" s="802"/>
      <c r="BC17" s="802"/>
      <c r="BD17" s="802"/>
      <c r="BE17" s="802"/>
      <c r="BF17" s="802"/>
      <c r="BG17" s="802"/>
      <c r="BH17" s="802"/>
      <c r="BI17" s="802"/>
      <c r="BJ17" s="802"/>
      <c r="BK17" s="802"/>
      <c r="BL17" s="802"/>
      <c r="BM17" s="802"/>
      <c r="BN17" s="802"/>
      <c r="BO17" s="802"/>
      <c r="BP17" s="802"/>
      <c r="BQ17" s="802"/>
      <c r="BR17" s="802"/>
      <c r="BS17" s="802"/>
      <c r="BT17" s="802"/>
      <c r="BU17" s="802"/>
      <c r="BV17" s="802"/>
      <c r="BW17" s="802"/>
      <c r="BX17" s="802"/>
      <c r="BY17" s="802"/>
      <c r="BZ17" s="802"/>
      <c r="CA17" s="802"/>
      <c r="CB17" s="802"/>
      <c r="CC17" s="802"/>
      <c r="CD17" s="802"/>
      <c r="CE17" s="802"/>
      <c r="CF17" s="802"/>
      <c r="CG17" s="802"/>
      <c r="CH17" s="802"/>
      <c r="CI17" s="802"/>
      <c r="CJ17" s="802"/>
      <c r="CK17" s="802"/>
      <c r="CL17" s="802"/>
      <c r="CM17" s="802"/>
      <c r="CN17" s="802"/>
      <c r="CO17" s="802"/>
      <c r="CP17" s="802"/>
      <c r="CQ17" s="802"/>
      <c r="CR17" s="802"/>
      <c r="CS17" s="802"/>
      <c r="CT17" s="802"/>
      <c r="CU17" s="802"/>
      <c r="CV17" s="802"/>
      <c r="CW17" s="802"/>
      <c r="CX17" s="802"/>
      <c r="CY17" s="802"/>
      <c r="CZ17" s="802"/>
      <c r="DA17" s="802"/>
      <c r="DB17" s="802"/>
      <c r="DC17" s="802"/>
      <c r="DD17" s="802"/>
      <c r="DE17" s="802"/>
      <c r="DF17" s="802"/>
      <c r="DG17" s="802"/>
      <c r="DH17" s="802"/>
      <c r="DI17" s="802"/>
      <c r="DJ17" s="802"/>
      <c r="DK17" s="802"/>
      <c r="DL17" s="802"/>
      <c r="DM17" s="802"/>
      <c r="DN17" s="802"/>
      <c r="DO17" s="802"/>
      <c r="DP17" s="802"/>
      <c r="DQ17" s="802"/>
      <c r="DR17" s="802"/>
      <c r="DS17" s="802"/>
      <c r="DT17" s="802"/>
      <c r="DU17" s="802"/>
      <c r="DV17" s="802"/>
      <c r="DW17" s="802"/>
      <c r="DX17" s="802"/>
      <c r="DY17" s="802"/>
      <c r="DZ17" s="802"/>
      <c r="EA17" s="802"/>
      <c r="EB17" s="802"/>
      <c r="EC17" s="802"/>
      <c r="ED17" s="802"/>
      <c r="EE17" s="802"/>
      <c r="EF17" s="802"/>
      <c r="EG17" s="802"/>
      <c r="EH17" s="802"/>
      <c r="EI17" s="802"/>
      <c r="EJ17" s="802"/>
      <c r="EK17" s="802"/>
      <c r="EL17" s="802"/>
      <c r="EM17" s="802"/>
      <c r="EN17" s="802"/>
      <c r="EO17" s="802"/>
      <c r="EP17" s="802"/>
      <c r="EQ17" s="802"/>
      <c r="ER17" s="802"/>
      <c r="ES17" s="802"/>
      <c r="ET17" s="802"/>
      <c r="EU17" s="802"/>
      <c r="EV17" s="802"/>
      <c r="EW17" s="802"/>
      <c r="EX17" s="802"/>
      <c r="EY17" s="802"/>
      <c r="EZ17" s="802"/>
      <c r="FA17" s="802"/>
      <c r="FB17" s="802"/>
      <c r="FC17" s="802"/>
      <c r="FD17" s="802"/>
      <c r="FE17" s="802"/>
      <c r="FF17" s="802"/>
      <c r="FG17" s="802"/>
      <c r="FH17" s="802"/>
      <c r="FI17" s="802"/>
      <c r="FJ17" s="802"/>
      <c r="FK17" s="802"/>
      <c r="FL17" s="802"/>
      <c r="FM17" s="802"/>
      <c r="FN17" s="802"/>
      <c r="FO17" s="802"/>
      <c r="FP17" s="802"/>
      <c r="FQ17" s="802"/>
      <c r="FR17" s="802"/>
      <c r="FS17" s="802"/>
      <c r="FT17" s="802"/>
      <c r="FU17" s="802"/>
      <c r="FV17" s="802"/>
      <c r="FW17" s="802"/>
      <c r="FX17" s="802"/>
      <c r="FY17" s="802"/>
      <c r="FZ17" s="802"/>
      <c r="GA17" s="802"/>
      <c r="GB17" s="802"/>
      <c r="GC17" s="802"/>
      <c r="GD17" s="802"/>
      <c r="GE17" s="802"/>
      <c r="GF17" s="802"/>
      <c r="GG17" s="802"/>
      <c r="GH17" s="802"/>
      <c r="GI17" s="802"/>
      <c r="GJ17" s="802"/>
      <c r="GK17" s="802"/>
      <c r="GL17" s="802"/>
      <c r="GM17" s="802"/>
      <c r="GN17" s="802"/>
      <c r="GO17" s="802"/>
      <c r="GP17" s="802"/>
      <c r="GQ17" s="802"/>
      <c r="GR17" s="802"/>
      <c r="GS17" s="802"/>
      <c r="GT17" s="802"/>
      <c r="GU17" s="802"/>
      <c r="GV17" s="802"/>
      <c r="GW17" s="802"/>
      <c r="GX17" s="802"/>
      <c r="GY17" s="802"/>
      <c r="GZ17" s="802"/>
      <c r="HA17" s="802"/>
      <c r="HB17" s="802"/>
      <c r="HC17" s="802"/>
      <c r="HD17" s="802"/>
      <c r="HE17" s="802"/>
      <c r="HF17" s="802"/>
      <c r="HG17" s="802"/>
      <c r="HH17" s="802"/>
      <c r="HI17" s="802"/>
      <c r="HJ17" s="802"/>
      <c r="HK17" s="802"/>
      <c r="HL17" s="802"/>
      <c r="HM17" s="802"/>
      <c r="HN17" s="802"/>
      <c r="HO17" s="802"/>
      <c r="HP17" s="802"/>
      <c r="HQ17" s="802"/>
      <c r="HR17" s="802"/>
      <c r="HS17" s="802"/>
      <c r="HT17" s="802"/>
      <c r="HU17" s="802"/>
      <c r="HV17" s="802"/>
      <c r="HW17" s="802"/>
      <c r="HX17" s="802"/>
      <c r="HY17" s="802"/>
      <c r="HZ17" s="802"/>
      <c r="IA17" s="802"/>
      <c r="IB17" s="802"/>
      <c r="IC17" s="802"/>
      <c r="ID17" s="802"/>
      <c r="IE17" s="802"/>
      <c r="IF17" s="802"/>
      <c r="IG17" s="802"/>
      <c r="IH17" s="793"/>
      <c r="II17" s="793"/>
      <c r="IJ17" s="793"/>
      <c r="IK17" s="793"/>
      <c r="IL17" s="793"/>
      <c r="IM17" s="793"/>
      <c r="IN17" s="507"/>
      <c r="IO17" s="507"/>
      <c r="IP17" s="507"/>
      <c r="IQ17" s="788"/>
      <c r="IR17" s="788"/>
      <c r="IS17" s="788"/>
      <c r="IT17" s="788"/>
      <c r="IU17" s="788"/>
      <c r="IV17" s="788"/>
      <c r="IW17" s="788"/>
      <c r="IX17" s="507"/>
      <c r="IY17" s="193"/>
      <c r="IZ17" s="193"/>
      <c r="JA17" s="193"/>
      <c r="JB17" s="193"/>
      <c r="JC17" s="193"/>
      <c r="JD17" s="193"/>
      <c r="JE17" s="193"/>
      <c r="JF17" s="193"/>
      <c r="JG17" s="193"/>
      <c r="JH17" s="193"/>
      <c r="JI17" s="193"/>
      <c r="JJ17" s="193"/>
      <c r="JK17" s="193"/>
      <c r="JL17" s="193"/>
      <c r="JM17" s="193"/>
      <c r="JN17" s="193"/>
      <c r="JO17" s="193"/>
      <c r="JP17" s="193"/>
    </row>
    <row r="18" spans="2:276" ht="29.25" customHeight="1" thickBot="1" x14ac:dyDescent="0.4">
      <c r="B18" s="805"/>
      <c r="C18" s="818" t="s">
        <v>39</v>
      </c>
      <c r="D18" s="1001"/>
      <c r="E18" s="1001"/>
      <c r="F18" s="1002"/>
      <c r="G18" s="1002"/>
      <c r="H18" s="817"/>
      <c r="I18" s="823" t="s">
        <v>372</v>
      </c>
      <c r="J18" s="824"/>
      <c r="K18" s="825"/>
      <c r="L18" s="825"/>
      <c r="M18" s="825"/>
      <c r="N18" s="825"/>
      <c r="O18" s="825"/>
      <c r="P18" s="825"/>
      <c r="Q18" s="825"/>
      <c r="R18" s="825"/>
      <c r="S18" s="826"/>
      <c r="T18" s="692"/>
      <c r="U18" s="692"/>
      <c r="V18" s="692"/>
      <c r="W18" s="692"/>
      <c r="X18" s="841"/>
      <c r="Y18" s="77"/>
      <c r="Z18" s="61"/>
      <c r="AA18" s="61"/>
      <c r="AC18" s="71"/>
      <c r="AD18" s="424"/>
      <c r="AE18" s="71"/>
      <c r="AF18" s="71"/>
      <c r="AG18" s="71"/>
      <c r="AH18" s="71"/>
      <c r="AI18" s="71"/>
      <c r="AS18" s="193"/>
      <c r="AT18" s="507"/>
      <c r="AU18" s="801"/>
      <c r="AV18" s="801"/>
      <c r="AW18" s="802"/>
      <c r="AX18" s="802"/>
      <c r="AY18" s="802"/>
      <c r="AZ18" s="802"/>
      <c r="BA18" s="802"/>
      <c r="BB18" s="802"/>
      <c r="BC18" s="802"/>
      <c r="BD18" s="802"/>
      <c r="BE18" s="802"/>
      <c r="BF18" s="802"/>
      <c r="BG18" s="802"/>
      <c r="BH18" s="802"/>
      <c r="BI18" s="802"/>
      <c r="BJ18" s="802"/>
      <c r="BK18" s="802"/>
      <c r="BL18" s="802"/>
      <c r="BM18" s="802"/>
      <c r="BN18" s="802"/>
      <c r="BO18" s="802"/>
      <c r="BP18" s="802"/>
      <c r="BQ18" s="802"/>
      <c r="BR18" s="802"/>
      <c r="BS18" s="802"/>
      <c r="BT18" s="802"/>
      <c r="BU18" s="802"/>
      <c r="BV18" s="802"/>
      <c r="BW18" s="802"/>
      <c r="BX18" s="802"/>
      <c r="BY18" s="802"/>
      <c r="BZ18" s="802"/>
      <c r="CA18" s="802"/>
      <c r="CB18" s="802"/>
      <c r="CC18" s="802"/>
      <c r="CD18" s="802"/>
      <c r="CE18" s="802"/>
      <c r="CF18" s="802"/>
      <c r="CG18" s="802"/>
      <c r="CH18" s="802"/>
      <c r="CI18" s="802"/>
      <c r="CJ18" s="802"/>
      <c r="CK18" s="802"/>
      <c r="CL18" s="802"/>
      <c r="CM18" s="802"/>
      <c r="CN18" s="802"/>
      <c r="CO18" s="802"/>
      <c r="CP18" s="802"/>
      <c r="CQ18" s="802"/>
      <c r="CR18" s="802"/>
      <c r="CS18" s="802"/>
      <c r="CT18" s="802"/>
      <c r="CU18" s="802"/>
      <c r="CV18" s="802"/>
      <c r="CW18" s="802"/>
      <c r="CX18" s="802"/>
      <c r="CY18" s="802"/>
      <c r="CZ18" s="802"/>
      <c r="DA18" s="802"/>
      <c r="DB18" s="802"/>
      <c r="DC18" s="802"/>
      <c r="DD18" s="802"/>
      <c r="DE18" s="802"/>
      <c r="DF18" s="802"/>
      <c r="DG18" s="802"/>
      <c r="DH18" s="802"/>
      <c r="DI18" s="802"/>
      <c r="DJ18" s="802"/>
      <c r="DK18" s="802"/>
      <c r="DL18" s="802"/>
      <c r="DM18" s="802"/>
      <c r="DN18" s="802"/>
      <c r="DO18" s="802"/>
      <c r="DP18" s="802"/>
      <c r="DQ18" s="802"/>
      <c r="DR18" s="802"/>
      <c r="DS18" s="802"/>
      <c r="DT18" s="802"/>
      <c r="DU18" s="802"/>
      <c r="DV18" s="802"/>
      <c r="DW18" s="802"/>
      <c r="DX18" s="802"/>
      <c r="DY18" s="802"/>
      <c r="DZ18" s="802"/>
      <c r="EA18" s="802"/>
      <c r="EB18" s="802"/>
      <c r="EC18" s="802"/>
      <c r="ED18" s="802"/>
      <c r="EE18" s="802"/>
      <c r="EF18" s="802"/>
      <c r="EG18" s="802"/>
      <c r="EH18" s="802"/>
      <c r="EI18" s="802"/>
      <c r="EJ18" s="802"/>
      <c r="EK18" s="802"/>
      <c r="EL18" s="802"/>
      <c r="EM18" s="802"/>
      <c r="EN18" s="802"/>
      <c r="EO18" s="802"/>
      <c r="EP18" s="802"/>
      <c r="EQ18" s="802"/>
      <c r="ER18" s="802"/>
      <c r="ES18" s="802"/>
      <c r="ET18" s="802"/>
      <c r="EU18" s="802"/>
      <c r="EV18" s="802"/>
      <c r="EW18" s="802"/>
      <c r="EX18" s="802"/>
      <c r="EY18" s="802"/>
      <c r="EZ18" s="802"/>
      <c r="FA18" s="802"/>
      <c r="FB18" s="802"/>
      <c r="FC18" s="802"/>
      <c r="FD18" s="802"/>
      <c r="FE18" s="802"/>
      <c r="FF18" s="802"/>
      <c r="FG18" s="802"/>
      <c r="FH18" s="802"/>
      <c r="FI18" s="802"/>
      <c r="FJ18" s="802"/>
      <c r="FK18" s="802"/>
      <c r="FL18" s="802"/>
      <c r="FM18" s="802"/>
      <c r="FN18" s="802"/>
      <c r="FO18" s="802"/>
      <c r="FP18" s="802"/>
      <c r="FQ18" s="802"/>
      <c r="FR18" s="802"/>
      <c r="FS18" s="802"/>
      <c r="FT18" s="802"/>
      <c r="FU18" s="802"/>
      <c r="FV18" s="802"/>
      <c r="FW18" s="802"/>
      <c r="FX18" s="802"/>
      <c r="FY18" s="802"/>
      <c r="FZ18" s="802"/>
      <c r="GA18" s="802"/>
      <c r="GB18" s="802"/>
      <c r="GC18" s="802"/>
      <c r="GD18" s="802"/>
      <c r="GE18" s="802"/>
      <c r="GF18" s="802"/>
      <c r="GG18" s="802"/>
      <c r="GH18" s="802"/>
      <c r="GI18" s="802"/>
      <c r="GJ18" s="802"/>
      <c r="GK18" s="802"/>
      <c r="GL18" s="802"/>
      <c r="GM18" s="802"/>
      <c r="GN18" s="802"/>
      <c r="GO18" s="802"/>
      <c r="GP18" s="802"/>
      <c r="GQ18" s="802"/>
      <c r="GR18" s="802"/>
      <c r="GS18" s="802"/>
      <c r="GT18" s="802"/>
      <c r="GU18" s="802"/>
      <c r="GV18" s="802"/>
      <c r="GW18" s="802"/>
      <c r="GX18" s="802"/>
      <c r="GY18" s="802"/>
      <c r="GZ18" s="802"/>
      <c r="HA18" s="802"/>
      <c r="HB18" s="802"/>
      <c r="HC18" s="802"/>
      <c r="HD18" s="802"/>
      <c r="HE18" s="802"/>
      <c r="HF18" s="802"/>
      <c r="HG18" s="802"/>
      <c r="HH18" s="802"/>
      <c r="HI18" s="802"/>
      <c r="HJ18" s="802"/>
      <c r="HK18" s="802"/>
      <c r="HL18" s="802"/>
      <c r="HM18" s="802"/>
      <c r="HN18" s="802"/>
      <c r="HO18" s="802"/>
      <c r="HP18" s="802"/>
      <c r="HQ18" s="802"/>
      <c r="HR18" s="802"/>
      <c r="HS18" s="802"/>
      <c r="HT18" s="802"/>
      <c r="HU18" s="802"/>
      <c r="HV18" s="802"/>
      <c r="HW18" s="802"/>
      <c r="HX18" s="802"/>
      <c r="HY18" s="802"/>
      <c r="HZ18" s="802"/>
      <c r="IA18" s="802"/>
      <c r="IB18" s="802"/>
      <c r="IC18" s="802"/>
      <c r="ID18" s="802"/>
      <c r="IE18" s="802"/>
      <c r="IF18" s="802"/>
      <c r="IG18" s="802"/>
      <c r="IH18" s="793"/>
      <c r="II18" s="793"/>
      <c r="IJ18" s="793"/>
      <c r="IK18" s="793"/>
      <c r="IL18" s="793"/>
      <c r="IM18" s="793"/>
      <c r="IN18" s="507"/>
      <c r="IO18" s="507"/>
      <c r="IP18" s="507"/>
      <c r="IQ18" s="803"/>
      <c r="IR18" s="803"/>
      <c r="IS18" s="803"/>
      <c r="IT18" s="803"/>
      <c r="IU18" s="803"/>
      <c r="IV18" s="803"/>
      <c r="IW18" s="803"/>
      <c r="IX18" s="507"/>
      <c r="IY18" s="193"/>
      <c r="IZ18" s="193"/>
      <c r="JA18" s="193"/>
      <c r="JB18" s="193"/>
      <c r="JC18" s="193"/>
      <c r="JD18" s="193"/>
      <c r="JE18" s="193"/>
      <c r="JF18" s="193"/>
      <c r="JG18" s="193"/>
      <c r="JH18" s="193"/>
      <c r="JI18" s="193"/>
      <c r="JJ18" s="193"/>
      <c r="JK18" s="193"/>
      <c r="JL18" s="193"/>
      <c r="JM18" s="193"/>
      <c r="JN18" s="193"/>
      <c r="JO18" s="193"/>
      <c r="JP18" s="193"/>
    </row>
    <row r="19" spans="2:276" ht="19.5" thickBot="1" x14ac:dyDescent="0.35">
      <c r="B19" s="805"/>
      <c r="C19" s="423">
        <v>15.72</v>
      </c>
      <c r="D19" s="821">
        <v>1</v>
      </c>
      <c r="E19" s="821">
        <v>2.8079999999999998</v>
      </c>
      <c r="F19" s="821">
        <v>1.2070000000000001</v>
      </c>
      <c r="G19" s="821">
        <v>2.4009999999999998</v>
      </c>
      <c r="H19" s="192"/>
      <c r="I19" s="832"/>
      <c r="J19" s="834" t="s">
        <v>366</v>
      </c>
      <c r="K19" s="876" t="e">
        <f>(C3*2)+(C4*2)</f>
        <v>#VALUE!</v>
      </c>
      <c r="L19" s="876" t="s">
        <v>151</v>
      </c>
      <c r="M19" s="876"/>
      <c r="N19" s="876"/>
      <c r="O19" s="876"/>
      <c r="P19" s="692"/>
      <c r="Q19" s="692"/>
      <c r="R19" s="692"/>
      <c r="S19" s="827"/>
      <c r="T19" s="692"/>
      <c r="U19" s="845"/>
      <c r="V19" s="846" t="s">
        <v>270</v>
      </c>
      <c r="W19" s="847"/>
      <c r="X19" s="848"/>
      <c r="Y19" s="840"/>
      <c r="AA19" s="61"/>
      <c r="AC19" s="71"/>
      <c r="AD19" s="424"/>
      <c r="AE19" s="71"/>
      <c r="AF19" s="71"/>
      <c r="AG19" s="71"/>
      <c r="AH19" s="71"/>
      <c r="AI19" s="71"/>
      <c r="AS19" s="193"/>
      <c r="AT19" s="507"/>
      <c r="AU19" s="801"/>
      <c r="AV19" s="801"/>
      <c r="AW19" s="794"/>
      <c r="AX19" s="795"/>
      <c r="AY19" s="789"/>
      <c r="AZ19" s="789"/>
      <c r="BA19" s="789"/>
      <c r="BB19" s="789"/>
      <c r="BC19" s="789"/>
      <c r="BD19" s="789"/>
      <c r="BE19" s="789"/>
      <c r="BF19" s="789"/>
      <c r="BG19" s="789"/>
      <c r="BH19" s="796"/>
      <c r="BI19" s="789"/>
      <c r="BJ19" s="789"/>
      <c r="BK19" s="789"/>
      <c r="BL19" s="789"/>
      <c r="BM19" s="789"/>
      <c r="BN19" s="789"/>
      <c r="BO19" s="789"/>
      <c r="BP19" s="789"/>
      <c r="BQ19" s="789"/>
      <c r="BR19" s="796"/>
      <c r="BS19" s="789"/>
      <c r="BT19" s="789"/>
      <c r="BU19" s="789"/>
      <c r="BV19" s="789"/>
      <c r="BW19" s="789"/>
      <c r="BX19" s="789"/>
      <c r="BY19" s="789"/>
      <c r="BZ19" s="789"/>
      <c r="CA19" s="789"/>
      <c r="CB19" s="796"/>
      <c r="CC19" s="789"/>
      <c r="CD19" s="789"/>
      <c r="CE19" s="789"/>
      <c r="CF19" s="789"/>
      <c r="CG19" s="789"/>
      <c r="CH19" s="789"/>
      <c r="CI19" s="789"/>
      <c r="CJ19" s="789"/>
      <c r="CK19" s="789"/>
      <c r="CL19" s="796"/>
      <c r="CM19" s="789"/>
      <c r="CN19" s="789"/>
      <c r="CO19" s="789"/>
      <c r="CP19" s="789"/>
      <c r="CQ19" s="789"/>
      <c r="CR19" s="789"/>
      <c r="CS19" s="789"/>
      <c r="CT19" s="789"/>
      <c r="CU19" s="789"/>
      <c r="CV19" s="796"/>
      <c r="CW19" s="789"/>
      <c r="CX19" s="789"/>
      <c r="CY19" s="789"/>
      <c r="CZ19" s="789"/>
      <c r="DA19" s="789"/>
      <c r="DB19" s="789"/>
      <c r="DC19" s="789"/>
      <c r="DD19" s="789"/>
      <c r="DE19" s="789"/>
      <c r="DF19" s="796"/>
      <c r="DG19" s="789"/>
      <c r="DH19" s="789"/>
      <c r="DI19" s="789"/>
      <c r="DJ19" s="789"/>
      <c r="DK19" s="789"/>
      <c r="DL19" s="789"/>
      <c r="DM19" s="789"/>
      <c r="DN19" s="789"/>
      <c r="DO19" s="789"/>
      <c r="DP19" s="796"/>
      <c r="DQ19" s="789"/>
      <c r="DR19" s="789"/>
      <c r="DS19" s="789"/>
      <c r="DT19" s="789"/>
      <c r="DU19" s="789"/>
      <c r="DV19" s="789"/>
      <c r="DW19" s="789"/>
      <c r="DX19" s="789"/>
      <c r="DY19" s="789"/>
      <c r="DZ19" s="796"/>
      <c r="EA19" s="789"/>
      <c r="EB19" s="789"/>
      <c r="EC19" s="789"/>
      <c r="ED19" s="789"/>
      <c r="EE19" s="789"/>
      <c r="EF19" s="789"/>
      <c r="EG19" s="789"/>
      <c r="EH19" s="789"/>
      <c r="EI19" s="789"/>
      <c r="EJ19" s="796"/>
      <c r="EK19" s="789"/>
      <c r="EL19" s="789"/>
      <c r="EM19" s="789"/>
      <c r="EN19" s="789"/>
      <c r="EO19" s="789"/>
      <c r="EP19" s="789"/>
      <c r="EQ19" s="789"/>
      <c r="ER19" s="789"/>
      <c r="ES19" s="789"/>
      <c r="ET19" s="796"/>
      <c r="EU19" s="789"/>
      <c r="EV19" s="789"/>
      <c r="EW19" s="789"/>
      <c r="EX19" s="789"/>
      <c r="EY19" s="789"/>
      <c r="EZ19" s="789"/>
      <c r="FA19" s="789"/>
      <c r="FB19" s="789"/>
      <c r="FC19" s="789"/>
      <c r="FD19" s="796"/>
      <c r="FE19" s="789"/>
      <c r="FF19" s="789"/>
      <c r="FG19" s="789"/>
      <c r="FH19" s="789"/>
      <c r="FI19" s="789"/>
      <c r="FJ19" s="789"/>
      <c r="FK19" s="789"/>
      <c r="FL19" s="789"/>
      <c r="FM19" s="789"/>
      <c r="FN19" s="796"/>
      <c r="FO19" s="789"/>
      <c r="FP19" s="789"/>
      <c r="FQ19" s="789"/>
      <c r="FR19" s="789"/>
      <c r="FS19" s="789"/>
      <c r="FT19" s="789"/>
      <c r="FU19" s="789"/>
      <c r="FV19" s="789"/>
      <c r="FW19" s="789"/>
      <c r="FX19" s="796"/>
      <c r="FY19" s="789"/>
      <c r="FZ19" s="789"/>
      <c r="GA19" s="789"/>
      <c r="GB19" s="789"/>
      <c r="GC19" s="789"/>
      <c r="GD19" s="789"/>
      <c r="GE19" s="789"/>
      <c r="GF19" s="789"/>
      <c r="GG19" s="789"/>
      <c r="GH19" s="796"/>
      <c r="GI19" s="789"/>
      <c r="GJ19" s="789"/>
      <c r="GK19" s="789"/>
      <c r="GL19" s="789"/>
      <c r="GM19" s="789"/>
      <c r="GN19" s="789"/>
      <c r="GO19" s="789"/>
      <c r="GP19" s="789"/>
      <c r="GQ19" s="789"/>
      <c r="GR19" s="796"/>
      <c r="GS19" s="789"/>
      <c r="GT19" s="789"/>
      <c r="GU19" s="789"/>
      <c r="GV19" s="789"/>
      <c r="GW19" s="789"/>
      <c r="GX19" s="789"/>
      <c r="GY19" s="789"/>
      <c r="GZ19" s="789"/>
      <c r="HA19" s="789"/>
      <c r="HB19" s="796"/>
      <c r="HC19" s="789"/>
      <c r="HD19" s="789"/>
      <c r="HE19" s="789"/>
      <c r="HF19" s="789"/>
      <c r="HG19" s="789"/>
      <c r="HH19" s="789"/>
      <c r="HI19" s="789"/>
      <c r="HJ19" s="789"/>
      <c r="HK19" s="789"/>
      <c r="HL19" s="796"/>
      <c r="HM19" s="789"/>
      <c r="HN19" s="789"/>
      <c r="HO19" s="789"/>
      <c r="HP19" s="789"/>
      <c r="HQ19" s="789"/>
      <c r="HR19" s="789"/>
      <c r="HS19" s="789"/>
      <c r="HT19" s="789"/>
      <c r="HU19" s="789"/>
      <c r="HV19" s="796"/>
      <c r="HW19" s="789"/>
      <c r="HX19" s="789"/>
      <c r="HY19" s="789"/>
      <c r="HZ19" s="789"/>
      <c r="IA19" s="789"/>
      <c r="IB19" s="789"/>
      <c r="IC19" s="789"/>
      <c r="ID19" s="789"/>
      <c r="IE19" s="789"/>
      <c r="IF19" s="796"/>
      <c r="IG19" s="789"/>
      <c r="IH19" s="789"/>
      <c r="II19" s="789"/>
      <c r="IJ19" s="789"/>
      <c r="IK19" s="789"/>
      <c r="IL19" s="789"/>
      <c r="IM19" s="789"/>
      <c r="IN19" s="789"/>
      <c r="IO19" s="789"/>
      <c r="IP19" s="789"/>
      <c r="IQ19" s="797"/>
      <c r="IR19" s="797"/>
      <c r="IS19" s="797"/>
      <c r="IT19" s="797"/>
      <c r="IU19" s="797"/>
      <c r="IV19" s="797"/>
      <c r="IW19" s="797"/>
      <c r="IX19" s="507"/>
      <c r="IY19" s="193"/>
      <c r="IZ19" s="193"/>
      <c r="JA19" s="193"/>
      <c r="JB19" s="193"/>
      <c r="JC19" s="193"/>
      <c r="JD19" s="193"/>
      <c r="JE19" s="193"/>
      <c r="JF19" s="193"/>
      <c r="JG19" s="193"/>
      <c r="JH19" s="193"/>
      <c r="JI19" s="193"/>
      <c r="JJ19" s="193"/>
      <c r="JK19" s="193"/>
      <c r="JL19" s="193"/>
      <c r="JM19" s="193"/>
      <c r="JN19" s="193"/>
      <c r="JO19" s="193"/>
      <c r="JP19" s="193"/>
    </row>
    <row r="20" spans="2:276" ht="19.5" thickBot="1" x14ac:dyDescent="0.35">
      <c r="B20" s="805"/>
      <c r="C20" s="423">
        <v>20.72</v>
      </c>
      <c r="D20" s="821">
        <v>2</v>
      </c>
      <c r="E20" s="821">
        <v>2.8079999999999998</v>
      </c>
      <c r="F20" s="821">
        <v>1.2070000000000001</v>
      </c>
      <c r="G20" s="821">
        <v>2.4009999999999998</v>
      </c>
      <c r="H20" s="192"/>
      <c r="I20" s="832"/>
      <c r="J20" s="877"/>
      <c r="K20" s="876"/>
      <c r="L20" s="876"/>
      <c r="M20" s="876"/>
      <c r="N20" s="878" t="s">
        <v>66</v>
      </c>
      <c r="O20" s="879"/>
      <c r="P20" s="51"/>
      <c r="Q20" s="51"/>
      <c r="R20" s="692"/>
      <c r="S20" s="827"/>
      <c r="T20" s="692"/>
      <c r="U20" s="849"/>
      <c r="V20" s="198" t="str">
        <f>C1&amp;"_ENG_FA"</f>
        <v>MCZE445_ENG_FA</v>
      </c>
      <c r="W20" s="850" t="e">
        <f>K30/144</f>
        <v>#VALUE!</v>
      </c>
      <c r="X20" s="851" t="s">
        <v>42</v>
      </c>
      <c r="Y20" s="840"/>
      <c r="AA20" s="61"/>
      <c r="AC20" s="71"/>
      <c r="AD20" s="424"/>
      <c r="AE20" s="71"/>
      <c r="AF20" s="71"/>
      <c r="AG20" s="71"/>
      <c r="AH20" s="71"/>
      <c r="AI20" s="71"/>
      <c r="AS20" s="193"/>
      <c r="AT20" s="507"/>
      <c r="AU20" s="794"/>
      <c r="AV20" s="794"/>
      <c r="AW20" s="794"/>
      <c r="AX20" s="794"/>
      <c r="AY20" s="794"/>
      <c r="AZ20" s="789"/>
      <c r="BA20" s="789"/>
      <c r="BB20" s="789"/>
      <c r="BC20" s="789"/>
      <c r="BD20" s="789"/>
      <c r="BE20" s="789"/>
      <c r="BF20" s="789"/>
      <c r="BG20" s="789"/>
      <c r="BH20" s="796"/>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c r="DL20" s="789"/>
      <c r="DM20" s="789"/>
      <c r="DN20" s="789"/>
      <c r="DO20" s="789"/>
      <c r="DP20" s="789"/>
      <c r="DQ20" s="789"/>
      <c r="DR20" s="789"/>
      <c r="DS20" s="789"/>
      <c r="DT20" s="789"/>
      <c r="DU20" s="789"/>
      <c r="DV20" s="789"/>
      <c r="DW20" s="789"/>
      <c r="DX20" s="789"/>
      <c r="DY20" s="789"/>
      <c r="DZ20" s="789"/>
      <c r="EA20" s="789"/>
      <c r="EB20" s="789"/>
      <c r="EC20" s="789"/>
      <c r="ED20" s="789"/>
      <c r="EE20" s="789"/>
      <c r="EF20" s="789"/>
      <c r="EG20" s="789"/>
      <c r="EH20" s="789"/>
      <c r="EI20" s="789"/>
      <c r="EJ20" s="789"/>
      <c r="EK20" s="789"/>
      <c r="EL20" s="789"/>
      <c r="EM20" s="789"/>
      <c r="EN20" s="789"/>
      <c r="EO20" s="789"/>
      <c r="EP20" s="789"/>
      <c r="EQ20" s="789"/>
      <c r="ER20" s="789"/>
      <c r="ES20" s="789"/>
      <c r="ET20" s="789"/>
      <c r="EU20" s="789"/>
      <c r="EV20" s="789"/>
      <c r="EW20" s="789"/>
      <c r="EX20" s="789"/>
      <c r="EY20" s="789"/>
      <c r="EZ20" s="789"/>
      <c r="FA20" s="789"/>
      <c r="FB20" s="789"/>
      <c r="FC20" s="789"/>
      <c r="FD20" s="789"/>
      <c r="FE20" s="789"/>
      <c r="FF20" s="789"/>
      <c r="FG20" s="789"/>
      <c r="FH20" s="789"/>
      <c r="FI20" s="789"/>
      <c r="FJ20" s="789"/>
      <c r="FK20" s="789"/>
      <c r="FL20" s="789"/>
      <c r="FM20" s="789"/>
      <c r="FN20" s="789"/>
      <c r="FO20" s="789"/>
      <c r="FP20" s="789"/>
      <c r="FQ20" s="789"/>
      <c r="FR20" s="789"/>
      <c r="FS20" s="789"/>
      <c r="FT20" s="789"/>
      <c r="FU20" s="789"/>
      <c r="FV20" s="789"/>
      <c r="FW20" s="789"/>
      <c r="FX20" s="789"/>
      <c r="FY20" s="789"/>
      <c r="FZ20" s="789"/>
      <c r="GA20" s="789"/>
      <c r="GB20" s="789"/>
      <c r="GC20" s="789"/>
      <c r="GD20" s="789"/>
      <c r="GE20" s="789"/>
      <c r="GF20" s="789"/>
      <c r="GG20" s="789"/>
      <c r="GH20" s="789"/>
      <c r="GI20" s="789"/>
      <c r="GJ20" s="789"/>
      <c r="GK20" s="789"/>
      <c r="GL20" s="789"/>
      <c r="GM20" s="789"/>
      <c r="GN20" s="789"/>
      <c r="GO20" s="789"/>
      <c r="GP20" s="789"/>
      <c r="GQ20" s="789"/>
      <c r="GR20" s="789"/>
      <c r="GS20" s="789"/>
      <c r="GT20" s="789"/>
      <c r="GU20" s="789"/>
      <c r="GV20" s="789"/>
      <c r="GW20" s="789"/>
      <c r="GX20" s="789"/>
      <c r="GY20" s="789"/>
      <c r="GZ20" s="789"/>
      <c r="HA20" s="789"/>
      <c r="HB20" s="789"/>
      <c r="HC20" s="789"/>
      <c r="HD20" s="789"/>
      <c r="HE20" s="789"/>
      <c r="HF20" s="789"/>
      <c r="HG20" s="789"/>
      <c r="HH20" s="789"/>
      <c r="HI20" s="789"/>
      <c r="HJ20" s="789"/>
      <c r="HK20" s="789"/>
      <c r="HL20" s="789"/>
      <c r="HM20" s="789"/>
      <c r="HN20" s="789"/>
      <c r="HO20" s="789"/>
      <c r="HP20" s="789"/>
      <c r="HQ20" s="789"/>
      <c r="HR20" s="789"/>
      <c r="HS20" s="789"/>
      <c r="HT20" s="789"/>
      <c r="HU20" s="789"/>
      <c r="HV20" s="789"/>
      <c r="HW20" s="789"/>
      <c r="HX20" s="789"/>
      <c r="HY20" s="789"/>
      <c r="HZ20" s="789"/>
      <c r="IA20" s="789"/>
      <c r="IB20" s="789"/>
      <c r="IC20" s="789"/>
      <c r="ID20" s="789"/>
      <c r="IE20" s="789"/>
      <c r="IF20" s="789"/>
      <c r="IG20" s="789"/>
      <c r="IH20" s="789"/>
      <c r="II20" s="789"/>
      <c r="IJ20" s="789"/>
      <c r="IK20" s="789"/>
      <c r="IL20" s="789"/>
      <c r="IM20" s="789"/>
      <c r="IN20" s="789"/>
      <c r="IO20" s="789"/>
      <c r="IP20" s="789"/>
      <c r="IQ20" s="797"/>
      <c r="IR20" s="797"/>
      <c r="IS20" s="797"/>
      <c r="IT20" s="797"/>
      <c r="IU20" s="797"/>
      <c r="IV20" s="797"/>
      <c r="IW20" s="797"/>
      <c r="IX20" s="507"/>
      <c r="IY20" s="193"/>
      <c r="IZ20" s="193"/>
      <c r="JA20" s="193"/>
      <c r="JB20" s="193"/>
      <c r="JC20" s="193"/>
      <c r="JD20" s="193"/>
      <c r="JE20" s="193"/>
      <c r="JF20" s="193"/>
      <c r="JG20" s="193"/>
      <c r="JH20" s="193"/>
      <c r="JI20" s="193"/>
      <c r="JJ20" s="193"/>
      <c r="JK20" s="193"/>
      <c r="JL20" s="193"/>
      <c r="JM20" s="193"/>
      <c r="JN20" s="193"/>
      <c r="JO20" s="193"/>
      <c r="JP20" s="193"/>
    </row>
    <row r="21" spans="2:276" ht="18" customHeight="1" thickBot="1" x14ac:dyDescent="0.35">
      <c r="B21" s="805"/>
      <c r="C21" s="423">
        <v>25.72</v>
      </c>
      <c r="D21" s="821">
        <v>3</v>
      </c>
      <c r="E21" s="821">
        <v>2.8079999999999998</v>
      </c>
      <c r="F21" s="821">
        <v>1.2070000000000001</v>
      </c>
      <c r="G21" s="821">
        <v>2.4009999999999998</v>
      </c>
      <c r="H21" s="192"/>
      <c r="I21" s="880"/>
      <c r="J21" s="834" t="s">
        <v>367</v>
      </c>
      <c r="K21" s="876" t="e">
        <f>VLOOKUP(C5,C19:D34,2,FALSE)-1</f>
        <v>#N/A</v>
      </c>
      <c r="L21" s="876"/>
      <c r="M21" s="876"/>
      <c r="N21" s="881"/>
      <c r="O21" s="879"/>
      <c r="P21" s="107"/>
      <c r="Q21" s="159"/>
      <c r="R21" s="692"/>
      <c r="S21" s="827"/>
      <c r="T21" s="692"/>
      <c r="U21" s="520"/>
      <c r="V21" s="198" t="str">
        <f>C1&amp;"_ENG_FACE_AREA"</f>
        <v>MCZE445_ENG_FACE_AREA</v>
      </c>
      <c r="W21" s="852" t="e">
        <f>((C3*C5*2)+(C4*C5*2))/144</f>
        <v>#VALUE!</v>
      </c>
      <c r="X21" s="851" t="s">
        <v>42</v>
      </c>
      <c r="Y21" s="840"/>
      <c r="AA21" s="61"/>
      <c r="AC21" s="71"/>
      <c r="AD21" s="424"/>
      <c r="AE21" s="71"/>
      <c r="AF21" s="71"/>
      <c r="AG21" s="71"/>
      <c r="AH21" s="71"/>
      <c r="AI21" s="71"/>
      <c r="AS21" s="193"/>
      <c r="AT21" s="507"/>
      <c r="AU21" s="795"/>
      <c r="AV21" s="789"/>
      <c r="AW21" s="795"/>
      <c r="AX21" s="791"/>
      <c r="AY21" s="33"/>
      <c r="AZ21" s="33"/>
      <c r="BA21" s="33"/>
      <c r="BB21" s="33"/>
      <c r="BC21" s="33"/>
      <c r="BD21" s="33"/>
      <c r="BE21" s="33"/>
      <c r="BF21" s="33"/>
      <c r="BG21" s="790"/>
      <c r="BH21" s="791"/>
      <c r="BI21" s="33"/>
      <c r="BJ21" s="33"/>
      <c r="BK21" s="33"/>
      <c r="BL21" s="33"/>
      <c r="BM21" s="33"/>
      <c r="BN21" s="33"/>
      <c r="BO21" s="33"/>
      <c r="BP21" s="33"/>
      <c r="BQ21" s="790"/>
      <c r="BR21" s="791"/>
      <c r="BS21" s="33"/>
      <c r="BT21" s="33"/>
      <c r="BU21" s="33"/>
      <c r="BV21" s="33"/>
      <c r="BW21" s="33"/>
      <c r="BX21" s="33"/>
      <c r="BY21" s="33"/>
      <c r="BZ21" s="33"/>
      <c r="CA21" s="790"/>
      <c r="CB21" s="791"/>
      <c r="CC21" s="33"/>
      <c r="CD21" s="33"/>
      <c r="CE21" s="33"/>
      <c r="CF21" s="33"/>
      <c r="CG21" s="33"/>
      <c r="CH21" s="33"/>
      <c r="CI21" s="33"/>
      <c r="CJ21" s="33"/>
      <c r="CK21" s="790"/>
      <c r="CL21" s="791"/>
      <c r="CM21" s="33"/>
      <c r="CN21" s="33"/>
      <c r="CO21" s="33"/>
      <c r="CP21" s="33"/>
      <c r="CQ21" s="33"/>
      <c r="CR21" s="33"/>
      <c r="CS21" s="33"/>
      <c r="CT21" s="33"/>
      <c r="CU21" s="790"/>
      <c r="CV21" s="791"/>
      <c r="CW21" s="33"/>
      <c r="CX21" s="33"/>
      <c r="CY21" s="33"/>
      <c r="CZ21" s="33"/>
      <c r="DA21" s="33"/>
      <c r="DB21" s="33"/>
      <c r="DC21" s="33"/>
      <c r="DD21" s="33"/>
      <c r="DE21" s="790"/>
      <c r="DF21" s="791"/>
      <c r="DG21" s="33"/>
      <c r="DH21" s="33"/>
      <c r="DI21" s="33"/>
      <c r="DJ21" s="33"/>
      <c r="DK21" s="33"/>
      <c r="DL21" s="33"/>
      <c r="DM21" s="33"/>
      <c r="DN21" s="33"/>
      <c r="DO21" s="790"/>
      <c r="DP21" s="791"/>
      <c r="DQ21" s="33"/>
      <c r="DR21" s="33"/>
      <c r="DS21" s="33"/>
      <c r="DT21" s="33"/>
      <c r="DU21" s="33"/>
      <c r="DV21" s="33"/>
      <c r="DW21" s="33"/>
      <c r="DX21" s="33"/>
      <c r="DY21" s="790"/>
      <c r="DZ21" s="791"/>
      <c r="EA21" s="33"/>
      <c r="EB21" s="33"/>
      <c r="EC21" s="33"/>
      <c r="ED21" s="33"/>
      <c r="EE21" s="33"/>
      <c r="EF21" s="33"/>
      <c r="EG21" s="33"/>
      <c r="EH21" s="33"/>
      <c r="EI21" s="790"/>
      <c r="EJ21" s="791"/>
      <c r="EK21" s="33"/>
      <c r="EL21" s="33"/>
      <c r="EM21" s="33"/>
      <c r="EN21" s="33"/>
      <c r="EO21" s="33"/>
      <c r="EP21" s="33"/>
      <c r="EQ21" s="33"/>
      <c r="ER21" s="33"/>
      <c r="ES21" s="790"/>
      <c r="ET21" s="791"/>
      <c r="EU21" s="33"/>
      <c r="EV21" s="33"/>
      <c r="EW21" s="33"/>
      <c r="EX21" s="33"/>
      <c r="EY21" s="33"/>
      <c r="EZ21" s="33"/>
      <c r="FA21" s="33"/>
      <c r="FB21" s="33"/>
      <c r="FC21" s="790"/>
      <c r="FD21" s="791"/>
      <c r="FE21" s="33"/>
      <c r="FF21" s="33"/>
      <c r="FG21" s="33"/>
      <c r="FH21" s="33"/>
      <c r="FI21" s="33"/>
      <c r="FJ21" s="33"/>
      <c r="FK21" s="33"/>
      <c r="FL21" s="33"/>
      <c r="FM21" s="790"/>
      <c r="FN21" s="791"/>
      <c r="FO21" s="33"/>
      <c r="FP21" s="33"/>
      <c r="FQ21" s="33"/>
      <c r="FR21" s="33"/>
      <c r="FS21" s="33"/>
      <c r="FT21" s="33"/>
      <c r="FU21" s="33"/>
      <c r="FV21" s="33"/>
      <c r="FW21" s="790"/>
      <c r="FX21" s="791"/>
      <c r="FY21" s="33"/>
      <c r="FZ21" s="33"/>
      <c r="GA21" s="33"/>
      <c r="GB21" s="33"/>
      <c r="GC21" s="33"/>
      <c r="GD21" s="33"/>
      <c r="GE21" s="33"/>
      <c r="GF21" s="33"/>
      <c r="GG21" s="790"/>
      <c r="GH21" s="791"/>
      <c r="GI21" s="33"/>
      <c r="GJ21" s="33"/>
      <c r="GK21" s="33"/>
      <c r="GL21" s="33"/>
      <c r="GM21" s="33"/>
      <c r="GN21" s="33"/>
      <c r="GO21" s="33"/>
      <c r="GP21" s="33"/>
      <c r="GQ21" s="790"/>
      <c r="GR21" s="791"/>
      <c r="GS21" s="33"/>
      <c r="GT21" s="33"/>
      <c r="GU21" s="33"/>
      <c r="GV21" s="33"/>
      <c r="GW21" s="33"/>
      <c r="GX21" s="33"/>
      <c r="GY21" s="33"/>
      <c r="GZ21" s="33"/>
      <c r="HA21" s="790"/>
      <c r="HB21" s="791"/>
      <c r="HC21" s="33"/>
      <c r="HD21" s="33"/>
      <c r="HE21" s="33"/>
      <c r="HF21" s="33"/>
      <c r="HG21" s="33"/>
      <c r="HH21" s="33"/>
      <c r="HI21" s="33"/>
      <c r="HJ21" s="33"/>
      <c r="HK21" s="790"/>
      <c r="HL21" s="791"/>
      <c r="HM21" s="33"/>
      <c r="HN21" s="33"/>
      <c r="HO21" s="33"/>
      <c r="HP21" s="33"/>
      <c r="HQ21" s="33"/>
      <c r="HR21" s="33"/>
      <c r="HS21" s="33"/>
      <c r="HT21" s="33"/>
      <c r="HU21" s="790"/>
      <c r="HV21" s="791"/>
      <c r="HW21" s="33"/>
      <c r="HX21" s="33"/>
      <c r="HY21" s="33"/>
      <c r="HZ21" s="33"/>
      <c r="IA21" s="33"/>
      <c r="IB21" s="33"/>
      <c r="IC21" s="33"/>
      <c r="ID21" s="33"/>
      <c r="IE21" s="790"/>
      <c r="IF21" s="791"/>
      <c r="IG21" s="33"/>
      <c r="IH21" s="33"/>
      <c r="II21" s="33"/>
      <c r="IJ21" s="33"/>
      <c r="IK21" s="33"/>
      <c r="IL21" s="33"/>
      <c r="IM21" s="33"/>
      <c r="IN21" s="33"/>
      <c r="IO21" s="790"/>
      <c r="IP21" s="789"/>
      <c r="IQ21" s="788"/>
      <c r="IR21" s="792"/>
      <c r="IS21" s="792"/>
      <c r="IT21" s="792"/>
      <c r="IU21" s="792"/>
      <c r="IV21" s="792"/>
      <c r="IW21" s="792"/>
      <c r="IX21" s="507"/>
      <c r="IY21" s="193"/>
      <c r="IZ21" s="193"/>
      <c r="JA21" s="193"/>
      <c r="JB21" s="193"/>
      <c r="JC21" s="193"/>
      <c r="JD21" s="193"/>
      <c r="JE21" s="193"/>
      <c r="JF21" s="193"/>
      <c r="JG21" s="193"/>
      <c r="JH21" s="193"/>
      <c r="JI21" s="193"/>
      <c r="JJ21" s="193"/>
      <c r="JK21" s="193"/>
      <c r="JL21" s="193"/>
      <c r="JM21" s="193"/>
      <c r="JN21" s="193"/>
      <c r="JO21" s="193"/>
      <c r="JP21" s="193"/>
    </row>
    <row r="22" spans="2:276" ht="19.5" thickBot="1" x14ac:dyDescent="0.35">
      <c r="B22" s="805"/>
      <c r="C22" s="423">
        <v>30.72</v>
      </c>
      <c r="D22" s="821">
        <v>4</v>
      </c>
      <c r="E22" s="821">
        <v>2.8079999999999998</v>
      </c>
      <c r="F22" s="821">
        <v>1.2070000000000001</v>
      </c>
      <c r="G22" s="821">
        <v>2.4009999999999998</v>
      </c>
      <c r="H22" s="192"/>
      <c r="I22" s="832"/>
      <c r="J22" s="834" t="s">
        <v>368</v>
      </c>
      <c r="K22" s="876" t="e">
        <f>VLOOKUP(C5,C19:G34,3,FALSE)</f>
        <v>#N/A</v>
      </c>
      <c r="L22" s="876" t="s">
        <v>151</v>
      </c>
      <c r="M22" s="876"/>
      <c r="N22" s="881" t="s">
        <v>189</v>
      </c>
      <c r="O22" s="879"/>
      <c r="P22" s="107" t="str">
        <f>IF(OR(C3&lt;H3,C4&lt;H4,C5&lt;H5,C3&gt;I3,C4&gt;I4,C5&gt;I5),"",K30/144)</f>
        <v/>
      </c>
      <c r="Q22" s="159" t="s">
        <v>42</v>
      </c>
      <c r="R22" s="692"/>
      <c r="S22" s="827"/>
      <c r="T22" s="692"/>
      <c r="U22" s="520"/>
      <c r="V22" s="198" t="str">
        <f>C1&amp;"_ENG_FA%"</f>
        <v>MCZE445_ENG_FA%</v>
      </c>
      <c r="W22" s="852" t="e">
        <f>(W20/W21)*100</f>
        <v>#VALUE!</v>
      </c>
      <c r="X22" s="851" t="s">
        <v>13</v>
      </c>
      <c r="Y22" s="840"/>
      <c r="AA22" s="61"/>
      <c r="AC22" s="71"/>
      <c r="AD22" s="424"/>
      <c r="AE22" s="71"/>
      <c r="AF22" s="71"/>
      <c r="AG22" s="71"/>
      <c r="AH22" s="71"/>
      <c r="AI22" s="71"/>
      <c r="AS22" s="193"/>
      <c r="AT22" s="507"/>
      <c r="AU22" s="789"/>
      <c r="AV22" s="789"/>
      <c r="AW22" s="789"/>
      <c r="AX22" s="791"/>
      <c r="AY22" s="33"/>
      <c r="AZ22" s="33"/>
      <c r="BA22" s="33"/>
      <c r="BB22" s="33"/>
      <c r="BC22" s="33"/>
      <c r="BD22" s="33"/>
      <c r="BE22" s="33"/>
      <c r="BF22" s="33"/>
      <c r="BG22" s="790"/>
      <c r="BH22" s="791"/>
      <c r="BI22" s="33"/>
      <c r="BJ22" s="33"/>
      <c r="BK22" s="33"/>
      <c r="BL22" s="33"/>
      <c r="BM22" s="33"/>
      <c r="BN22" s="33"/>
      <c r="BO22" s="33"/>
      <c r="BP22" s="33"/>
      <c r="BQ22" s="790"/>
      <c r="BR22" s="791"/>
      <c r="BS22" s="33"/>
      <c r="BT22" s="33"/>
      <c r="BU22" s="33"/>
      <c r="BV22" s="33"/>
      <c r="BW22" s="33"/>
      <c r="BX22" s="33"/>
      <c r="BY22" s="33"/>
      <c r="BZ22" s="33"/>
      <c r="CA22" s="790"/>
      <c r="CB22" s="791"/>
      <c r="CC22" s="33"/>
      <c r="CD22" s="33"/>
      <c r="CE22" s="33"/>
      <c r="CF22" s="33"/>
      <c r="CG22" s="33"/>
      <c r="CH22" s="33"/>
      <c r="CI22" s="33"/>
      <c r="CJ22" s="33"/>
      <c r="CK22" s="790"/>
      <c r="CL22" s="791"/>
      <c r="CM22" s="33"/>
      <c r="CN22" s="33"/>
      <c r="CO22" s="33"/>
      <c r="CP22" s="33"/>
      <c r="CQ22" s="33"/>
      <c r="CR22" s="33"/>
      <c r="CS22" s="33"/>
      <c r="CT22" s="33"/>
      <c r="CU22" s="790"/>
      <c r="CV22" s="791"/>
      <c r="CW22" s="33"/>
      <c r="CX22" s="33"/>
      <c r="CY22" s="33"/>
      <c r="CZ22" s="33"/>
      <c r="DA22" s="33"/>
      <c r="DB22" s="33"/>
      <c r="DC22" s="33"/>
      <c r="DD22" s="33"/>
      <c r="DE22" s="790"/>
      <c r="DF22" s="791"/>
      <c r="DG22" s="33"/>
      <c r="DH22" s="33"/>
      <c r="DI22" s="33"/>
      <c r="DJ22" s="33"/>
      <c r="DK22" s="33"/>
      <c r="DL22" s="33"/>
      <c r="DM22" s="33"/>
      <c r="DN22" s="33"/>
      <c r="DO22" s="790"/>
      <c r="DP22" s="791"/>
      <c r="DQ22" s="33"/>
      <c r="DR22" s="33"/>
      <c r="DS22" s="33"/>
      <c r="DT22" s="33"/>
      <c r="DU22" s="33"/>
      <c r="DV22" s="33"/>
      <c r="DW22" s="33"/>
      <c r="DX22" s="33"/>
      <c r="DY22" s="790"/>
      <c r="DZ22" s="791"/>
      <c r="EA22" s="33"/>
      <c r="EB22" s="33"/>
      <c r="EC22" s="33"/>
      <c r="ED22" s="33"/>
      <c r="EE22" s="33"/>
      <c r="EF22" s="33"/>
      <c r="EG22" s="33"/>
      <c r="EH22" s="33"/>
      <c r="EI22" s="790"/>
      <c r="EJ22" s="791"/>
      <c r="EK22" s="33"/>
      <c r="EL22" s="33"/>
      <c r="EM22" s="33"/>
      <c r="EN22" s="33"/>
      <c r="EO22" s="33"/>
      <c r="EP22" s="33"/>
      <c r="EQ22" s="33"/>
      <c r="ER22" s="33"/>
      <c r="ES22" s="790"/>
      <c r="ET22" s="791"/>
      <c r="EU22" s="33"/>
      <c r="EV22" s="33"/>
      <c r="EW22" s="33"/>
      <c r="EX22" s="33"/>
      <c r="EY22" s="33"/>
      <c r="EZ22" s="33"/>
      <c r="FA22" s="33"/>
      <c r="FB22" s="33"/>
      <c r="FC22" s="790"/>
      <c r="FD22" s="791"/>
      <c r="FE22" s="33"/>
      <c r="FF22" s="33"/>
      <c r="FG22" s="33"/>
      <c r="FH22" s="33"/>
      <c r="FI22" s="33"/>
      <c r="FJ22" s="33"/>
      <c r="FK22" s="33"/>
      <c r="FL22" s="33"/>
      <c r="FM22" s="790"/>
      <c r="FN22" s="791"/>
      <c r="FO22" s="33"/>
      <c r="FP22" s="33"/>
      <c r="FQ22" s="33"/>
      <c r="FR22" s="33"/>
      <c r="FS22" s="33"/>
      <c r="FT22" s="33"/>
      <c r="FU22" s="33"/>
      <c r="FV22" s="33"/>
      <c r="FW22" s="790"/>
      <c r="FX22" s="791"/>
      <c r="FY22" s="33"/>
      <c r="FZ22" s="33"/>
      <c r="GA22" s="33"/>
      <c r="GB22" s="33"/>
      <c r="GC22" s="33"/>
      <c r="GD22" s="33"/>
      <c r="GE22" s="33"/>
      <c r="GF22" s="33"/>
      <c r="GG22" s="790"/>
      <c r="GH22" s="791"/>
      <c r="GI22" s="33"/>
      <c r="GJ22" s="33"/>
      <c r="GK22" s="33"/>
      <c r="GL22" s="33"/>
      <c r="GM22" s="33"/>
      <c r="GN22" s="33"/>
      <c r="GO22" s="33"/>
      <c r="GP22" s="33"/>
      <c r="GQ22" s="790"/>
      <c r="GR22" s="791"/>
      <c r="GS22" s="33"/>
      <c r="GT22" s="33"/>
      <c r="GU22" s="33"/>
      <c r="GV22" s="33"/>
      <c r="GW22" s="33"/>
      <c r="GX22" s="33"/>
      <c r="GY22" s="33"/>
      <c r="GZ22" s="33"/>
      <c r="HA22" s="790"/>
      <c r="HB22" s="791"/>
      <c r="HC22" s="33"/>
      <c r="HD22" s="33"/>
      <c r="HE22" s="33"/>
      <c r="HF22" s="33"/>
      <c r="HG22" s="33"/>
      <c r="HH22" s="33"/>
      <c r="HI22" s="33"/>
      <c r="HJ22" s="33"/>
      <c r="HK22" s="790"/>
      <c r="HL22" s="791"/>
      <c r="HM22" s="33"/>
      <c r="HN22" s="33"/>
      <c r="HO22" s="33"/>
      <c r="HP22" s="33"/>
      <c r="HQ22" s="33"/>
      <c r="HR22" s="33"/>
      <c r="HS22" s="33"/>
      <c r="HT22" s="33"/>
      <c r="HU22" s="790"/>
      <c r="HV22" s="791"/>
      <c r="HW22" s="33"/>
      <c r="HX22" s="33"/>
      <c r="HY22" s="33"/>
      <c r="HZ22" s="33"/>
      <c r="IA22" s="33"/>
      <c r="IB22" s="33"/>
      <c r="IC22" s="33"/>
      <c r="ID22" s="33"/>
      <c r="IE22" s="790"/>
      <c r="IF22" s="791"/>
      <c r="IG22" s="33"/>
      <c r="IH22" s="33"/>
      <c r="II22" s="33"/>
      <c r="IJ22" s="33"/>
      <c r="IK22" s="33"/>
      <c r="IL22" s="33"/>
      <c r="IM22" s="33"/>
      <c r="IN22" s="33"/>
      <c r="IO22" s="790"/>
      <c r="IP22" s="790"/>
      <c r="IQ22" s="788"/>
      <c r="IR22" s="792"/>
      <c r="IS22" s="792"/>
      <c r="IT22" s="792"/>
      <c r="IU22" s="792"/>
      <c r="IV22" s="792"/>
      <c r="IW22" s="792"/>
      <c r="IX22" s="507"/>
      <c r="IY22" s="193"/>
      <c r="IZ22" s="193"/>
      <c r="JA22" s="193"/>
      <c r="JB22" s="193"/>
      <c r="JC22" s="193"/>
      <c r="JD22" s="193"/>
      <c r="JE22" s="193"/>
      <c r="JF22" s="193"/>
      <c r="JG22" s="193"/>
      <c r="JH22" s="193"/>
      <c r="JI22" s="193"/>
      <c r="JJ22" s="193"/>
      <c r="JK22" s="193"/>
      <c r="JL22" s="193"/>
      <c r="JM22" s="193"/>
      <c r="JN22" s="193"/>
      <c r="JO22" s="193"/>
      <c r="JP22" s="193"/>
    </row>
    <row r="23" spans="2:276" ht="19.5" thickBot="1" x14ac:dyDescent="0.35">
      <c r="B23" s="805"/>
      <c r="C23" s="423">
        <v>35.72</v>
      </c>
      <c r="D23" s="821">
        <v>5</v>
      </c>
      <c r="E23" s="821">
        <v>2.8079999999999998</v>
      </c>
      <c r="F23" s="821">
        <v>1.2070000000000001</v>
      </c>
      <c r="G23" s="821">
        <v>2.4009999999999998</v>
      </c>
      <c r="H23" s="192"/>
      <c r="I23" s="828"/>
      <c r="J23" s="882" t="s">
        <v>369</v>
      </c>
      <c r="K23" s="876" t="e">
        <f>VLOOKUP(C5,C19:G34,4,FALSE)</f>
        <v>#N/A</v>
      </c>
      <c r="L23" s="876" t="s">
        <v>151</v>
      </c>
      <c r="M23" s="876"/>
      <c r="N23" s="881" t="s">
        <v>190</v>
      </c>
      <c r="O23" s="879"/>
      <c r="P23" s="107" t="e">
        <f>((C3*C5*2)+(C4*C5*2))/144</f>
        <v>#VALUE!</v>
      </c>
      <c r="Q23" s="159" t="s">
        <v>42</v>
      </c>
      <c r="R23" s="692"/>
      <c r="S23" s="827"/>
      <c r="T23" s="692"/>
      <c r="U23" s="520"/>
      <c r="V23" s="198" t="str">
        <f>C1&amp;"_ENG_VEL"</f>
        <v>MCZE445_ENG_VEL</v>
      </c>
      <c r="W23" s="494" t="e">
        <f>C6/W20</f>
        <v>#VALUE!</v>
      </c>
      <c r="X23" s="843" t="s">
        <v>45</v>
      </c>
      <c r="Y23" s="840"/>
      <c r="AA23" s="61"/>
      <c r="AC23" s="71"/>
      <c r="AD23" s="424"/>
      <c r="AE23" s="71"/>
      <c r="AF23" s="71"/>
      <c r="AG23" s="71"/>
      <c r="AH23" s="71"/>
      <c r="AI23" s="71"/>
      <c r="AS23" s="193"/>
      <c r="AT23" s="507"/>
      <c r="AU23" s="789"/>
      <c r="AV23" s="789"/>
      <c r="AW23" s="789"/>
      <c r="AX23" s="791"/>
      <c r="AY23" s="33"/>
      <c r="AZ23" s="33"/>
      <c r="BA23" s="33"/>
      <c r="BB23" s="33"/>
      <c r="BC23" s="33"/>
      <c r="BD23" s="33"/>
      <c r="BE23" s="33"/>
      <c r="BF23" s="33"/>
      <c r="BG23" s="790"/>
      <c r="BH23" s="791"/>
      <c r="BI23" s="33"/>
      <c r="BJ23" s="33"/>
      <c r="BK23" s="33"/>
      <c r="BL23" s="33"/>
      <c r="BM23" s="33"/>
      <c r="BN23" s="33"/>
      <c r="BO23" s="33"/>
      <c r="BP23" s="33"/>
      <c r="BQ23" s="790"/>
      <c r="BR23" s="791"/>
      <c r="BS23" s="33"/>
      <c r="BT23" s="33"/>
      <c r="BU23" s="33"/>
      <c r="BV23" s="33"/>
      <c r="BW23" s="33"/>
      <c r="BX23" s="33"/>
      <c r="BY23" s="33"/>
      <c r="BZ23" s="33"/>
      <c r="CA23" s="790"/>
      <c r="CB23" s="791"/>
      <c r="CC23" s="33"/>
      <c r="CD23" s="33"/>
      <c r="CE23" s="33"/>
      <c r="CF23" s="33"/>
      <c r="CG23" s="33"/>
      <c r="CH23" s="33"/>
      <c r="CI23" s="33"/>
      <c r="CJ23" s="33"/>
      <c r="CK23" s="790"/>
      <c r="CL23" s="791"/>
      <c r="CM23" s="33"/>
      <c r="CN23" s="33"/>
      <c r="CO23" s="33"/>
      <c r="CP23" s="33"/>
      <c r="CQ23" s="33"/>
      <c r="CR23" s="33"/>
      <c r="CS23" s="33"/>
      <c r="CT23" s="33"/>
      <c r="CU23" s="790"/>
      <c r="CV23" s="791"/>
      <c r="CW23" s="33"/>
      <c r="CX23" s="33"/>
      <c r="CY23" s="33"/>
      <c r="CZ23" s="33"/>
      <c r="DA23" s="33"/>
      <c r="DB23" s="33"/>
      <c r="DC23" s="33"/>
      <c r="DD23" s="33"/>
      <c r="DE23" s="790"/>
      <c r="DF23" s="791"/>
      <c r="DG23" s="33"/>
      <c r="DH23" s="33"/>
      <c r="DI23" s="33"/>
      <c r="DJ23" s="33"/>
      <c r="DK23" s="33"/>
      <c r="DL23" s="33"/>
      <c r="DM23" s="33"/>
      <c r="DN23" s="33"/>
      <c r="DO23" s="790"/>
      <c r="DP23" s="791"/>
      <c r="DQ23" s="33"/>
      <c r="DR23" s="33"/>
      <c r="DS23" s="33"/>
      <c r="DT23" s="33"/>
      <c r="DU23" s="33"/>
      <c r="DV23" s="33"/>
      <c r="DW23" s="33"/>
      <c r="DX23" s="33"/>
      <c r="DY23" s="790"/>
      <c r="DZ23" s="791"/>
      <c r="EA23" s="33"/>
      <c r="EB23" s="33"/>
      <c r="EC23" s="33"/>
      <c r="ED23" s="33"/>
      <c r="EE23" s="33"/>
      <c r="EF23" s="33"/>
      <c r="EG23" s="33"/>
      <c r="EH23" s="33"/>
      <c r="EI23" s="790"/>
      <c r="EJ23" s="791"/>
      <c r="EK23" s="33"/>
      <c r="EL23" s="33"/>
      <c r="EM23" s="33"/>
      <c r="EN23" s="33"/>
      <c r="EO23" s="33"/>
      <c r="EP23" s="33"/>
      <c r="EQ23" s="33"/>
      <c r="ER23" s="33"/>
      <c r="ES23" s="790"/>
      <c r="ET23" s="791"/>
      <c r="EU23" s="33"/>
      <c r="EV23" s="33"/>
      <c r="EW23" s="33"/>
      <c r="EX23" s="33"/>
      <c r="EY23" s="33"/>
      <c r="EZ23" s="33"/>
      <c r="FA23" s="33"/>
      <c r="FB23" s="33"/>
      <c r="FC23" s="790"/>
      <c r="FD23" s="791"/>
      <c r="FE23" s="33"/>
      <c r="FF23" s="33"/>
      <c r="FG23" s="33"/>
      <c r="FH23" s="33"/>
      <c r="FI23" s="33"/>
      <c r="FJ23" s="33"/>
      <c r="FK23" s="33"/>
      <c r="FL23" s="33"/>
      <c r="FM23" s="790"/>
      <c r="FN23" s="791"/>
      <c r="FO23" s="33"/>
      <c r="FP23" s="33"/>
      <c r="FQ23" s="33"/>
      <c r="FR23" s="33"/>
      <c r="FS23" s="33"/>
      <c r="FT23" s="33"/>
      <c r="FU23" s="33"/>
      <c r="FV23" s="33"/>
      <c r="FW23" s="790"/>
      <c r="FX23" s="791"/>
      <c r="FY23" s="33"/>
      <c r="FZ23" s="33"/>
      <c r="GA23" s="33"/>
      <c r="GB23" s="33"/>
      <c r="GC23" s="33"/>
      <c r="GD23" s="33"/>
      <c r="GE23" s="33"/>
      <c r="GF23" s="33"/>
      <c r="GG23" s="790"/>
      <c r="GH23" s="791"/>
      <c r="GI23" s="33"/>
      <c r="GJ23" s="33"/>
      <c r="GK23" s="33"/>
      <c r="GL23" s="33"/>
      <c r="GM23" s="33"/>
      <c r="GN23" s="33"/>
      <c r="GO23" s="33"/>
      <c r="GP23" s="33"/>
      <c r="GQ23" s="790"/>
      <c r="GR23" s="791"/>
      <c r="GS23" s="33"/>
      <c r="GT23" s="33"/>
      <c r="GU23" s="33"/>
      <c r="GV23" s="33"/>
      <c r="GW23" s="33"/>
      <c r="GX23" s="33"/>
      <c r="GY23" s="33"/>
      <c r="GZ23" s="33"/>
      <c r="HA23" s="790"/>
      <c r="HB23" s="791"/>
      <c r="HC23" s="33"/>
      <c r="HD23" s="33"/>
      <c r="HE23" s="33"/>
      <c r="HF23" s="33"/>
      <c r="HG23" s="33"/>
      <c r="HH23" s="33"/>
      <c r="HI23" s="33"/>
      <c r="HJ23" s="33"/>
      <c r="HK23" s="790"/>
      <c r="HL23" s="791"/>
      <c r="HM23" s="33"/>
      <c r="HN23" s="33"/>
      <c r="HO23" s="33"/>
      <c r="HP23" s="33"/>
      <c r="HQ23" s="33"/>
      <c r="HR23" s="33"/>
      <c r="HS23" s="33"/>
      <c r="HT23" s="33"/>
      <c r="HU23" s="790"/>
      <c r="HV23" s="791"/>
      <c r="HW23" s="33"/>
      <c r="HX23" s="33"/>
      <c r="HY23" s="33"/>
      <c r="HZ23" s="33"/>
      <c r="IA23" s="33"/>
      <c r="IB23" s="33"/>
      <c r="IC23" s="33"/>
      <c r="ID23" s="33"/>
      <c r="IE23" s="790"/>
      <c r="IF23" s="791"/>
      <c r="IG23" s="33"/>
      <c r="IH23" s="33"/>
      <c r="II23" s="33"/>
      <c r="IJ23" s="33"/>
      <c r="IK23" s="33"/>
      <c r="IL23" s="33"/>
      <c r="IM23" s="33"/>
      <c r="IN23" s="33"/>
      <c r="IO23" s="790"/>
      <c r="IP23" s="790"/>
      <c r="IQ23" s="788"/>
      <c r="IR23" s="792"/>
      <c r="IS23" s="792"/>
      <c r="IT23" s="792"/>
      <c r="IU23" s="792"/>
      <c r="IV23" s="792"/>
      <c r="IW23" s="792"/>
      <c r="IX23" s="507"/>
      <c r="IY23" s="193"/>
      <c r="IZ23" s="193"/>
      <c r="JA23" s="193"/>
      <c r="JB23" s="193"/>
      <c r="JC23" s="193"/>
      <c r="JD23" s="193"/>
      <c r="JE23" s="193"/>
      <c r="JF23" s="193"/>
      <c r="JG23" s="193"/>
      <c r="JH23" s="193"/>
      <c r="JI23" s="193"/>
      <c r="JJ23" s="193"/>
      <c r="JK23" s="193"/>
      <c r="JL23" s="193"/>
      <c r="JM23" s="193"/>
      <c r="JN23" s="193"/>
      <c r="JO23" s="193"/>
      <c r="JP23" s="193"/>
    </row>
    <row r="24" spans="2:276" ht="19.5" thickBot="1" x14ac:dyDescent="0.35">
      <c r="B24" s="805"/>
      <c r="C24" s="423">
        <v>40.72</v>
      </c>
      <c r="D24" s="821">
        <v>6</v>
      </c>
      <c r="E24" s="821">
        <v>2.8079999999999998</v>
      </c>
      <c r="F24" s="821">
        <v>1.2070000000000001</v>
      </c>
      <c r="G24" s="821">
        <v>2.4009999999999998</v>
      </c>
      <c r="H24" s="192"/>
      <c r="I24" s="828"/>
      <c r="J24" s="834" t="s">
        <v>370</v>
      </c>
      <c r="K24" s="876" t="e">
        <f>VLOOKUP(C5,C19:G34,5,FALSE)</f>
        <v>#N/A</v>
      </c>
      <c r="L24" s="876" t="s">
        <v>151</v>
      </c>
      <c r="M24" s="876"/>
      <c r="N24" s="881" t="s">
        <v>191</v>
      </c>
      <c r="O24" s="879"/>
      <c r="P24" s="107" t="e">
        <f>(P22/P23)*100</f>
        <v>#VALUE!</v>
      </c>
      <c r="Q24" s="159" t="s">
        <v>13</v>
      </c>
      <c r="R24" s="692"/>
      <c r="S24" s="827"/>
      <c r="T24" s="692"/>
      <c r="U24" s="528" t="s">
        <v>69</v>
      </c>
      <c r="V24" s="516" t="str">
        <f>C1&amp;"_ENG_P_IN"</f>
        <v>MCZE445_ENG_P_IN</v>
      </c>
      <c r="W24" s="852" t="e">
        <f>1.70654844438105E-07*W23^2 + 7.72494047896E-19* - 2.15105711021124E-16</f>
        <v>#VALUE!</v>
      </c>
      <c r="X24" s="843" t="s">
        <v>85</v>
      </c>
      <c r="Y24" s="840"/>
      <c r="AA24" s="61"/>
      <c r="AC24" s="71"/>
      <c r="AD24" s="424"/>
      <c r="AE24" s="71"/>
      <c r="AF24" s="71"/>
      <c r="AG24" s="71"/>
      <c r="AH24" s="71"/>
      <c r="AI24" s="71"/>
      <c r="AS24" s="193"/>
      <c r="AT24" s="507"/>
      <c r="AU24" s="789"/>
      <c r="AV24" s="789"/>
      <c r="AW24" s="789"/>
      <c r="AX24" s="791"/>
      <c r="AY24" s="33"/>
      <c r="AZ24" s="33"/>
      <c r="BA24" s="33"/>
      <c r="BB24" s="33"/>
      <c r="BC24" s="33"/>
      <c r="BD24" s="33"/>
      <c r="BE24" s="33"/>
      <c r="BF24" s="33"/>
      <c r="BG24" s="790"/>
      <c r="BH24" s="791"/>
      <c r="BI24" s="33"/>
      <c r="BJ24" s="33"/>
      <c r="BK24" s="33"/>
      <c r="BL24" s="33"/>
      <c r="BM24" s="33"/>
      <c r="BN24" s="33"/>
      <c r="BO24" s="33"/>
      <c r="BP24" s="33"/>
      <c r="BQ24" s="790"/>
      <c r="BR24" s="791"/>
      <c r="BS24" s="33"/>
      <c r="BT24" s="33"/>
      <c r="BU24" s="33"/>
      <c r="BV24" s="33"/>
      <c r="BW24" s="33"/>
      <c r="BX24" s="33"/>
      <c r="BY24" s="33"/>
      <c r="BZ24" s="33"/>
      <c r="CA24" s="790"/>
      <c r="CB24" s="791"/>
      <c r="CC24" s="33"/>
      <c r="CD24" s="33"/>
      <c r="CE24" s="33"/>
      <c r="CF24" s="33"/>
      <c r="CG24" s="33"/>
      <c r="CH24" s="33"/>
      <c r="CI24" s="33"/>
      <c r="CJ24" s="33"/>
      <c r="CK24" s="790"/>
      <c r="CL24" s="791"/>
      <c r="CM24" s="33"/>
      <c r="CN24" s="33"/>
      <c r="CO24" s="33"/>
      <c r="CP24" s="33"/>
      <c r="CQ24" s="33"/>
      <c r="CR24" s="33"/>
      <c r="CS24" s="33"/>
      <c r="CT24" s="33"/>
      <c r="CU24" s="790"/>
      <c r="CV24" s="791"/>
      <c r="CW24" s="33"/>
      <c r="CX24" s="33"/>
      <c r="CY24" s="33"/>
      <c r="CZ24" s="33"/>
      <c r="DA24" s="33"/>
      <c r="DB24" s="33"/>
      <c r="DC24" s="33"/>
      <c r="DD24" s="33"/>
      <c r="DE24" s="790"/>
      <c r="DF24" s="791"/>
      <c r="DG24" s="33"/>
      <c r="DH24" s="33"/>
      <c r="DI24" s="33"/>
      <c r="DJ24" s="33"/>
      <c r="DK24" s="33"/>
      <c r="DL24" s="33"/>
      <c r="DM24" s="33"/>
      <c r="DN24" s="33"/>
      <c r="DO24" s="790"/>
      <c r="DP24" s="791"/>
      <c r="DQ24" s="33"/>
      <c r="DR24" s="33"/>
      <c r="DS24" s="33"/>
      <c r="DT24" s="33"/>
      <c r="DU24" s="33"/>
      <c r="DV24" s="33"/>
      <c r="DW24" s="33"/>
      <c r="DX24" s="33"/>
      <c r="DY24" s="790"/>
      <c r="DZ24" s="791"/>
      <c r="EA24" s="33"/>
      <c r="EB24" s="33"/>
      <c r="EC24" s="33"/>
      <c r="ED24" s="33"/>
      <c r="EE24" s="33"/>
      <c r="EF24" s="33"/>
      <c r="EG24" s="33"/>
      <c r="EH24" s="33"/>
      <c r="EI24" s="790"/>
      <c r="EJ24" s="791"/>
      <c r="EK24" s="33"/>
      <c r="EL24" s="33"/>
      <c r="EM24" s="33"/>
      <c r="EN24" s="33"/>
      <c r="EO24" s="33"/>
      <c r="EP24" s="33"/>
      <c r="EQ24" s="33"/>
      <c r="ER24" s="33"/>
      <c r="ES24" s="790"/>
      <c r="ET24" s="791"/>
      <c r="EU24" s="33"/>
      <c r="EV24" s="33"/>
      <c r="EW24" s="33"/>
      <c r="EX24" s="33"/>
      <c r="EY24" s="33"/>
      <c r="EZ24" s="33"/>
      <c r="FA24" s="33"/>
      <c r="FB24" s="33"/>
      <c r="FC24" s="790"/>
      <c r="FD24" s="791"/>
      <c r="FE24" s="33"/>
      <c r="FF24" s="33"/>
      <c r="FG24" s="33"/>
      <c r="FH24" s="33"/>
      <c r="FI24" s="33"/>
      <c r="FJ24" s="33"/>
      <c r="FK24" s="33"/>
      <c r="FL24" s="33"/>
      <c r="FM24" s="790"/>
      <c r="FN24" s="791"/>
      <c r="FO24" s="33"/>
      <c r="FP24" s="33"/>
      <c r="FQ24" s="33"/>
      <c r="FR24" s="33"/>
      <c r="FS24" s="33"/>
      <c r="FT24" s="33"/>
      <c r="FU24" s="33"/>
      <c r="FV24" s="33"/>
      <c r="FW24" s="790"/>
      <c r="FX24" s="791"/>
      <c r="FY24" s="33"/>
      <c r="FZ24" s="33"/>
      <c r="GA24" s="33"/>
      <c r="GB24" s="33"/>
      <c r="GC24" s="33"/>
      <c r="GD24" s="33"/>
      <c r="GE24" s="33"/>
      <c r="GF24" s="33"/>
      <c r="GG24" s="790"/>
      <c r="GH24" s="791"/>
      <c r="GI24" s="33"/>
      <c r="GJ24" s="33"/>
      <c r="GK24" s="33"/>
      <c r="GL24" s="33"/>
      <c r="GM24" s="33"/>
      <c r="GN24" s="33"/>
      <c r="GO24" s="33"/>
      <c r="GP24" s="33"/>
      <c r="GQ24" s="790"/>
      <c r="GR24" s="791"/>
      <c r="GS24" s="33"/>
      <c r="GT24" s="33"/>
      <c r="GU24" s="33"/>
      <c r="GV24" s="33"/>
      <c r="GW24" s="33"/>
      <c r="GX24" s="33"/>
      <c r="GY24" s="33"/>
      <c r="GZ24" s="33"/>
      <c r="HA24" s="790"/>
      <c r="HB24" s="791"/>
      <c r="HC24" s="33"/>
      <c r="HD24" s="33"/>
      <c r="HE24" s="33"/>
      <c r="HF24" s="33"/>
      <c r="HG24" s="33"/>
      <c r="HH24" s="33"/>
      <c r="HI24" s="33"/>
      <c r="HJ24" s="33"/>
      <c r="HK24" s="790"/>
      <c r="HL24" s="791"/>
      <c r="HM24" s="33"/>
      <c r="HN24" s="33"/>
      <c r="HO24" s="33"/>
      <c r="HP24" s="33"/>
      <c r="HQ24" s="33"/>
      <c r="HR24" s="33"/>
      <c r="HS24" s="33"/>
      <c r="HT24" s="33"/>
      <c r="HU24" s="790"/>
      <c r="HV24" s="791"/>
      <c r="HW24" s="33"/>
      <c r="HX24" s="33"/>
      <c r="HY24" s="33"/>
      <c r="HZ24" s="33"/>
      <c r="IA24" s="33"/>
      <c r="IB24" s="33"/>
      <c r="IC24" s="33"/>
      <c r="ID24" s="33"/>
      <c r="IE24" s="790"/>
      <c r="IF24" s="791"/>
      <c r="IG24" s="33"/>
      <c r="IH24" s="33"/>
      <c r="II24" s="33"/>
      <c r="IJ24" s="33"/>
      <c r="IK24" s="33"/>
      <c r="IL24" s="33"/>
      <c r="IM24" s="33"/>
      <c r="IN24" s="33"/>
      <c r="IO24" s="790"/>
      <c r="IP24" s="790"/>
      <c r="IQ24" s="788"/>
      <c r="IR24" s="792"/>
      <c r="IS24" s="792"/>
      <c r="IT24" s="792"/>
      <c r="IU24" s="792"/>
      <c r="IV24" s="792"/>
      <c r="IW24" s="792"/>
      <c r="IX24" s="507"/>
      <c r="IY24" s="193"/>
      <c r="IZ24" s="193"/>
      <c r="JA24" s="193"/>
      <c r="JB24" s="193"/>
      <c r="JC24" s="193"/>
      <c r="JD24" s="193"/>
      <c r="JE24" s="193"/>
      <c r="JF24" s="193"/>
      <c r="JG24" s="193"/>
      <c r="JH24" s="193"/>
      <c r="JI24" s="193"/>
      <c r="JJ24" s="193"/>
      <c r="JK24" s="193"/>
      <c r="JL24" s="193"/>
      <c r="JM24" s="193"/>
      <c r="JN24" s="193"/>
      <c r="JO24" s="193"/>
      <c r="JP24" s="193"/>
    </row>
    <row r="25" spans="2:276" ht="19.5" thickBot="1" x14ac:dyDescent="0.35">
      <c r="B25" s="806"/>
      <c r="C25" s="423">
        <v>45.72</v>
      </c>
      <c r="D25" s="821">
        <v>7</v>
      </c>
      <c r="E25" s="821">
        <v>2.8079999999999998</v>
      </c>
      <c r="F25" s="821">
        <v>1.2070000000000001</v>
      </c>
      <c r="G25" s="821">
        <v>2.4009999999999998</v>
      </c>
      <c r="H25" s="192"/>
      <c r="I25" s="828"/>
      <c r="J25" s="877"/>
      <c r="K25" s="876"/>
      <c r="L25" s="876"/>
      <c r="M25" s="876"/>
      <c r="N25" s="883"/>
      <c r="O25" s="82"/>
      <c r="P25" s="51"/>
      <c r="Q25" s="51"/>
      <c r="R25" s="692"/>
      <c r="S25" s="827"/>
      <c r="T25" s="692"/>
      <c r="U25" s="521"/>
      <c r="V25" s="529" t="str">
        <f>C1&amp;"_ENG_P_EX"</f>
        <v>MCZE445_ENG_P_EX</v>
      </c>
      <c r="W25" s="853" t="e">
        <f>1.45002333746652E-07*W23^2 + 7.99599102208E-19*+ 5.27355936696949E-16</f>
        <v>#VALUE!</v>
      </c>
      <c r="X25" s="844" t="s">
        <v>85</v>
      </c>
      <c r="Y25" s="840"/>
      <c r="AA25" s="61"/>
      <c r="AC25" s="71"/>
      <c r="AD25" s="424"/>
      <c r="AE25" s="71"/>
      <c r="AF25" s="71"/>
      <c r="AG25" s="71"/>
      <c r="AH25" s="71"/>
      <c r="AI25" s="71"/>
      <c r="AS25" s="193"/>
      <c r="AT25" s="507"/>
      <c r="AU25" s="789"/>
      <c r="AV25" s="789"/>
      <c r="AW25" s="789"/>
      <c r="AX25" s="791"/>
      <c r="AY25" s="33"/>
      <c r="AZ25" s="33"/>
      <c r="BA25" s="33"/>
      <c r="BB25" s="33"/>
      <c r="BC25" s="33"/>
      <c r="BD25" s="33"/>
      <c r="BE25" s="33"/>
      <c r="BF25" s="33"/>
      <c r="BG25" s="790"/>
      <c r="BH25" s="791"/>
      <c r="BI25" s="33"/>
      <c r="BJ25" s="33"/>
      <c r="BK25" s="33"/>
      <c r="BL25" s="33"/>
      <c r="BM25" s="33"/>
      <c r="BN25" s="33"/>
      <c r="BO25" s="33"/>
      <c r="BP25" s="33"/>
      <c r="BQ25" s="790"/>
      <c r="BR25" s="791"/>
      <c r="BS25" s="33"/>
      <c r="BT25" s="33"/>
      <c r="BU25" s="33"/>
      <c r="BV25" s="33"/>
      <c r="BW25" s="33"/>
      <c r="BX25" s="33"/>
      <c r="BY25" s="33"/>
      <c r="BZ25" s="33"/>
      <c r="CA25" s="790"/>
      <c r="CB25" s="791"/>
      <c r="CC25" s="33"/>
      <c r="CD25" s="33"/>
      <c r="CE25" s="33"/>
      <c r="CF25" s="33"/>
      <c r="CG25" s="33"/>
      <c r="CH25" s="33"/>
      <c r="CI25" s="33"/>
      <c r="CJ25" s="33"/>
      <c r="CK25" s="790"/>
      <c r="CL25" s="791"/>
      <c r="CM25" s="33"/>
      <c r="CN25" s="33"/>
      <c r="CO25" s="33"/>
      <c r="CP25" s="33"/>
      <c r="CQ25" s="33"/>
      <c r="CR25" s="33"/>
      <c r="CS25" s="33"/>
      <c r="CT25" s="33"/>
      <c r="CU25" s="790"/>
      <c r="CV25" s="791"/>
      <c r="CW25" s="33"/>
      <c r="CX25" s="33"/>
      <c r="CY25" s="33"/>
      <c r="CZ25" s="33"/>
      <c r="DA25" s="33"/>
      <c r="DB25" s="33"/>
      <c r="DC25" s="33"/>
      <c r="DD25" s="33"/>
      <c r="DE25" s="790"/>
      <c r="DF25" s="791"/>
      <c r="DG25" s="33"/>
      <c r="DH25" s="33"/>
      <c r="DI25" s="33"/>
      <c r="DJ25" s="33"/>
      <c r="DK25" s="33"/>
      <c r="DL25" s="33"/>
      <c r="DM25" s="33"/>
      <c r="DN25" s="33"/>
      <c r="DO25" s="790"/>
      <c r="DP25" s="791"/>
      <c r="DQ25" s="33"/>
      <c r="DR25" s="33"/>
      <c r="DS25" s="33"/>
      <c r="DT25" s="33"/>
      <c r="DU25" s="33"/>
      <c r="DV25" s="33"/>
      <c r="DW25" s="33"/>
      <c r="DX25" s="33"/>
      <c r="DY25" s="790"/>
      <c r="DZ25" s="791"/>
      <c r="EA25" s="33"/>
      <c r="EB25" s="33"/>
      <c r="EC25" s="33"/>
      <c r="ED25" s="33"/>
      <c r="EE25" s="33"/>
      <c r="EF25" s="33"/>
      <c r="EG25" s="33"/>
      <c r="EH25" s="33"/>
      <c r="EI25" s="790"/>
      <c r="EJ25" s="791"/>
      <c r="EK25" s="33"/>
      <c r="EL25" s="33"/>
      <c r="EM25" s="33"/>
      <c r="EN25" s="33"/>
      <c r="EO25" s="33"/>
      <c r="EP25" s="33"/>
      <c r="EQ25" s="33"/>
      <c r="ER25" s="33"/>
      <c r="ES25" s="790"/>
      <c r="ET25" s="791"/>
      <c r="EU25" s="33"/>
      <c r="EV25" s="33"/>
      <c r="EW25" s="33"/>
      <c r="EX25" s="33"/>
      <c r="EY25" s="33"/>
      <c r="EZ25" s="33"/>
      <c r="FA25" s="33"/>
      <c r="FB25" s="33"/>
      <c r="FC25" s="790"/>
      <c r="FD25" s="791"/>
      <c r="FE25" s="33"/>
      <c r="FF25" s="33"/>
      <c r="FG25" s="33"/>
      <c r="FH25" s="33"/>
      <c r="FI25" s="33"/>
      <c r="FJ25" s="33"/>
      <c r="FK25" s="33"/>
      <c r="FL25" s="33"/>
      <c r="FM25" s="790"/>
      <c r="FN25" s="791"/>
      <c r="FO25" s="33"/>
      <c r="FP25" s="33"/>
      <c r="FQ25" s="33"/>
      <c r="FR25" s="33"/>
      <c r="FS25" s="33"/>
      <c r="FT25" s="33"/>
      <c r="FU25" s="33"/>
      <c r="FV25" s="33"/>
      <c r="FW25" s="790"/>
      <c r="FX25" s="791"/>
      <c r="FY25" s="33"/>
      <c r="FZ25" s="33"/>
      <c r="GA25" s="33"/>
      <c r="GB25" s="33"/>
      <c r="GC25" s="33"/>
      <c r="GD25" s="33"/>
      <c r="GE25" s="33"/>
      <c r="GF25" s="33"/>
      <c r="GG25" s="790"/>
      <c r="GH25" s="791"/>
      <c r="GI25" s="33"/>
      <c r="GJ25" s="33"/>
      <c r="GK25" s="33"/>
      <c r="GL25" s="33"/>
      <c r="GM25" s="33"/>
      <c r="GN25" s="33"/>
      <c r="GO25" s="33"/>
      <c r="GP25" s="33"/>
      <c r="GQ25" s="790"/>
      <c r="GR25" s="791"/>
      <c r="GS25" s="33"/>
      <c r="GT25" s="33"/>
      <c r="GU25" s="33"/>
      <c r="GV25" s="33"/>
      <c r="GW25" s="33"/>
      <c r="GX25" s="33"/>
      <c r="GY25" s="33"/>
      <c r="GZ25" s="33"/>
      <c r="HA25" s="790"/>
      <c r="HB25" s="791"/>
      <c r="HC25" s="33"/>
      <c r="HD25" s="33"/>
      <c r="HE25" s="33"/>
      <c r="HF25" s="33"/>
      <c r="HG25" s="33"/>
      <c r="HH25" s="33"/>
      <c r="HI25" s="33"/>
      <c r="HJ25" s="33"/>
      <c r="HK25" s="790"/>
      <c r="HL25" s="791"/>
      <c r="HM25" s="33"/>
      <c r="HN25" s="33"/>
      <c r="HO25" s="33"/>
      <c r="HP25" s="33"/>
      <c r="HQ25" s="33"/>
      <c r="HR25" s="33"/>
      <c r="HS25" s="33"/>
      <c r="HT25" s="33"/>
      <c r="HU25" s="790"/>
      <c r="HV25" s="791"/>
      <c r="HW25" s="33"/>
      <c r="HX25" s="33"/>
      <c r="HY25" s="33"/>
      <c r="HZ25" s="33"/>
      <c r="IA25" s="33"/>
      <c r="IB25" s="33"/>
      <c r="IC25" s="33"/>
      <c r="ID25" s="33"/>
      <c r="IE25" s="790"/>
      <c r="IF25" s="791"/>
      <c r="IG25" s="33"/>
      <c r="IH25" s="33"/>
      <c r="II25" s="33"/>
      <c r="IJ25" s="33"/>
      <c r="IK25" s="33"/>
      <c r="IL25" s="33"/>
      <c r="IM25" s="33"/>
      <c r="IN25" s="33"/>
      <c r="IO25" s="790"/>
      <c r="IP25" s="790"/>
      <c r="IQ25" s="788"/>
      <c r="IR25" s="792"/>
      <c r="IS25" s="792"/>
      <c r="IT25" s="792"/>
      <c r="IU25" s="792"/>
      <c r="IV25" s="792"/>
      <c r="IW25" s="792"/>
      <c r="IX25" s="507"/>
      <c r="IY25" s="193"/>
      <c r="IZ25" s="193"/>
      <c r="JA25" s="193"/>
      <c r="JB25" s="193"/>
      <c r="JC25" s="193"/>
      <c r="JD25" s="193"/>
      <c r="JE25" s="193"/>
      <c r="JF25" s="193"/>
      <c r="JG25" s="193"/>
      <c r="JH25" s="193"/>
      <c r="JI25" s="193"/>
      <c r="JJ25" s="193"/>
      <c r="JK25" s="193"/>
      <c r="JL25" s="193"/>
      <c r="JM25" s="193"/>
      <c r="JN25" s="193"/>
      <c r="JO25" s="193"/>
      <c r="JP25" s="193"/>
    </row>
    <row r="26" spans="2:276" ht="19.5" thickBot="1" x14ac:dyDescent="0.35">
      <c r="B26" s="805"/>
      <c r="C26" s="423">
        <v>50.72</v>
      </c>
      <c r="D26" s="821">
        <v>8</v>
      </c>
      <c r="E26" s="821">
        <v>2.8079999999999998</v>
      </c>
      <c r="F26" s="821">
        <v>1.2070000000000001</v>
      </c>
      <c r="G26" s="821">
        <v>2.4009999999999998</v>
      </c>
      <c r="H26" s="192"/>
      <c r="I26" s="828"/>
      <c r="J26" s="834" t="s">
        <v>381</v>
      </c>
      <c r="K26" s="884" t="e">
        <f>IF(G13=1,4,IF(G13=2,8,IF(G13=3,10,IF(G13=4,20,IF(G13=5,20,"N/A")))))</f>
        <v>#N/A</v>
      </c>
      <c r="L26" s="876"/>
      <c r="M26" s="876"/>
      <c r="N26" s="885" t="s">
        <v>68</v>
      </c>
      <c r="O26" s="877"/>
      <c r="P26" s="494" t="e">
        <f>C6/P22</f>
        <v>#VALUE!</v>
      </c>
      <c r="Q26" s="159" t="s">
        <v>45</v>
      </c>
      <c r="R26" s="692"/>
      <c r="S26" s="827"/>
      <c r="T26" s="692"/>
      <c r="U26" s="692"/>
      <c r="V26" s="692"/>
      <c r="W26" s="692"/>
      <c r="X26" s="842"/>
      <c r="Y26" s="46"/>
      <c r="AA26" s="61"/>
      <c r="AC26" s="71"/>
      <c r="AD26" s="424"/>
      <c r="AE26" s="71"/>
      <c r="AF26" s="71"/>
      <c r="AG26" s="71"/>
      <c r="AH26" s="71"/>
      <c r="AI26" s="71"/>
      <c r="AS26" s="193"/>
      <c r="AT26" s="507"/>
      <c r="AU26" s="789"/>
      <c r="AV26" s="789"/>
      <c r="AW26" s="789"/>
      <c r="AX26" s="791"/>
      <c r="AY26" s="33"/>
      <c r="AZ26" s="33"/>
      <c r="BA26" s="33"/>
      <c r="BB26" s="33"/>
      <c r="BC26" s="33"/>
      <c r="BD26" s="33"/>
      <c r="BE26" s="33"/>
      <c r="BF26" s="33"/>
      <c r="BG26" s="790"/>
      <c r="BH26" s="791"/>
      <c r="BI26" s="33"/>
      <c r="BJ26" s="33"/>
      <c r="BK26" s="33"/>
      <c r="BL26" s="33"/>
      <c r="BM26" s="33"/>
      <c r="BN26" s="33"/>
      <c r="BO26" s="33"/>
      <c r="BP26" s="33"/>
      <c r="BQ26" s="790"/>
      <c r="BR26" s="791"/>
      <c r="BS26" s="33"/>
      <c r="BT26" s="33"/>
      <c r="BU26" s="33"/>
      <c r="BV26" s="33"/>
      <c r="BW26" s="33"/>
      <c r="BX26" s="33"/>
      <c r="BY26" s="33"/>
      <c r="BZ26" s="33"/>
      <c r="CA26" s="790"/>
      <c r="CB26" s="791"/>
      <c r="CC26" s="33"/>
      <c r="CD26" s="33"/>
      <c r="CE26" s="33"/>
      <c r="CF26" s="33"/>
      <c r="CG26" s="33"/>
      <c r="CH26" s="33"/>
      <c r="CI26" s="33"/>
      <c r="CJ26" s="33"/>
      <c r="CK26" s="790"/>
      <c r="CL26" s="791"/>
      <c r="CM26" s="33"/>
      <c r="CN26" s="33"/>
      <c r="CO26" s="33"/>
      <c r="CP26" s="33"/>
      <c r="CQ26" s="33"/>
      <c r="CR26" s="33"/>
      <c r="CS26" s="33"/>
      <c r="CT26" s="33"/>
      <c r="CU26" s="790"/>
      <c r="CV26" s="791"/>
      <c r="CW26" s="33"/>
      <c r="CX26" s="33"/>
      <c r="CY26" s="33"/>
      <c r="CZ26" s="33"/>
      <c r="DA26" s="33"/>
      <c r="DB26" s="33"/>
      <c r="DC26" s="33"/>
      <c r="DD26" s="33"/>
      <c r="DE26" s="790"/>
      <c r="DF26" s="791"/>
      <c r="DG26" s="33"/>
      <c r="DH26" s="33"/>
      <c r="DI26" s="33"/>
      <c r="DJ26" s="33"/>
      <c r="DK26" s="33"/>
      <c r="DL26" s="33"/>
      <c r="DM26" s="33"/>
      <c r="DN26" s="33"/>
      <c r="DO26" s="790"/>
      <c r="DP26" s="791"/>
      <c r="DQ26" s="33"/>
      <c r="DR26" s="33"/>
      <c r="DS26" s="33"/>
      <c r="DT26" s="33"/>
      <c r="DU26" s="33"/>
      <c r="DV26" s="33"/>
      <c r="DW26" s="33"/>
      <c r="DX26" s="33"/>
      <c r="DY26" s="790"/>
      <c r="DZ26" s="791"/>
      <c r="EA26" s="33"/>
      <c r="EB26" s="33"/>
      <c r="EC26" s="33"/>
      <c r="ED26" s="33"/>
      <c r="EE26" s="33"/>
      <c r="EF26" s="33"/>
      <c r="EG26" s="33"/>
      <c r="EH26" s="33"/>
      <c r="EI26" s="790"/>
      <c r="EJ26" s="791"/>
      <c r="EK26" s="33"/>
      <c r="EL26" s="33"/>
      <c r="EM26" s="33"/>
      <c r="EN26" s="33"/>
      <c r="EO26" s="33"/>
      <c r="EP26" s="33"/>
      <c r="EQ26" s="33"/>
      <c r="ER26" s="33"/>
      <c r="ES26" s="790"/>
      <c r="ET26" s="791"/>
      <c r="EU26" s="33"/>
      <c r="EV26" s="33"/>
      <c r="EW26" s="33"/>
      <c r="EX26" s="33"/>
      <c r="EY26" s="33"/>
      <c r="EZ26" s="33"/>
      <c r="FA26" s="33"/>
      <c r="FB26" s="33"/>
      <c r="FC26" s="790"/>
      <c r="FD26" s="791"/>
      <c r="FE26" s="33"/>
      <c r="FF26" s="33"/>
      <c r="FG26" s="33"/>
      <c r="FH26" s="33"/>
      <c r="FI26" s="33"/>
      <c r="FJ26" s="33"/>
      <c r="FK26" s="33"/>
      <c r="FL26" s="33"/>
      <c r="FM26" s="790"/>
      <c r="FN26" s="791"/>
      <c r="FO26" s="33"/>
      <c r="FP26" s="33"/>
      <c r="FQ26" s="33"/>
      <c r="FR26" s="33"/>
      <c r="FS26" s="33"/>
      <c r="FT26" s="33"/>
      <c r="FU26" s="33"/>
      <c r="FV26" s="33"/>
      <c r="FW26" s="790"/>
      <c r="FX26" s="791"/>
      <c r="FY26" s="33"/>
      <c r="FZ26" s="33"/>
      <c r="GA26" s="33"/>
      <c r="GB26" s="33"/>
      <c r="GC26" s="33"/>
      <c r="GD26" s="33"/>
      <c r="GE26" s="33"/>
      <c r="GF26" s="33"/>
      <c r="GG26" s="790"/>
      <c r="GH26" s="791"/>
      <c r="GI26" s="33"/>
      <c r="GJ26" s="33"/>
      <c r="GK26" s="33"/>
      <c r="GL26" s="33"/>
      <c r="GM26" s="33"/>
      <c r="GN26" s="33"/>
      <c r="GO26" s="33"/>
      <c r="GP26" s="33"/>
      <c r="GQ26" s="790"/>
      <c r="GR26" s="791"/>
      <c r="GS26" s="33"/>
      <c r="GT26" s="33"/>
      <c r="GU26" s="33"/>
      <c r="GV26" s="33"/>
      <c r="GW26" s="33"/>
      <c r="GX26" s="33"/>
      <c r="GY26" s="33"/>
      <c r="GZ26" s="33"/>
      <c r="HA26" s="790"/>
      <c r="HB26" s="791"/>
      <c r="HC26" s="33"/>
      <c r="HD26" s="33"/>
      <c r="HE26" s="33"/>
      <c r="HF26" s="33"/>
      <c r="HG26" s="33"/>
      <c r="HH26" s="33"/>
      <c r="HI26" s="33"/>
      <c r="HJ26" s="33"/>
      <c r="HK26" s="790"/>
      <c r="HL26" s="791"/>
      <c r="HM26" s="33"/>
      <c r="HN26" s="33"/>
      <c r="HO26" s="33"/>
      <c r="HP26" s="33"/>
      <c r="HQ26" s="33"/>
      <c r="HR26" s="33"/>
      <c r="HS26" s="33"/>
      <c r="HT26" s="33"/>
      <c r="HU26" s="790"/>
      <c r="HV26" s="791"/>
      <c r="HW26" s="33"/>
      <c r="HX26" s="33"/>
      <c r="HY26" s="33"/>
      <c r="HZ26" s="33"/>
      <c r="IA26" s="33"/>
      <c r="IB26" s="33"/>
      <c r="IC26" s="33"/>
      <c r="ID26" s="33"/>
      <c r="IE26" s="790"/>
      <c r="IF26" s="791"/>
      <c r="IG26" s="33"/>
      <c r="IH26" s="33"/>
      <c r="II26" s="33"/>
      <c r="IJ26" s="33"/>
      <c r="IK26" s="33"/>
      <c r="IL26" s="33"/>
      <c r="IM26" s="33"/>
      <c r="IN26" s="33"/>
      <c r="IO26" s="790"/>
      <c r="IP26" s="790"/>
      <c r="IQ26" s="788"/>
      <c r="IR26" s="792"/>
      <c r="IS26" s="792"/>
      <c r="IT26" s="792"/>
      <c r="IU26" s="792"/>
      <c r="IV26" s="792"/>
      <c r="IW26" s="792"/>
      <c r="IX26" s="507"/>
      <c r="IY26" s="193"/>
      <c r="IZ26" s="193"/>
      <c r="JA26" s="193"/>
      <c r="JB26" s="193"/>
      <c r="JC26" s="193"/>
      <c r="JD26" s="193"/>
      <c r="JE26" s="193"/>
      <c r="JF26" s="193"/>
      <c r="JG26" s="193"/>
      <c r="JH26" s="193"/>
      <c r="JI26" s="193"/>
      <c r="JJ26" s="193"/>
      <c r="JK26" s="193"/>
      <c r="JL26" s="193"/>
      <c r="JM26" s="193"/>
      <c r="JN26" s="193"/>
      <c r="JO26" s="193"/>
      <c r="JP26" s="193"/>
    </row>
    <row r="27" spans="2:276" ht="19.5" thickBot="1" x14ac:dyDescent="0.35">
      <c r="B27" s="805"/>
      <c r="C27" s="423">
        <v>55.72</v>
      </c>
      <c r="D27" s="821">
        <v>9</v>
      </c>
      <c r="E27" s="821">
        <v>2.8079999999999998</v>
      </c>
      <c r="F27" s="821">
        <v>1.2070000000000001</v>
      </c>
      <c r="G27" s="821">
        <v>2.4009999999999998</v>
      </c>
      <c r="H27" s="192"/>
      <c r="I27" s="832"/>
      <c r="J27" s="834" t="s">
        <v>403</v>
      </c>
      <c r="K27" s="884" t="e">
        <f>IF(G13=1,2,IF(G13=2,4,IF(G13=3,4,IF(G13=4,8,IF(G13=5,8,"N/A")))))</f>
        <v>#N/A</v>
      </c>
      <c r="L27" s="876"/>
      <c r="M27" s="876"/>
      <c r="N27" s="885" t="s">
        <v>69</v>
      </c>
      <c r="O27" s="473" t="s">
        <v>6</v>
      </c>
      <c r="P27" s="494" t="e">
        <f>1.70654844438105E-07*P26^2 + 7.72494047896E-19*P26 - 2.15105711021124E-16</f>
        <v>#VALUE!</v>
      </c>
      <c r="Q27" s="159" t="s">
        <v>85</v>
      </c>
      <c r="R27" s="692"/>
      <c r="S27" s="827"/>
      <c r="T27" s="692"/>
      <c r="U27" s="692"/>
      <c r="V27" s="692"/>
      <c r="W27" s="692"/>
      <c r="X27" s="807"/>
      <c r="Y27" s="46"/>
      <c r="AA27" s="61"/>
      <c r="AC27" s="71"/>
      <c r="AD27" s="424"/>
      <c r="AE27" s="71"/>
      <c r="AF27" s="71"/>
      <c r="AG27" s="71"/>
      <c r="AH27" s="71"/>
      <c r="AI27" s="71"/>
      <c r="AS27" s="193"/>
      <c r="AT27" s="507"/>
      <c r="AU27" s="789"/>
      <c r="AV27" s="789"/>
      <c r="AW27" s="789"/>
      <c r="AX27" s="791"/>
      <c r="AY27" s="33"/>
      <c r="AZ27" s="33"/>
      <c r="BA27" s="33"/>
      <c r="BB27" s="33"/>
      <c r="BC27" s="33"/>
      <c r="BD27" s="33"/>
      <c r="BE27" s="33"/>
      <c r="BF27" s="33"/>
      <c r="BG27" s="790"/>
      <c r="BH27" s="791"/>
      <c r="BI27" s="33"/>
      <c r="BJ27" s="33"/>
      <c r="BK27" s="33"/>
      <c r="BL27" s="33"/>
      <c r="BM27" s="33"/>
      <c r="BN27" s="33"/>
      <c r="BO27" s="33"/>
      <c r="BP27" s="33"/>
      <c r="BQ27" s="790"/>
      <c r="BR27" s="791"/>
      <c r="BS27" s="33"/>
      <c r="BT27" s="33"/>
      <c r="BU27" s="33"/>
      <c r="BV27" s="33"/>
      <c r="BW27" s="33"/>
      <c r="BX27" s="33"/>
      <c r="BY27" s="33"/>
      <c r="BZ27" s="33"/>
      <c r="CA27" s="790"/>
      <c r="CB27" s="791"/>
      <c r="CC27" s="33"/>
      <c r="CD27" s="33"/>
      <c r="CE27" s="33"/>
      <c r="CF27" s="33"/>
      <c r="CG27" s="33"/>
      <c r="CH27" s="33"/>
      <c r="CI27" s="33"/>
      <c r="CJ27" s="33"/>
      <c r="CK27" s="790"/>
      <c r="CL27" s="791"/>
      <c r="CM27" s="33"/>
      <c r="CN27" s="33"/>
      <c r="CO27" s="33"/>
      <c r="CP27" s="33"/>
      <c r="CQ27" s="33"/>
      <c r="CR27" s="33"/>
      <c r="CS27" s="33"/>
      <c r="CT27" s="33"/>
      <c r="CU27" s="790"/>
      <c r="CV27" s="791"/>
      <c r="CW27" s="33"/>
      <c r="CX27" s="33"/>
      <c r="CY27" s="33"/>
      <c r="CZ27" s="33"/>
      <c r="DA27" s="33"/>
      <c r="DB27" s="33"/>
      <c r="DC27" s="33"/>
      <c r="DD27" s="33"/>
      <c r="DE27" s="790"/>
      <c r="DF27" s="791"/>
      <c r="DG27" s="33"/>
      <c r="DH27" s="33"/>
      <c r="DI27" s="33"/>
      <c r="DJ27" s="33"/>
      <c r="DK27" s="33"/>
      <c r="DL27" s="33"/>
      <c r="DM27" s="33"/>
      <c r="DN27" s="33"/>
      <c r="DO27" s="790"/>
      <c r="DP27" s="791"/>
      <c r="DQ27" s="33"/>
      <c r="DR27" s="33"/>
      <c r="DS27" s="33"/>
      <c r="DT27" s="33"/>
      <c r="DU27" s="33"/>
      <c r="DV27" s="33"/>
      <c r="DW27" s="33"/>
      <c r="DX27" s="33"/>
      <c r="DY27" s="790"/>
      <c r="DZ27" s="791"/>
      <c r="EA27" s="33"/>
      <c r="EB27" s="33"/>
      <c r="EC27" s="33"/>
      <c r="ED27" s="33"/>
      <c r="EE27" s="33"/>
      <c r="EF27" s="33"/>
      <c r="EG27" s="33"/>
      <c r="EH27" s="33"/>
      <c r="EI27" s="790"/>
      <c r="EJ27" s="791"/>
      <c r="EK27" s="33"/>
      <c r="EL27" s="33"/>
      <c r="EM27" s="33"/>
      <c r="EN27" s="33"/>
      <c r="EO27" s="33"/>
      <c r="EP27" s="33"/>
      <c r="EQ27" s="33"/>
      <c r="ER27" s="33"/>
      <c r="ES27" s="790"/>
      <c r="ET27" s="791"/>
      <c r="EU27" s="33"/>
      <c r="EV27" s="33"/>
      <c r="EW27" s="33"/>
      <c r="EX27" s="33"/>
      <c r="EY27" s="33"/>
      <c r="EZ27" s="33"/>
      <c r="FA27" s="33"/>
      <c r="FB27" s="33"/>
      <c r="FC27" s="790"/>
      <c r="FD27" s="791"/>
      <c r="FE27" s="33"/>
      <c r="FF27" s="33"/>
      <c r="FG27" s="33"/>
      <c r="FH27" s="33"/>
      <c r="FI27" s="33"/>
      <c r="FJ27" s="33"/>
      <c r="FK27" s="33"/>
      <c r="FL27" s="33"/>
      <c r="FM27" s="790"/>
      <c r="FN27" s="791"/>
      <c r="FO27" s="33"/>
      <c r="FP27" s="33"/>
      <c r="FQ27" s="33"/>
      <c r="FR27" s="33"/>
      <c r="FS27" s="33"/>
      <c r="FT27" s="33"/>
      <c r="FU27" s="33"/>
      <c r="FV27" s="33"/>
      <c r="FW27" s="790"/>
      <c r="FX27" s="791"/>
      <c r="FY27" s="33"/>
      <c r="FZ27" s="33"/>
      <c r="GA27" s="33"/>
      <c r="GB27" s="33"/>
      <c r="GC27" s="33"/>
      <c r="GD27" s="33"/>
      <c r="GE27" s="33"/>
      <c r="GF27" s="33"/>
      <c r="GG27" s="790"/>
      <c r="GH27" s="791"/>
      <c r="GI27" s="33"/>
      <c r="GJ27" s="33"/>
      <c r="GK27" s="33"/>
      <c r="GL27" s="33"/>
      <c r="GM27" s="33"/>
      <c r="GN27" s="33"/>
      <c r="GO27" s="33"/>
      <c r="GP27" s="33"/>
      <c r="GQ27" s="790"/>
      <c r="GR27" s="791"/>
      <c r="GS27" s="33"/>
      <c r="GT27" s="33"/>
      <c r="GU27" s="33"/>
      <c r="GV27" s="33"/>
      <c r="GW27" s="33"/>
      <c r="GX27" s="33"/>
      <c r="GY27" s="33"/>
      <c r="GZ27" s="33"/>
      <c r="HA27" s="790"/>
      <c r="HB27" s="791"/>
      <c r="HC27" s="33"/>
      <c r="HD27" s="33"/>
      <c r="HE27" s="33"/>
      <c r="HF27" s="33"/>
      <c r="HG27" s="33"/>
      <c r="HH27" s="33"/>
      <c r="HI27" s="33"/>
      <c r="HJ27" s="33"/>
      <c r="HK27" s="790"/>
      <c r="HL27" s="791"/>
      <c r="HM27" s="33"/>
      <c r="HN27" s="33"/>
      <c r="HO27" s="33"/>
      <c r="HP27" s="33"/>
      <c r="HQ27" s="33"/>
      <c r="HR27" s="33"/>
      <c r="HS27" s="33"/>
      <c r="HT27" s="33"/>
      <c r="HU27" s="790"/>
      <c r="HV27" s="791"/>
      <c r="HW27" s="33"/>
      <c r="HX27" s="33"/>
      <c r="HY27" s="33"/>
      <c r="HZ27" s="33"/>
      <c r="IA27" s="33"/>
      <c r="IB27" s="33"/>
      <c r="IC27" s="33"/>
      <c r="ID27" s="33"/>
      <c r="IE27" s="790"/>
      <c r="IF27" s="791"/>
      <c r="IG27" s="33"/>
      <c r="IH27" s="33"/>
      <c r="II27" s="33"/>
      <c r="IJ27" s="33"/>
      <c r="IK27" s="33"/>
      <c r="IL27" s="33"/>
      <c r="IM27" s="33"/>
      <c r="IN27" s="33"/>
      <c r="IO27" s="790"/>
      <c r="IP27" s="790"/>
      <c r="IQ27" s="788"/>
      <c r="IR27" s="792"/>
      <c r="IS27" s="792"/>
      <c r="IT27" s="792"/>
      <c r="IU27" s="792"/>
      <c r="IV27" s="792"/>
      <c r="IW27" s="792"/>
      <c r="IX27" s="507"/>
      <c r="IY27" s="193"/>
      <c r="IZ27" s="193"/>
      <c r="JA27" s="193"/>
      <c r="JB27" s="193"/>
      <c r="JC27" s="193"/>
      <c r="JD27" s="193"/>
      <c r="JE27" s="193"/>
      <c r="JF27" s="193"/>
      <c r="JG27" s="193"/>
      <c r="JH27" s="193"/>
      <c r="JI27" s="193"/>
      <c r="JJ27" s="193"/>
      <c r="JK27" s="193"/>
      <c r="JL27" s="193"/>
      <c r="JM27" s="193"/>
      <c r="JN27" s="193"/>
      <c r="JO27" s="193"/>
      <c r="JP27" s="193"/>
    </row>
    <row r="28" spans="2:276" ht="19.5" thickBot="1" x14ac:dyDescent="0.35">
      <c r="B28" s="805"/>
      <c r="C28" s="423">
        <v>60.72</v>
      </c>
      <c r="D28" s="821">
        <v>10</v>
      </c>
      <c r="E28" s="821">
        <v>2.8079999999999998</v>
      </c>
      <c r="F28" s="821">
        <v>1.2070000000000001</v>
      </c>
      <c r="G28" s="821">
        <v>2.4009999999999998</v>
      </c>
      <c r="H28" s="192"/>
      <c r="I28" s="832"/>
      <c r="J28" s="834" t="s">
        <v>371</v>
      </c>
      <c r="K28" s="876" t="e">
        <f>K19-((K26*2)+(K27*4.25))</f>
        <v>#VALUE!</v>
      </c>
      <c r="L28" s="876" t="s">
        <v>151</v>
      </c>
      <c r="M28" s="876"/>
      <c r="N28" s="886"/>
      <c r="O28" s="473" t="s">
        <v>7</v>
      </c>
      <c r="P28" s="494" t="e">
        <f>1.45002333746652E-07*P26^2 + 7.99599102208E-19*P26+ 5.27355936696949E-16</f>
        <v>#VALUE!</v>
      </c>
      <c r="Q28" s="159" t="s">
        <v>85</v>
      </c>
      <c r="R28" s="692"/>
      <c r="S28" s="827"/>
      <c r="T28" s="692"/>
      <c r="U28" s="692"/>
      <c r="V28" s="692"/>
      <c r="W28" s="692"/>
      <c r="X28" s="807"/>
      <c r="Y28" s="46"/>
      <c r="AA28" s="61"/>
      <c r="AC28" s="71"/>
      <c r="AD28" s="424"/>
      <c r="AE28" s="71"/>
      <c r="AF28" s="71"/>
      <c r="AG28" s="71"/>
      <c r="AH28" s="71"/>
      <c r="AI28" s="71"/>
      <c r="AS28" s="193"/>
      <c r="AT28" s="507"/>
      <c r="AU28" s="789"/>
      <c r="AV28" s="789"/>
      <c r="AW28" s="789"/>
      <c r="AX28" s="791"/>
      <c r="AY28" s="33"/>
      <c r="AZ28" s="33"/>
      <c r="BA28" s="33"/>
      <c r="BB28" s="33"/>
      <c r="BC28" s="33"/>
      <c r="BD28" s="33"/>
      <c r="BE28" s="33"/>
      <c r="BF28" s="33"/>
      <c r="BG28" s="790"/>
      <c r="BH28" s="791"/>
      <c r="BI28" s="33"/>
      <c r="BJ28" s="33"/>
      <c r="BK28" s="33"/>
      <c r="BL28" s="33"/>
      <c r="BM28" s="33"/>
      <c r="BN28" s="33"/>
      <c r="BO28" s="33"/>
      <c r="BP28" s="33"/>
      <c r="BQ28" s="790"/>
      <c r="BR28" s="791"/>
      <c r="BS28" s="33"/>
      <c r="BT28" s="33"/>
      <c r="BU28" s="33"/>
      <c r="BV28" s="33"/>
      <c r="BW28" s="33"/>
      <c r="BX28" s="33"/>
      <c r="BY28" s="33"/>
      <c r="BZ28" s="33"/>
      <c r="CA28" s="790"/>
      <c r="CB28" s="791"/>
      <c r="CC28" s="33"/>
      <c r="CD28" s="33"/>
      <c r="CE28" s="33"/>
      <c r="CF28" s="33"/>
      <c r="CG28" s="33"/>
      <c r="CH28" s="33"/>
      <c r="CI28" s="33"/>
      <c r="CJ28" s="33"/>
      <c r="CK28" s="790"/>
      <c r="CL28" s="791"/>
      <c r="CM28" s="33"/>
      <c r="CN28" s="33"/>
      <c r="CO28" s="33"/>
      <c r="CP28" s="33"/>
      <c r="CQ28" s="33"/>
      <c r="CR28" s="33"/>
      <c r="CS28" s="33"/>
      <c r="CT28" s="33"/>
      <c r="CU28" s="790"/>
      <c r="CV28" s="791"/>
      <c r="CW28" s="33"/>
      <c r="CX28" s="33"/>
      <c r="CY28" s="33"/>
      <c r="CZ28" s="33"/>
      <c r="DA28" s="33"/>
      <c r="DB28" s="33"/>
      <c r="DC28" s="33"/>
      <c r="DD28" s="33"/>
      <c r="DE28" s="790"/>
      <c r="DF28" s="791"/>
      <c r="DG28" s="33"/>
      <c r="DH28" s="33"/>
      <c r="DI28" s="33"/>
      <c r="DJ28" s="33"/>
      <c r="DK28" s="33"/>
      <c r="DL28" s="33"/>
      <c r="DM28" s="33"/>
      <c r="DN28" s="33"/>
      <c r="DO28" s="790"/>
      <c r="DP28" s="798"/>
      <c r="DQ28" s="799"/>
      <c r="DR28" s="33"/>
      <c r="DS28" s="33"/>
      <c r="DT28" s="33"/>
      <c r="DU28" s="33"/>
      <c r="DV28" s="33"/>
      <c r="DW28" s="33"/>
      <c r="DX28" s="33"/>
      <c r="DY28" s="790"/>
      <c r="DZ28" s="791"/>
      <c r="EA28" s="33"/>
      <c r="EB28" s="33"/>
      <c r="EC28" s="33"/>
      <c r="ED28" s="33"/>
      <c r="EE28" s="33"/>
      <c r="EF28" s="33"/>
      <c r="EG28" s="33"/>
      <c r="EH28" s="33"/>
      <c r="EI28" s="790"/>
      <c r="EJ28" s="791"/>
      <c r="EK28" s="33"/>
      <c r="EL28" s="33"/>
      <c r="EM28" s="33"/>
      <c r="EN28" s="33"/>
      <c r="EO28" s="33"/>
      <c r="EP28" s="33"/>
      <c r="EQ28" s="33"/>
      <c r="ER28" s="33"/>
      <c r="ES28" s="790"/>
      <c r="ET28" s="791"/>
      <c r="EU28" s="33"/>
      <c r="EV28" s="33"/>
      <c r="EW28" s="33"/>
      <c r="EX28" s="33"/>
      <c r="EY28" s="33"/>
      <c r="EZ28" s="33"/>
      <c r="FA28" s="33"/>
      <c r="FB28" s="33"/>
      <c r="FC28" s="790"/>
      <c r="FD28" s="791"/>
      <c r="FE28" s="33"/>
      <c r="FF28" s="33"/>
      <c r="FG28" s="33"/>
      <c r="FH28" s="33"/>
      <c r="FI28" s="33"/>
      <c r="FJ28" s="33"/>
      <c r="FK28" s="33"/>
      <c r="FL28" s="33"/>
      <c r="FM28" s="790"/>
      <c r="FN28" s="791"/>
      <c r="FO28" s="33"/>
      <c r="FP28" s="33"/>
      <c r="FQ28" s="33"/>
      <c r="FR28" s="33"/>
      <c r="FS28" s="33"/>
      <c r="FT28" s="33"/>
      <c r="FU28" s="33"/>
      <c r="FV28" s="33"/>
      <c r="FW28" s="790"/>
      <c r="FX28" s="791"/>
      <c r="FY28" s="33"/>
      <c r="FZ28" s="33"/>
      <c r="GA28" s="33"/>
      <c r="GB28" s="33"/>
      <c r="GC28" s="33"/>
      <c r="GD28" s="33"/>
      <c r="GE28" s="33"/>
      <c r="GF28" s="33"/>
      <c r="GG28" s="790"/>
      <c r="GH28" s="791"/>
      <c r="GI28" s="33"/>
      <c r="GJ28" s="33"/>
      <c r="GK28" s="33"/>
      <c r="GL28" s="33"/>
      <c r="GM28" s="33"/>
      <c r="GN28" s="33"/>
      <c r="GO28" s="33"/>
      <c r="GP28" s="33"/>
      <c r="GQ28" s="790"/>
      <c r="GR28" s="791"/>
      <c r="GS28" s="33"/>
      <c r="GT28" s="33"/>
      <c r="GU28" s="33"/>
      <c r="GV28" s="33"/>
      <c r="GW28" s="33"/>
      <c r="GX28" s="33"/>
      <c r="GY28" s="33"/>
      <c r="GZ28" s="33"/>
      <c r="HA28" s="790"/>
      <c r="HB28" s="791"/>
      <c r="HC28" s="33"/>
      <c r="HD28" s="33"/>
      <c r="HE28" s="33"/>
      <c r="HF28" s="33"/>
      <c r="HG28" s="33"/>
      <c r="HH28" s="33"/>
      <c r="HI28" s="33"/>
      <c r="HJ28" s="33"/>
      <c r="HK28" s="790"/>
      <c r="HL28" s="791"/>
      <c r="HM28" s="33"/>
      <c r="HN28" s="33"/>
      <c r="HO28" s="33"/>
      <c r="HP28" s="33"/>
      <c r="HQ28" s="33"/>
      <c r="HR28" s="33"/>
      <c r="HS28" s="33"/>
      <c r="HT28" s="33"/>
      <c r="HU28" s="790"/>
      <c r="HV28" s="791"/>
      <c r="HW28" s="33"/>
      <c r="HX28" s="33"/>
      <c r="HY28" s="33"/>
      <c r="HZ28" s="33"/>
      <c r="IA28" s="33"/>
      <c r="IB28" s="33"/>
      <c r="IC28" s="33"/>
      <c r="ID28" s="33"/>
      <c r="IE28" s="790"/>
      <c r="IF28" s="791"/>
      <c r="IG28" s="33"/>
      <c r="IH28" s="33"/>
      <c r="II28" s="33"/>
      <c r="IJ28" s="33"/>
      <c r="IK28" s="33"/>
      <c r="IL28" s="33"/>
      <c r="IM28" s="33"/>
      <c r="IN28" s="33"/>
      <c r="IO28" s="790"/>
      <c r="IP28" s="790"/>
      <c r="IQ28" s="788"/>
      <c r="IR28" s="792"/>
      <c r="IS28" s="792"/>
      <c r="IT28" s="792"/>
      <c r="IU28" s="792"/>
      <c r="IV28" s="792"/>
      <c r="IW28" s="792"/>
      <c r="IX28" s="507"/>
      <c r="IY28" s="193"/>
      <c r="IZ28" s="193"/>
      <c r="JA28" s="193"/>
      <c r="JB28" s="193"/>
      <c r="JC28" s="193"/>
      <c r="JD28" s="193"/>
      <c r="JE28" s="193"/>
      <c r="JF28" s="193"/>
      <c r="JG28" s="193"/>
      <c r="JH28" s="193"/>
      <c r="JI28" s="193"/>
      <c r="JJ28" s="193"/>
      <c r="JK28" s="193"/>
      <c r="JL28" s="193"/>
      <c r="JM28" s="193"/>
      <c r="JN28" s="193"/>
      <c r="JO28" s="193"/>
      <c r="JP28" s="193"/>
    </row>
    <row r="29" spans="2:276" ht="15.75" thickBot="1" x14ac:dyDescent="0.3">
      <c r="B29" s="805"/>
      <c r="C29" s="423">
        <v>65.72</v>
      </c>
      <c r="D29" s="821">
        <v>11</v>
      </c>
      <c r="E29" s="821">
        <v>2.8079999999999998</v>
      </c>
      <c r="F29" s="821">
        <v>1.2070000000000001</v>
      </c>
      <c r="G29" s="821">
        <v>2.4009999999999998</v>
      </c>
      <c r="H29" s="192"/>
      <c r="I29" s="832"/>
      <c r="J29" s="877"/>
      <c r="K29" s="876"/>
      <c r="L29" s="876"/>
      <c r="M29" s="876"/>
      <c r="N29" s="876"/>
      <c r="O29" s="887"/>
      <c r="P29" s="192"/>
      <c r="Q29" s="192"/>
      <c r="R29" s="692"/>
      <c r="S29" s="827"/>
      <c r="T29" s="692"/>
      <c r="U29" s="692"/>
      <c r="V29" s="692"/>
      <c r="W29" s="692"/>
      <c r="X29" s="807"/>
      <c r="Y29" s="46"/>
      <c r="AA29" s="61"/>
      <c r="AC29" s="71"/>
      <c r="AD29" s="424"/>
      <c r="AE29" s="71"/>
      <c r="AF29" s="71"/>
      <c r="AG29" s="71"/>
      <c r="AH29" s="71"/>
      <c r="AI29" s="71"/>
      <c r="AS29" s="193"/>
      <c r="AT29" s="507"/>
      <c r="AU29" s="789"/>
      <c r="AV29" s="789"/>
      <c r="AW29" s="789"/>
      <c r="AX29" s="791"/>
      <c r="AY29" s="33"/>
      <c r="AZ29" s="33"/>
      <c r="BA29" s="33"/>
      <c r="BB29" s="33"/>
      <c r="BC29" s="33"/>
      <c r="BD29" s="33"/>
      <c r="BE29" s="33"/>
      <c r="BF29" s="33"/>
      <c r="BG29" s="790"/>
      <c r="BH29" s="791"/>
      <c r="BI29" s="33"/>
      <c r="BJ29" s="33"/>
      <c r="BK29" s="33"/>
      <c r="BL29" s="33"/>
      <c r="BM29" s="33"/>
      <c r="BN29" s="33"/>
      <c r="BO29" s="33"/>
      <c r="BP29" s="33"/>
      <c r="BQ29" s="790"/>
      <c r="BR29" s="791"/>
      <c r="BS29" s="33"/>
      <c r="BT29" s="33"/>
      <c r="BU29" s="33"/>
      <c r="BV29" s="33"/>
      <c r="BW29" s="33"/>
      <c r="BX29" s="33"/>
      <c r="BY29" s="33"/>
      <c r="BZ29" s="33"/>
      <c r="CA29" s="790"/>
      <c r="CB29" s="791"/>
      <c r="CC29" s="33"/>
      <c r="CD29" s="33"/>
      <c r="CE29" s="33"/>
      <c r="CF29" s="33"/>
      <c r="CG29" s="33"/>
      <c r="CH29" s="33"/>
      <c r="CI29" s="33"/>
      <c r="CJ29" s="33"/>
      <c r="CK29" s="790"/>
      <c r="CL29" s="791"/>
      <c r="CM29" s="33"/>
      <c r="CN29" s="33"/>
      <c r="CO29" s="33"/>
      <c r="CP29" s="33"/>
      <c r="CQ29" s="33"/>
      <c r="CR29" s="33"/>
      <c r="CS29" s="33"/>
      <c r="CT29" s="33"/>
      <c r="CU29" s="790"/>
      <c r="CV29" s="791"/>
      <c r="CW29" s="33"/>
      <c r="CX29" s="33"/>
      <c r="CY29" s="33"/>
      <c r="CZ29" s="33"/>
      <c r="DA29" s="33"/>
      <c r="DB29" s="33"/>
      <c r="DC29" s="33"/>
      <c r="DD29" s="33"/>
      <c r="DE29" s="790"/>
      <c r="DF29" s="791"/>
      <c r="DG29" s="33"/>
      <c r="DH29" s="33"/>
      <c r="DI29" s="33"/>
      <c r="DJ29" s="33"/>
      <c r="DK29" s="33"/>
      <c r="DL29" s="33"/>
      <c r="DM29" s="33"/>
      <c r="DN29" s="33"/>
      <c r="DO29" s="790"/>
      <c r="DP29" s="791"/>
      <c r="DQ29" s="33"/>
      <c r="DR29" s="33"/>
      <c r="DS29" s="33"/>
      <c r="DT29" s="33"/>
      <c r="DU29" s="33"/>
      <c r="DV29" s="33"/>
      <c r="DW29" s="33"/>
      <c r="DX29" s="33"/>
      <c r="DY29" s="790"/>
      <c r="DZ29" s="791"/>
      <c r="EA29" s="33"/>
      <c r="EB29" s="33"/>
      <c r="EC29" s="33"/>
      <c r="ED29" s="33"/>
      <c r="EE29" s="33"/>
      <c r="EF29" s="33"/>
      <c r="EG29" s="33"/>
      <c r="EH29" s="33"/>
      <c r="EI29" s="790"/>
      <c r="EJ29" s="791"/>
      <c r="EK29" s="33"/>
      <c r="EL29" s="33"/>
      <c r="EM29" s="33"/>
      <c r="EN29" s="33"/>
      <c r="EO29" s="33"/>
      <c r="EP29" s="33"/>
      <c r="EQ29" s="33"/>
      <c r="ER29" s="33"/>
      <c r="ES29" s="790"/>
      <c r="ET29" s="791"/>
      <c r="EU29" s="33"/>
      <c r="EV29" s="33"/>
      <c r="EW29" s="33"/>
      <c r="EX29" s="33"/>
      <c r="EY29" s="33"/>
      <c r="EZ29" s="33"/>
      <c r="FA29" s="33"/>
      <c r="FB29" s="33"/>
      <c r="FC29" s="790"/>
      <c r="FD29" s="791"/>
      <c r="FE29" s="33"/>
      <c r="FF29" s="33"/>
      <c r="FG29" s="33"/>
      <c r="FH29" s="33"/>
      <c r="FI29" s="33"/>
      <c r="FJ29" s="33"/>
      <c r="FK29" s="33"/>
      <c r="FL29" s="33"/>
      <c r="FM29" s="790"/>
      <c r="FN29" s="791"/>
      <c r="FO29" s="33"/>
      <c r="FP29" s="33"/>
      <c r="FQ29" s="33"/>
      <c r="FR29" s="33"/>
      <c r="FS29" s="33"/>
      <c r="FT29" s="33"/>
      <c r="FU29" s="33"/>
      <c r="FV29" s="33"/>
      <c r="FW29" s="790"/>
      <c r="FX29" s="791"/>
      <c r="FY29" s="33"/>
      <c r="FZ29" s="33"/>
      <c r="GA29" s="33"/>
      <c r="GB29" s="33"/>
      <c r="GC29" s="33"/>
      <c r="GD29" s="33"/>
      <c r="GE29" s="33"/>
      <c r="GF29" s="33"/>
      <c r="GG29" s="790"/>
      <c r="GH29" s="791"/>
      <c r="GI29" s="33"/>
      <c r="GJ29" s="33"/>
      <c r="GK29" s="33"/>
      <c r="GL29" s="33"/>
      <c r="GM29" s="33"/>
      <c r="GN29" s="33"/>
      <c r="GO29" s="33"/>
      <c r="GP29" s="33"/>
      <c r="GQ29" s="790"/>
      <c r="GR29" s="791"/>
      <c r="GS29" s="33"/>
      <c r="GT29" s="33"/>
      <c r="GU29" s="33"/>
      <c r="GV29" s="33"/>
      <c r="GW29" s="33"/>
      <c r="GX29" s="33"/>
      <c r="GY29" s="33"/>
      <c r="GZ29" s="33"/>
      <c r="HA29" s="790"/>
      <c r="HB29" s="791"/>
      <c r="HC29" s="33"/>
      <c r="HD29" s="33"/>
      <c r="HE29" s="33"/>
      <c r="HF29" s="33"/>
      <c r="HG29" s="33"/>
      <c r="HH29" s="33"/>
      <c r="HI29" s="33"/>
      <c r="HJ29" s="33"/>
      <c r="HK29" s="790"/>
      <c r="HL29" s="791"/>
      <c r="HM29" s="33"/>
      <c r="HN29" s="33"/>
      <c r="HO29" s="33"/>
      <c r="HP29" s="33"/>
      <c r="HQ29" s="33"/>
      <c r="HR29" s="33"/>
      <c r="HS29" s="33"/>
      <c r="HT29" s="33"/>
      <c r="HU29" s="790"/>
      <c r="HV29" s="791"/>
      <c r="HW29" s="33"/>
      <c r="HX29" s="33"/>
      <c r="HY29" s="33"/>
      <c r="HZ29" s="33"/>
      <c r="IA29" s="33"/>
      <c r="IB29" s="33"/>
      <c r="IC29" s="33"/>
      <c r="ID29" s="33"/>
      <c r="IE29" s="790"/>
      <c r="IF29" s="791"/>
      <c r="IG29" s="33"/>
      <c r="IH29" s="33"/>
      <c r="II29" s="33"/>
      <c r="IJ29" s="33"/>
      <c r="IK29" s="33"/>
      <c r="IL29" s="33"/>
      <c r="IM29" s="33"/>
      <c r="IN29" s="33"/>
      <c r="IO29" s="790"/>
      <c r="IP29" s="790"/>
      <c r="IQ29" s="788"/>
      <c r="IR29" s="792"/>
      <c r="IS29" s="792"/>
      <c r="IT29" s="792"/>
      <c r="IU29" s="792"/>
      <c r="IV29" s="792"/>
      <c r="IW29" s="792"/>
      <c r="IX29" s="507"/>
      <c r="IY29" s="193"/>
      <c r="IZ29" s="193"/>
      <c r="JA29" s="193"/>
      <c r="JB29" s="193"/>
      <c r="JC29" s="193"/>
      <c r="JD29" s="193"/>
      <c r="JE29" s="193"/>
      <c r="JF29" s="193"/>
      <c r="JG29" s="193"/>
      <c r="JH29" s="193"/>
      <c r="JI29" s="193"/>
      <c r="JJ29" s="193"/>
      <c r="JK29" s="193"/>
      <c r="JL29" s="193"/>
      <c r="JM29" s="193"/>
      <c r="JN29" s="193"/>
      <c r="JO29" s="193"/>
      <c r="JP29" s="193"/>
    </row>
    <row r="30" spans="2:276" ht="15.75" thickBot="1" x14ac:dyDescent="0.3">
      <c r="B30" s="805"/>
      <c r="C30" s="423">
        <v>70.72</v>
      </c>
      <c r="D30" s="821">
        <v>12</v>
      </c>
      <c r="E30" s="821">
        <v>2.8079999999999998</v>
      </c>
      <c r="F30" s="821">
        <v>1.2070000000000001</v>
      </c>
      <c r="G30" s="821">
        <v>2.4009999999999998</v>
      </c>
      <c r="H30" s="192"/>
      <c r="I30" s="832"/>
      <c r="J30" s="834" t="s">
        <v>43</v>
      </c>
      <c r="K30" s="876" t="e">
        <f>((K28*K22*K21)+(K28*(K23+K24)))</f>
        <v>#VALUE!</v>
      </c>
      <c r="L30" s="876" t="s">
        <v>373</v>
      </c>
      <c r="M30" s="876"/>
      <c r="N30" s="876"/>
      <c r="O30" s="887"/>
      <c r="P30" s="192"/>
      <c r="Q30" s="192"/>
      <c r="R30" s="692"/>
      <c r="S30" s="827"/>
      <c r="T30" s="692"/>
      <c r="U30" s="692"/>
      <c r="V30" s="692"/>
      <c r="W30" s="692"/>
      <c r="X30" s="807"/>
      <c r="Y30" s="46"/>
      <c r="AC30" s="71"/>
      <c r="AD30" s="861"/>
      <c r="AE30" s="71"/>
      <c r="AF30" s="71"/>
      <c r="AG30" s="71"/>
      <c r="AH30" s="71"/>
      <c r="AI30" s="71"/>
      <c r="AS30" s="193"/>
      <c r="AT30" s="507"/>
      <c r="AU30" s="789"/>
      <c r="AV30" s="789"/>
      <c r="AW30" s="789"/>
      <c r="AX30" s="791"/>
      <c r="AY30" s="33"/>
      <c r="AZ30" s="33"/>
      <c r="BA30" s="33"/>
      <c r="BB30" s="33"/>
      <c r="BC30" s="33"/>
      <c r="BD30" s="33"/>
      <c r="BE30" s="33"/>
      <c r="BF30" s="33"/>
      <c r="BG30" s="790"/>
      <c r="BH30" s="791"/>
      <c r="BI30" s="33"/>
      <c r="BJ30" s="33"/>
      <c r="BK30" s="33"/>
      <c r="BL30" s="33"/>
      <c r="BM30" s="33"/>
      <c r="BN30" s="33"/>
      <c r="BO30" s="33"/>
      <c r="BP30" s="33"/>
      <c r="BQ30" s="790"/>
      <c r="BR30" s="791"/>
      <c r="BS30" s="33"/>
      <c r="BT30" s="33"/>
      <c r="BU30" s="33"/>
      <c r="BV30" s="33"/>
      <c r="BW30" s="33"/>
      <c r="BX30" s="33"/>
      <c r="BY30" s="33"/>
      <c r="BZ30" s="33"/>
      <c r="CA30" s="790"/>
      <c r="CB30" s="791"/>
      <c r="CC30" s="33"/>
      <c r="CD30" s="33"/>
      <c r="CE30" s="33"/>
      <c r="CF30" s="33"/>
      <c r="CG30" s="33"/>
      <c r="CH30" s="33"/>
      <c r="CI30" s="33"/>
      <c r="CJ30" s="33"/>
      <c r="CK30" s="790"/>
      <c r="CL30" s="791"/>
      <c r="CM30" s="33"/>
      <c r="CN30" s="33"/>
      <c r="CO30" s="33"/>
      <c r="CP30" s="33"/>
      <c r="CQ30" s="33"/>
      <c r="CR30" s="33"/>
      <c r="CS30" s="33"/>
      <c r="CT30" s="33"/>
      <c r="CU30" s="790"/>
      <c r="CV30" s="791"/>
      <c r="CW30" s="33"/>
      <c r="CX30" s="33"/>
      <c r="CY30" s="33"/>
      <c r="CZ30" s="33"/>
      <c r="DA30" s="33"/>
      <c r="DB30" s="33"/>
      <c r="DC30" s="33"/>
      <c r="DD30" s="33"/>
      <c r="DE30" s="790"/>
      <c r="DF30" s="791"/>
      <c r="DG30" s="33"/>
      <c r="DH30" s="33"/>
      <c r="DI30" s="33"/>
      <c r="DJ30" s="33"/>
      <c r="DK30" s="33"/>
      <c r="DL30" s="33"/>
      <c r="DM30" s="33"/>
      <c r="DN30" s="33"/>
      <c r="DO30" s="790"/>
      <c r="DP30" s="791"/>
      <c r="DQ30" s="33"/>
      <c r="DR30" s="33"/>
      <c r="DS30" s="33"/>
      <c r="DT30" s="33"/>
      <c r="DU30" s="33"/>
      <c r="DV30" s="33"/>
      <c r="DW30" s="33"/>
      <c r="DX30" s="33"/>
      <c r="DY30" s="790"/>
      <c r="DZ30" s="791"/>
      <c r="EA30" s="33"/>
      <c r="EB30" s="33"/>
      <c r="EC30" s="33"/>
      <c r="ED30" s="33"/>
      <c r="EE30" s="33"/>
      <c r="EF30" s="33"/>
      <c r="EG30" s="33"/>
      <c r="EH30" s="33"/>
      <c r="EI30" s="790"/>
      <c r="EJ30" s="791"/>
      <c r="EK30" s="33"/>
      <c r="EL30" s="33"/>
      <c r="EM30" s="33"/>
      <c r="EN30" s="33"/>
      <c r="EO30" s="33"/>
      <c r="EP30" s="33"/>
      <c r="EQ30" s="33"/>
      <c r="ER30" s="33"/>
      <c r="ES30" s="790"/>
      <c r="ET30" s="791"/>
      <c r="EU30" s="33"/>
      <c r="EV30" s="33"/>
      <c r="EW30" s="33"/>
      <c r="EX30" s="33"/>
      <c r="EY30" s="33"/>
      <c r="EZ30" s="33"/>
      <c r="FA30" s="33"/>
      <c r="FB30" s="33"/>
      <c r="FC30" s="790"/>
      <c r="FD30" s="791"/>
      <c r="FE30" s="33"/>
      <c r="FF30" s="33"/>
      <c r="FG30" s="33"/>
      <c r="FH30" s="33"/>
      <c r="FI30" s="33"/>
      <c r="FJ30" s="33"/>
      <c r="FK30" s="33"/>
      <c r="FL30" s="33"/>
      <c r="FM30" s="790"/>
      <c r="FN30" s="791"/>
      <c r="FO30" s="33"/>
      <c r="FP30" s="33"/>
      <c r="FQ30" s="33"/>
      <c r="FR30" s="33"/>
      <c r="FS30" s="33"/>
      <c r="FT30" s="33"/>
      <c r="FU30" s="33"/>
      <c r="FV30" s="33"/>
      <c r="FW30" s="790"/>
      <c r="FX30" s="791"/>
      <c r="FY30" s="33"/>
      <c r="FZ30" s="33"/>
      <c r="GA30" s="33"/>
      <c r="GB30" s="33"/>
      <c r="GC30" s="33"/>
      <c r="GD30" s="33"/>
      <c r="GE30" s="33"/>
      <c r="GF30" s="33"/>
      <c r="GG30" s="790"/>
      <c r="GH30" s="791"/>
      <c r="GI30" s="33"/>
      <c r="GJ30" s="33"/>
      <c r="GK30" s="33"/>
      <c r="GL30" s="33"/>
      <c r="GM30" s="33"/>
      <c r="GN30" s="33"/>
      <c r="GO30" s="33"/>
      <c r="GP30" s="33"/>
      <c r="GQ30" s="790"/>
      <c r="GR30" s="791"/>
      <c r="GS30" s="33"/>
      <c r="GT30" s="33"/>
      <c r="GU30" s="33"/>
      <c r="GV30" s="33"/>
      <c r="GW30" s="33"/>
      <c r="GX30" s="33"/>
      <c r="GY30" s="33"/>
      <c r="GZ30" s="33"/>
      <c r="HA30" s="790"/>
      <c r="HB30" s="791"/>
      <c r="HC30" s="33"/>
      <c r="HD30" s="33"/>
      <c r="HE30" s="33"/>
      <c r="HF30" s="33"/>
      <c r="HG30" s="33"/>
      <c r="HH30" s="33"/>
      <c r="HI30" s="33"/>
      <c r="HJ30" s="33"/>
      <c r="HK30" s="790"/>
      <c r="HL30" s="791"/>
      <c r="HM30" s="33"/>
      <c r="HN30" s="33"/>
      <c r="HO30" s="33"/>
      <c r="HP30" s="33"/>
      <c r="HQ30" s="33"/>
      <c r="HR30" s="33"/>
      <c r="HS30" s="33"/>
      <c r="HT30" s="33"/>
      <c r="HU30" s="790"/>
      <c r="HV30" s="791"/>
      <c r="HW30" s="33"/>
      <c r="HX30" s="33"/>
      <c r="HY30" s="33"/>
      <c r="HZ30" s="33"/>
      <c r="IA30" s="33"/>
      <c r="IB30" s="33"/>
      <c r="IC30" s="33"/>
      <c r="ID30" s="33"/>
      <c r="IE30" s="790"/>
      <c r="IF30" s="791"/>
      <c r="IG30" s="33"/>
      <c r="IH30" s="33"/>
      <c r="II30" s="33"/>
      <c r="IJ30" s="33"/>
      <c r="IK30" s="33"/>
      <c r="IL30" s="33"/>
      <c r="IM30" s="33"/>
      <c r="IN30" s="33"/>
      <c r="IO30" s="790"/>
      <c r="IP30" s="790"/>
      <c r="IQ30" s="788"/>
      <c r="IR30" s="792"/>
      <c r="IS30" s="792"/>
      <c r="IT30" s="792"/>
      <c r="IU30" s="792"/>
      <c r="IV30" s="792"/>
      <c r="IW30" s="792"/>
      <c r="IX30" s="507"/>
      <c r="IY30" s="193"/>
      <c r="IZ30" s="193"/>
      <c r="JA30" s="193"/>
      <c r="JB30" s="193"/>
      <c r="JC30" s="193"/>
      <c r="JD30" s="193"/>
      <c r="JE30" s="193"/>
      <c r="JF30" s="193"/>
      <c r="JG30" s="193"/>
      <c r="JH30" s="193"/>
      <c r="JI30" s="193"/>
      <c r="JJ30" s="193"/>
      <c r="JK30" s="193"/>
      <c r="JL30" s="193"/>
      <c r="JM30" s="193"/>
      <c r="JN30" s="193"/>
      <c r="JO30" s="193"/>
      <c r="JP30" s="193"/>
    </row>
    <row r="31" spans="2:276" ht="15.75" thickBot="1" x14ac:dyDescent="0.3">
      <c r="B31" s="805"/>
      <c r="C31" s="820"/>
      <c r="D31" s="821"/>
      <c r="E31" s="821"/>
      <c r="F31" s="821"/>
      <c r="G31" s="821"/>
      <c r="H31" s="192"/>
      <c r="I31" s="547"/>
      <c r="J31" s="40"/>
      <c r="K31" s="692"/>
      <c r="L31" s="692"/>
      <c r="M31" s="692"/>
      <c r="N31" s="692"/>
      <c r="O31" s="192"/>
      <c r="P31" s="192"/>
      <c r="Q31" s="192"/>
      <c r="R31" s="692"/>
      <c r="S31" s="827"/>
      <c r="T31" s="692"/>
      <c r="U31" s="692"/>
      <c r="V31" s="692"/>
      <c r="W31" s="692"/>
      <c r="X31" s="807"/>
      <c r="Y31" s="46"/>
      <c r="AC31" s="71"/>
      <c r="AD31" s="861"/>
      <c r="AE31" s="71"/>
      <c r="AF31" s="71"/>
      <c r="AG31" s="71"/>
      <c r="AH31" s="71"/>
      <c r="AI31" s="71"/>
      <c r="AS31" s="193"/>
      <c r="AT31" s="507"/>
      <c r="AU31" s="789"/>
      <c r="AV31" s="789"/>
      <c r="AW31" s="789"/>
      <c r="AX31" s="791"/>
      <c r="AY31" s="33"/>
      <c r="AZ31" s="33"/>
      <c r="BA31" s="33"/>
      <c r="BB31" s="33"/>
      <c r="BC31" s="33"/>
      <c r="BD31" s="33"/>
      <c r="BE31" s="33"/>
      <c r="BF31" s="33"/>
      <c r="BG31" s="790"/>
      <c r="BH31" s="791"/>
      <c r="BI31" s="33"/>
      <c r="BJ31" s="33"/>
      <c r="BK31" s="33"/>
      <c r="BL31" s="33"/>
      <c r="BM31" s="33"/>
      <c r="BN31" s="33"/>
      <c r="BO31" s="33"/>
      <c r="BP31" s="33"/>
      <c r="BQ31" s="790"/>
      <c r="BR31" s="791"/>
      <c r="BS31" s="33"/>
      <c r="BT31" s="33"/>
      <c r="BU31" s="33"/>
      <c r="BV31" s="33"/>
      <c r="BW31" s="33"/>
      <c r="BX31" s="33"/>
      <c r="BY31" s="33"/>
      <c r="BZ31" s="33"/>
      <c r="CA31" s="790"/>
      <c r="CB31" s="791"/>
      <c r="CC31" s="33"/>
      <c r="CD31" s="33"/>
      <c r="CE31" s="33"/>
      <c r="CF31" s="33"/>
      <c r="CG31" s="33"/>
      <c r="CH31" s="33"/>
      <c r="CI31" s="33"/>
      <c r="CJ31" s="33"/>
      <c r="CK31" s="790"/>
      <c r="CL31" s="791"/>
      <c r="CM31" s="33"/>
      <c r="CN31" s="33"/>
      <c r="CO31" s="33"/>
      <c r="CP31" s="33"/>
      <c r="CQ31" s="33"/>
      <c r="CR31" s="33"/>
      <c r="CS31" s="33"/>
      <c r="CT31" s="33"/>
      <c r="CU31" s="790"/>
      <c r="CV31" s="791"/>
      <c r="CW31" s="33"/>
      <c r="CX31" s="33"/>
      <c r="CY31" s="33"/>
      <c r="CZ31" s="33"/>
      <c r="DA31" s="33"/>
      <c r="DB31" s="33"/>
      <c r="DC31" s="33"/>
      <c r="DD31" s="33"/>
      <c r="DE31" s="790"/>
      <c r="DF31" s="791"/>
      <c r="DG31" s="33"/>
      <c r="DH31" s="33"/>
      <c r="DI31" s="33"/>
      <c r="DJ31" s="33"/>
      <c r="DK31" s="33"/>
      <c r="DL31" s="33"/>
      <c r="DM31" s="33"/>
      <c r="DN31" s="33"/>
      <c r="DO31" s="790"/>
      <c r="DP31" s="791"/>
      <c r="DQ31" s="33"/>
      <c r="DR31" s="33"/>
      <c r="DS31" s="33"/>
      <c r="DT31" s="33"/>
      <c r="DU31" s="33"/>
      <c r="DV31" s="33"/>
      <c r="DW31" s="33"/>
      <c r="DX31" s="33"/>
      <c r="DY31" s="790"/>
      <c r="DZ31" s="791"/>
      <c r="EA31" s="33"/>
      <c r="EB31" s="33"/>
      <c r="EC31" s="33"/>
      <c r="ED31" s="33"/>
      <c r="EE31" s="33"/>
      <c r="EF31" s="33"/>
      <c r="EG31" s="33"/>
      <c r="EH31" s="33"/>
      <c r="EI31" s="790"/>
      <c r="EJ31" s="791"/>
      <c r="EK31" s="33"/>
      <c r="EL31" s="33"/>
      <c r="EM31" s="33"/>
      <c r="EN31" s="33"/>
      <c r="EO31" s="33"/>
      <c r="EP31" s="33"/>
      <c r="EQ31" s="33"/>
      <c r="ER31" s="33"/>
      <c r="ES31" s="790"/>
      <c r="ET31" s="791"/>
      <c r="EU31" s="33"/>
      <c r="EV31" s="33"/>
      <c r="EW31" s="33"/>
      <c r="EX31" s="33"/>
      <c r="EY31" s="33"/>
      <c r="EZ31" s="33"/>
      <c r="FA31" s="33"/>
      <c r="FB31" s="33"/>
      <c r="FC31" s="790"/>
      <c r="FD31" s="791"/>
      <c r="FE31" s="33"/>
      <c r="FF31" s="33"/>
      <c r="FG31" s="33"/>
      <c r="FH31" s="33"/>
      <c r="FI31" s="33"/>
      <c r="FJ31" s="33"/>
      <c r="FK31" s="33"/>
      <c r="FL31" s="33"/>
      <c r="FM31" s="790"/>
      <c r="FN31" s="791"/>
      <c r="FO31" s="33"/>
      <c r="FP31" s="33"/>
      <c r="FQ31" s="33"/>
      <c r="FR31" s="33"/>
      <c r="FS31" s="33"/>
      <c r="FT31" s="33"/>
      <c r="FU31" s="33"/>
      <c r="FV31" s="33"/>
      <c r="FW31" s="790"/>
      <c r="FX31" s="791"/>
      <c r="FY31" s="33"/>
      <c r="FZ31" s="33"/>
      <c r="GA31" s="33"/>
      <c r="GB31" s="33"/>
      <c r="GC31" s="33"/>
      <c r="GD31" s="33"/>
      <c r="GE31" s="33"/>
      <c r="GF31" s="33"/>
      <c r="GG31" s="790"/>
      <c r="GH31" s="791"/>
      <c r="GI31" s="33"/>
      <c r="GJ31" s="33"/>
      <c r="GK31" s="33"/>
      <c r="GL31" s="33"/>
      <c r="GM31" s="33"/>
      <c r="GN31" s="33"/>
      <c r="GO31" s="33"/>
      <c r="GP31" s="33"/>
      <c r="GQ31" s="790"/>
      <c r="GR31" s="791"/>
      <c r="GS31" s="33"/>
      <c r="GT31" s="33"/>
      <c r="GU31" s="33"/>
      <c r="GV31" s="33"/>
      <c r="GW31" s="33"/>
      <c r="GX31" s="33"/>
      <c r="GY31" s="33"/>
      <c r="GZ31" s="33"/>
      <c r="HA31" s="790"/>
      <c r="HB31" s="791"/>
      <c r="HC31" s="33"/>
      <c r="HD31" s="33"/>
      <c r="HE31" s="33"/>
      <c r="HF31" s="33"/>
      <c r="HG31" s="33"/>
      <c r="HH31" s="33"/>
      <c r="HI31" s="33"/>
      <c r="HJ31" s="33"/>
      <c r="HK31" s="790"/>
      <c r="HL31" s="791"/>
      <c r="HM31" s="33"/>
      <c r="HN31" s="33"/>
      <c r="HO31" s="33"/>
      <c r="HP31" s="33"/>
      <c r="HQ31" s="33"/>
      <c r="HR31" s="33"/>
      <c r="HS31" s="33"/>
      <c r="HT31" s="33"/>
      <c r="HU31" s="790"/>
      <c r="HV31" s="791"/>
      <c r="HW31" s="33"/>
      <c r="HX31" s="33"/>
      <c r="HY31" s="33"/>
      <c r="HZ31" s="33"/>
      <c r="IA31" s="33"/>
      <c r="IB31" s="33"/>
      <c r="IC31" s="33"/>
      <c r="ID31" s="33"/>
      <c r="IE31" s="790"/>
      <c r="IF31" s="791"/>
      <c r="IG31" s="33"/>
      <c r="IH31" s="33"/>
      <c r="II31" s="33"/>
      <c r="IJ31" s="33"/>
      <c r="IK31" s="33"/>
      <c r="IL31" s="33"/>
      <c r="IM31" s="33"/>
      <c r="IN31" s="33"/>
      <c r="IO31" s="790"/>
      <c r="IP31" s="790"/>
      <c r="IQ31" s="788"/>
      <c r="IR31" s="792"/>
      <c r="IS31" s="792"/>
      <c r="IT31" s="792"/>
      <c r="IU31" s="792"/>
      <c r="IV31" s="792"/>
      <c r="IW31" s="792"/>
      <c r="IX31" s="507"/>
      <c r="IY31" s="193"/>
      <c r="IZ31" s="193"/>
      <c r="JA31" s="193"/>
      <c r="JB31" s="193"/>
      <c r="JC31" s="193"/>
      <c r="JD31" s="193"/>
      <c r="JE31" s="193"/>
      <c r="JF31" s="193"/>
      <c r="JG31" s="193"/>
      <c r="JH31" s="193"/>
      <c r="JI31" s="193"/>
      <c r="JJ31" s="193"/>
      <c r="JK31" s="193"/>
      <c r="JL31" s="193"/>
      <c r="JM31" s="193"/>
      <c r="JN31" s="193"/>
      <c r="JO31" s="193"/>
      <c r="JP31" s="193"/>
    </row>
    <row r="32" spans="2:276" ht="15.75" thickBot="1" x14ac:dyDescent="0.3">
      <c r="B32" s="805"/>
      <c r="C32" s="820"/>
      <c r="D32" s="821"/>
      <c r="E32" s="821"/>
      <c r="F32" s="821"/>
      <c r="G32" s="821"/>
      <c r="H32" s="192"/>
      <c r="I32" s="547"/>
      <c r="J32" s="40"/>
      <c r="K32" s="692"/>
      <c r="L32" s="692"/>
      <c r="M32" s="692"/>
      <c r="N32" s="692"/>
      <c r="O32" s="692"/>
      <c r="P32" s="692"/>
      <c r="Q32" s="692"/>
      <c r="R32" s="692"/>
      <c r="S32" s="827"/>
      <c r="T32" s="692"/>
      <c r="U32" s="692"/>
      <c r="V32" s="692"/>
      <c r="W32" s="692"/>
      <c r="X32" s="807"/>
      <c r="Y32" s="46"/>
      <c r="AC32" s="71"/>
      <c r="AD32" s="861"/>
      <c r="AE32" s="71"/>
      <c r="AF32" s="71"/>
      <c r="AG32" s="71"/>
      <c r="AH32" s="71"/>
      <c r="AI32" s="71"/>
      <c r="AS32" s="193"/>
      <c r="AT32" s="507"/>
      <c r="AU32" s="789"/>
      <c r="AV32" s="789"/>
      <c r="AW32" s="789"/>
      <c r="AX32" s="791"/>
      <c r="AY32" s="33"/>
      <c r="AZ32" s="33"/>
      <c r="BA32" s="33"/>
      <c r="BB32" s="33"/>
      <c r="BC32" s="33"/>
      <c r="BD32" s="33"/>
      <c r="BE32" s="33"/>
      <c r="BF32" s="33"/>
      <c r="BG32" s="790"/>
      <c r="BH32" s="791"/>
      <c r="BI32" s="33"/>
      <c r="BJ32" s="33"/>
      <c r="BK32" s="33"/>
      <c r="BL32" s="33"/>
      <c r="BM32" s="33"/>
      <c r="BN32" s="33"/>
      <c r="BO32" s="33"/>
      <c r="BP32" s="33"/>
      <c r="BQ32" s="790"/>
      <c r="BR32" s="791"/>
      <c r="BS32" s="33"/>
      <c r="BT32" s="33"/>
      <c r="BU32" s="33"/>
      <c r="BV32" s="33"/>
      <c r="BW32" s="33"/>
      <c r="BX32" s="33"/>
      <c r="BY32" s="33"/>
      <c r="BZ32" s="33"/>
      <c r="CA32" s="790"/>
      <c r="CB32" s="791"/>
      <c r="CC32" s="33"/>
      <c r="CD32" s="33"/>
      <c r="CE32" s="33"/>
      <c r="CF32" s="33"/>
      <c r="CG32" s="33"/>
      <c r="CH32" s="33"/>
      <c r="CI32" s="33"/>
      <c r="CJ32" s="33"/>
      <c r="CK32" s="790"/>
      <c r="CL32" s="791"/>
      <c r="CM32" s="33"/>
      <c r="CN32" s="33"/>
      <c r="CO32" s="33"/>
      <c r="CP32" s="33"/>
      <c r="CQ32" s="33"/>
      <c r="CR32" s="33"/>
      <c r="CS32" s="33"/>
      <c r="CT32" s="33"/>
      <c r="CU32" s="790"/>
      <c r="CV32" s="791"/>
      <c r="CW32" s="33"/>
      <c r="CX32" s="33"/>
      <c r="CY32" s="33"/>
      <c r="CZ32" s="33"/>
      <c r="DA32" s="33"/>
      <c r="DB32" s="33"/>
      <c r="DC32" s="33"/>
      <c r="DD32" s="33"/>
      <c r="DE32" s="790"/>
      <c r="DF32" s="791"/>
      <c r="DG32" s="33"/>
      <c r="DH32" s="33"/>
      <c r="DI32" s="33"/>
      <c r="DJ32" s="33"/>
      <c r="DK32" s="33"/>
      <c r="DL32" s="33"/>
      <c r="DM32" s="33"/>
      <c r="DN32" s="33"/>
      <c r="DO32" s="790"/>
      <c r="DP32" s="791"/>
      <c r="DQ32" s="33"/>
      <c r="DR32" s="33"/>
      <c r="DS32" s="33"/>
      <c r="DT32" s="33"/>
      <c r="DU32" s="33"/>
      <c r="DV32" s="33"/>
      <c r="DW32" s="33"/>
      <c r="DX32" s="33"/>
      <c r="DY32" s="790"/>
      <c r="DZ32" s="791"/>
      <c r="EA32" s="33"/>
      <c r="EB32" s="33"/>
      <c r="EC32" s="33"/>
      <c r="ED32" s="33"/>
      <c r="EE32" s="33"/>
      <c r="EF32" s="33"/>
      <c r="EG32" s="33"/>
      <c r="EH32" s="33"/>
      <c r="EI32" s="790"/>
      <c r="EJ32" s="791"/>
      <c r="EK32" s="33"/>
      <c r="EL32" s="33"/>
      <c r="EM32" s="33"/>
      <c r="EN32" s="33"/>
      <c r="EO32" s="33"/>
      <c r="EP32" s="33"/>
      <c r="EQ32" s="33"/>
      <c r="ER32" s="33"/>
      <c r="ES32" s="790"/>
      <c r="ET32" s="791"/>
      <c r="EU32" s="33"/>
      <c r="EV32" s="33"/>
      <c r="EW32" s="33"/>
      <c r="EX32" s="33"/>
      <c r="EY32" s="33"/>
      <c r="EZ32" s="33"/>
      <c r="FA32" s="33"/>
      <c r="FB32" s="33"/>
      <c r="FC32" s="790"/>
      <c r="FD32" s="791"/>
      <c r="FE32" s="33"/>
      <c r="FF32" s="33"/>
      <c r="FG32" s="33"/>
      <c r="FH32" s="33"/>
      <c r="FI32" s="33"/>
      <c r="FJ32" s="33"/>
      <c r="FK32" s="33"/>
      <c r="FL32" s="33"/>
      <c r="FM32" s="790"/>
      <c r="FN32" s="791"/>
      <c r="FO32" s="33"/>
      <c r="FP32" s="33"/>
      <c r="FQ32" s="33"/>
      <c r="FR32" s="33"/>
      <c r="FS32" s="33"/>
      <c r="FT32" s="33"/>
      <c r="FU32" s="33"/>
      <c r="FV32" s="33"/>
      <c r="FW32" s="790"/>
      <c r="FX32" s="791"/>
      <c r="FY32" s="33"/>
      <c r="FZ32" s="33"/>
      <c r="GA32" s="33"/>
      <c r="GB32" s="33"/>
      <c r="GC32" s="33"/>
      <c r="GD32" s="33"/>
      <c r="GE32" s="33"/>
      <c r="GF32" s="33"/>
      <c r="GG32" s="790"/>
      <c r="GH32" s="791"/>
      <c r="GI32" s="33"/>
      <c r="GJ32" s="33"/>
      <c r="GK32" s="33"/>
      <c r="GL32" s="33"/>
      <c r="GM32" s="33"/>
      <c r="GN32" s="33"/>
      <c r="GO32" s="33"/>
      <c r="GP32" s="33"/>
      <c r="GQ32" s="790"/>
      <c r="GR32" s="791"/>
      <c r="GS32" s="33"/>
      <c r="GT32" s="33"/>
      <c r="GU32" s="33"/>
      <c r="GV32" s="33"/>
      <c r="GW32" s="33"/>
      <c r="GX32" s="33"/>
      <c r="GY32" s="33"/>
      <c r="GZ32" s="33"/>
      <c r="HA32" s="790"/>
      <c r="HB32" s="791"/>
      <c r="HC32" s="33"/>
      <c r="HD32" s="33"/>
      <c r="HE32" s="33"/>
      <c r="HF32" s="33"/>
      <c r="HG32" s="33"/>
      <c r="HH32" s="33"/>
      <c r="HI32" s="33"/>
      <c r="HJ32" s="33"/>
      <c r="HK32" s="790"/>
      <c r="HL32" s="791"/>
      <c r="HM32" s="33"/>
      <c r="HN32" s="33"/>
      <c r="HO32" s="33"/>
      <c r="HP32" s="33"/>
      <c r="HQ32" s="33"/>
      <c r="HR32" s="33"/>
      <c r="HS32" s="33"/>
      <c r="HT32" s="33"/>
      <c r="HU32" s="790"/>
      <c r="HV32" s="791"/>
      <c r="HW32" s="33"/>
      <c r="HX32" s="33"/>
      <c r="HY32" s="33"/>
      <c r="HZ32" s="33"/>
      <c r="IA32" s="33"/>
      <c r="IB32" s="33"/>
      <c r="IC32" s="33"/>
      <c r="ID32" s="33"/>
      <c r="IE32" s="790"/>
      <c r="IF32" s="791"/>
      <c r="IG32" s="33"/>
      <c r="IH32" s="33"/>
      <c r="II32" s="33"/>
      <c r="IJ32" s="33"/>
      <c r="IK32" s="33"/>
      <c r="IL32" s="33"/>
      <c r="IM32" s="33"/>
      <c r="IN32" s="33"/>
      <c r="IO32" s="790"/>
      <c r="IP32" s="790"/>
      <c r="IQ32" s="788"/>
      <c r="IR32" s="792"/>
      <c r="IS32" s="792"/>
      <c r="IT32" s="792"/>
      <c r="IU32" s="792"/>
      <c r="IV32" s="792"/>
      <c r="IW32" s="792"/>
      <c r="IX32" s="507"/>
      <c r="IY32" s="193"/>
      <c r="IZ32" s="193"/>
      <c r="JA32" s="193"/>
      <c r="JB32" s="193"/>
      <c r="JC32" s="193"/>
      <c r="JD32" s="193"/>
      <c r="JE32" s="193"/>
      <c r="JF32" s="193"/>
      <c r="JG32" s="193"/>
      <c r="JH32" s="193"/>
      <c r="JI32" s="193"/>
      <c r="JJ32" s="193"/>
      <c r="JK32" s="193"/>
      <c r="JL32" s="193"/>
      <c r="JM32" s="193"/>
      <c r="JN32" s="193"/>
      <c r="JO32" s="193"/>
      <c r="JP32" s="193"/>
    </row>
    <row r="33" spans="2:276" ht="15.75" thickBot="1" x14ac:dyDescent="0.3">
      <c r="B33" s="805"/>
      <c r="C33" s="820"/>
      <c r="D33" s="821"/>
      <c r="E33" s="821"/>
      <c r="F33" s="821"/>
      <c r="G33" s="821"/>
      <c r="H33" s="192"/>
      <c r="I33" s="547"/>
      <c r="J33" s="40"/>
      <c r="K33" s="692"/>
      <c r="L33" s="692"/>
      <c r="M33" s="692"/>
      <c r="N33" s="692"/>
      <c r="O33" s="692"/>
      <c r="P33" s="692"/>
      <c r="Q33" s="692"/>
      <c r="R33" s="692"/>
      <c r="S33" s="827"/>
      <c r="T33" s="692"/>
      <c r="U33" s="692"/>
      <c r="V33" s="692"/>
      <c r="W33" s="692"/>
      <c r="X33" s="807"/>
      <c r="Y33" s="46"/>
      <c r="AC33" s="71"/>
      <c r="AD33" s="861"/>
      <c r="AE33" s="71"/>
      <c r="AF33" s="71"/>
      <c r="AG33" s="71"/>
      <c r="AH33" s="71"/>
      <c r="AI33" s="71"/>
      <c r="AS33" s="193"/>
      <c r="AT33" s="507"/>
      <c r="AU33" s="789"/>
      <c r="AV33" s="789"/>
      <c r="AW33" s="789"/>
      <c r="AX33" s="791"/>
      <c r="AY33" s="33"/>
      <c r="AZ33" s="33"/>
      <c r="BA33" s="33"/>
      <c r="BB33" s="33"/>
      <c r="BC33" s="33"/>
      <c r="BD33" s="33"/>
      <c r="BE33" s="33"/>
      <c r="BF33" s="33"/>
      <c r="BG33" s="790"/>
      <c r="BH33" s="791"/>
      <c r="BI33" s="33"/>
      <c r="BJ33" s="33"/>
      <c r="BK33" s="33"/>
      <c r="BL33" s="33"/>
      <c r="BM33" s="33"/>
      <c r="BN33" s="33"/>
      <c r="BO33" s="33"/>
      <c r="BP33" s="33"/>
      <c r="BQ33" s="790"/>
      <c r="BR33" s="791"/>
      <c r="BS33" s="33"/>
      <c r="BT33" s="33"/>
      <c r="BU33" s="33"/>
      <c r="BV33" s="33"/>
      <c r="BW33" s="33"/>
      <c r="BX33" s="33"/>
      <c r="BY33" s="33"/>
      <c r="BZ33" s="33"/>
      <c r="CA33" s="790"/>
      <c r="CB33" s="791"/>
      <c r="CC33" s="33"/>
      <c r="CD33" s="33"/>
      <c r="CE33" s="33"/>
      <c r="CF33" s="33"/>
      <c r="CG33" s="33"/>
      <c r="CH33" s="33"/>
      <c r="CI33" s="33"/>
      <c r="CJ33" s="33"/>
      <c r="CK33" s="790"/>
      <c r="CL33" s="791"/>
      <c r="CM33" s="33"/>
      <c r="CN33" s="33"/>
      <c r="CO33" s="33"/>
      <c r="CP33" s="33"/>
      <c r="CQ33" s="33"/>
      <c r="CR33" s="33"/>
      <c r="CS33" s="33"/>
      <c r="CT33" s="33"/>
      <c r="CU33" s="790"/>
      <c r="CV33" s="791"/>
      <c r="CW33" s="33"/>
      <c r="CX33" s="33"/>
      <c r="CY33" s="33"/>
      <c r="CZ33" s="33"/>
      <c r="DA33" s="33"/>
      <c r="DB33" s="33"/>
      <c r="DC33" s="33"/>
      <c r="DD33" s="33"/>
      <c r="DE33" s="790"/>
      <c r="DF33" s="791"/>
      <c r="DG33" s="33"/>
      <c r="DH33" s="33"/>
      <c r="DI33" s="33"/>
      <c r="DJ33" s="33"/>
      <c r="DK33" s="33"/>
      <c r="DL33" s="33"/>
      <c r="DM33" s="33"/>
      <c r="DN33" s="33"/>
      <c r="DO33" s="790"/>
      <c r="DP33" s="791"/>
      <c r="DQ33" s="33"/>
      <c r="DR33" s="33"/>
      <c r="DS33" s="33"/>
      <c r="DT33" s="33"/>
      <c r="DU33" s="33"/>
      <c r="DV33" s="33"/>
      <c r="DW33" s="33"/>
      <c r="DX33" s="33"/>
      <c r="DY33" s="790"/>
      <c r="DZ33" s="791"/>
      <c r="EA33" s="33"/>
      <c r="EB33" s="33"/>
      <c r="EC33" s="33"/>
      <c r="ED33" s="33"/>
      <c r="EE33" s="33"/>
      <c r="EF33" s="33"/>
      <c r="EG33" s="33"/>
      <c r="EH33" s="33"/>
      <c r="EI33" s="790"/>
      <c r="EJ33" s="791"/>
      <c r="EK33" s="33"/>
      <c r="EL33" s="33"/>
      <c r="EM33" s="33"/>
      <c r="EN33" s="33"/>
      <c r="EO33" s="33"/>
      <c r="EP33" s="33"/>
      <c r="EQ33" s="33"/>
      <c r="ER33" s="33"/>
      <c r="ES33" s="790"/>
      <c r="ET33" s="791"/>
      <c r="EU33" s="33"/>
      <c r="EV33" s="33"/>
      <c r="EW33" s="33"/>
      <c r="EX33" s="33"/>
      <c r="EY33" s="33"/>
      <c r="EZ33" s="33"/>
      <c r="FA33" s="33"/>
      <c r="FB33" s="33"/>
      <c r="FC33" s="790"/>
      <c r="FD33" s="791"/>
      <c r="FE33" s="33"/>
      <c r="FF33" s="33"/>
      <c r="FG33" s="33"/>
      <c r="FH33" s="33"/>
      <c r="FI33" s="33"/>
      <c r="FJ33" s="33"/>
      <c r="FK33" s="33"/>
      <c r="FL33" s="33"/>
      <c r="FM33" s="790"/>
      <c r="FN33" s="791"/>
      <c r="FO33" s="791"/>
      <c r="FP33" s="33"/>
      <c r="FQ33" s="33"/>
      <c r="FR33" s="33"/>
      <c r="FS33" s="33"/>
      <c r="FT33" s="33"/>
      <c r="FU33" s="33"/>
      <c r="FV33" s="33"/>
      <c r="FW33" s="33"/>
      <c r="FX33" s="791"/>
      <c r="FY33" s="791"/>
      <c r="FZ33" s="33"/>
      <c r="GA33" s="33"/>
      <c r="GB33" s="33"/>
      <c r="GC33" s="33"/>
      <c r="GD33" s="33"/>
      <c r="GE33" s="33"/>
      <c r="GF33" s="33"/>
      <c r="GG33" s="33"/>
      <c r="GH33" s="791"/>
      <c r="GI33" s="791"/>
      <c r="GJ33" s="33"/>
      <c r="GK33" s="33"/>
      <c r="GL33" s="33"/>
      <c r="GM33" s="33"/>
      <c r="GN33" s="33"/>
      <c r="GO33" s="33"/>
      <c r="GP33" s="33"/>
      <c r="GQ33" s="33"/>
      <c r="GR33" s="791"/>
      <c r="GS33" s="791"/>
      <c r="GT33" s="33"/>
      <c r="GU33" s="33"/>
      <c r="GV33" s="33"/>
      <c r="GW33" s="33"/>
      <c r="GX33" s="33"/>
      <c r="GY33" s="33"/>
      <c r="GZ33" s="33"/>
      <c r="HA33" s="33"/>
      <c r="HB33" s="791"/>
      <c r="HC33" s="791"/>
      <c r="HD33" s="33"/>
      <c r="HE33" s="33"/>
      <c r="HF33" s="33"/>
      <c r="HG33" s="33"/>
      <c r="HH33" s="33"/>
      <c r="HI33" s="33"/>
      <c r="HJ33" s="33"/>
      <c r="HK33" s="33"/>
      <c r="HL33" s="791"/>
      <c r="HM33" s="791"/>
      <c r="HN33" s="33"/>
      <c r="HO33" s="33"/>
      <c r="HP33" s="33"/>
      <c r="HQ33" s="33"/>
      <c r="HR33" s="33"/>
      <c r="HS33" s="33"/>
      <c r="HT33" s="33"/>
      <c r="HU33" s="33"/>
      <c r="HV33" s="791"/>
      <c r="HW33" s="791"/>
      <c r="HX33" s="33"/>
      <c r="HY33" s="33"/>
      <c r="HZ33" s="33"/>
      <c r="IA33" s="33"/>
      <c r="IB33" s="33"/>
      <c r="IC33" s="33"/>
      <c r="ID33" s="33"/>
      <c r="IE33" s="33"/>
      <c r="IF33" s="791"/>
      <c r="IG33" s="791"/>
      <c r="IH33" s="33"/>
      <c r="II33" s="33"/>
      <c r="IJ33" s="33"/>
      <c r="IK33" s="33"/>
      <c r="IL33" s="33"/>
      <c r="IM33" s="33"/>
      <c r="IN33" s="792"/>
      <c r="IO33" s="792"/>
      <c r="IP33" s="792"/>
      <c r="IQ33" s="788"/>
      <c r="IR33" s="792"/>
      <c r="IS33" s="792"/>
      <c r="IT33" s="792"/>
      <c r="IU33" s="792"/>
      <c r="IV33" s="792"/>
      <c r="IW33" s="792"/>
      <c r="IX33" s="507"/>
      <c r="IY33" s="193"/>
      <c r="IZ33" s="193"/>
      <c r="JA33" s="193"/>
      <c r="JB33" s="193"/>
      <c r="JC33" s="193"/>
      <c r="JD33" s="193"/>
      <c r="JE33" s="193"/>
      <c r="JF33" s="193"/>
      <c r="JG33" s="193"/>
      <c r="JH33" s="193"/>
      <c r="JI33" s="193"/>
      <c r="JJ33" s="193"/>
      <c r="JK33" s="193"/>
      <c r="JL33" s="193"/>
      <c r="JM33" s="193"/>
      <c r="JN33" s="193"/>
      <c r="JO33" s="193"/>
      <c r="JP33" s="193"/>
    </row>
    <row r="34" spans="2:276" ht="15.75" thickBot="1" x14ac:dyDescent="0.3">
      <c r="B34" s="805"/>
      <c r="C34" s="820"/>
      <c r="D34" s="821"/>
      <c r="E34" s="821"/>
      <c r="F34" s="821"/>
      <c r="G34" s="821"/>
      <c r="H34" s="192"/>
      <c r="I34" s="829"/>
      <c r="J34" s="405"/>
      <c r="K34" s="822"/>
      <c r="L34" s="822"/>
      <c r="M34" s="822"/>
      <c r="N34" s="822"/>
      <c r="O34" s="822"/>
      <c r="P34" s="822"/>
      <c r="Q34" s="822"/>
      <c r="R34" s="822"/>
      <c r="S34" s="830"/>
      <c r="T34" s="692"/>
      <c r="U34" s="692"/>
      <c r="V34" s="692"/>
      <c r="W34" s="692"/>
      <c r="X34" s="807"/>
      <c r="Y34" s="46"/>
      <c r="AC34" s="71"/>
      <c r="AD34" s="71"/>
      <c r="AE34" s="71"/>
      <c r="AF34" s="71"/>
      <c r="AG34" s="71"/>
      <c r="AH34" s="71"/>
      <c r="AI34" s="71"/>
      <c r="AS34" s="193"/>
      <c r="AT34" s="507"/>
      <c r="AU34" s="789"/>
      <c r="AV34" s="789"/>
      <c r="AW34" s="789"/>
      <c r="AX34" s="791"/>
      <c r="AY34" s="33"/>
      <c r="AZ34" s="33"/>
      <c r="BA34" s="33"/>
      <c r="BB34" s="33"/>
      <c r="BC34" s="33"/>
      <c r="BD34" s="33"/>
      <c r="BE34" s="33"/>
      <c r="BF34" s="33"/>
      <c r="BG34" s="790"/>
      <c r="BH34" s="791"/>
      <c r="BI34" s="33"/>
      <c r="BJ34" s="33"/>
      <c r="BK34" s="33"/>
      <c r="BL34" s="33"/>
      <c r="BM34" s="33"/>
      <c r="BN34" s="33"/>
      <c r="BO34" s="33"/>
      <c r="BP34" s="33"/>
      <c r="BQ34" s="790"/>
      <c r="BR34" s="791"/>
      <c r="BS34" s="33"/>
      <c r="BT34" s="33"/>
      <c r="BU34" s="33"/>
      <c r="BV34" s="33"/>
      <c r="BW34" s="33"/>
      <c r="BX34" s="33"/>
      <c r="BY34" s="33"/>
      <c r="BZ34" s="33"/>
      <c r="CA34" s="790"/>
      <c r="CB34" s="791"/>
      <c r="CC34" s="33"/>
      <c r="CD34" s="33"/>
      <c r="CE34" s="33"/>
      <c r="CF34" s="33"/>
      <c r="CG34" s="33"/>
      <c r="CH34" s="33"/>
      <c r="CI34" s="33"/>
      <c r="CJ34" s="33"/>
      <c r="CK34" s="790"/>
      <c r="CL34" s="791"/>
      <c r="CM34" s="33"/>
      <c r="CN34" s="33"/>
      <c r="CO34" s="33"/>
      <c r="CP34" s="33"/>
      <c r="CQ34" s="33"/>
      <c r="CR34" s="33"/>
      <c r="CS34" s="33"/>
      <c r="CT34" s="33"/>
      <c r="CU34" s="790"/>
      <c r="CV34" s="791"/>
      <c r="CW34" s="33"/>
      <c r="CX34" s="33"/>
      <c r="CY34" s="33"/>
      <c r="CZ34" s="33"/>
      <c r="DA34" s="33"/>
      <c r="DB34" s="33"/>
      <c r="DC34" s="33"/>
      <c r="DD34" s="33"/>
      <c r="DE34" s="790"/>
      <c r="DF34" s="791"/>
      <c r="DG34" s="33"/>
      <c r="DH34" s="33"/>
      <c r="DI34" s="33"/>
      <c r="DJ34" s="33"/>
      <c r="DK34" s="33"/>
      <c r="DL34" s="33"/>
      <c r="DM34" s="33"/>
      <c r="DN34" s="33"/>
      <c r="DO34" s="790"/>
      <c r="DP34" s="791"/>
      <c r="DQ34" s="33"/>
      <c r="DR34" s="33"/>
      <c r="DS34" s="33"/>
      <c r="DT34" s="33"/>
      <c r="DU34" s="33"/>
      <c r="DV34" s="33"/>
      <c r="DW34" s="33"/>
      <c r="DX34" s="33"/>
      <c r="DY34" s="790"/>
      <c r="DZ34" s="791"/>
      <c r="EA34" s="33"/>
      <c r="EB34" s="33"/>
      <c r="EC34" s="33"/>
      <c r="ED34" s="33"/>
      <c r="EE34" s="33"/>
      <c r="EF34" s="33"/>
      <c r="EG34" s="33"/>
      <c r="EH34" s="33"/>
      <c r="EI34" s="790"/>
      <c r="EJ34" s="791"/>
      <c r="EK34" s="33"/>
      <c r="EL34" s="33"/>
      <c r="EM34" s="33"/>
      <c r="EN34" s="33"/>
      <c r="EO34" s="33"/>
      <c r="EP34" s="33"/>
      <c r="EQ34" s="33"/>
      <c r="ER34" s="33"/>
      <c r="ES34" s="790"/>
      <c r="ET34" s="791"/>
      <c r="EU34" s="33"/>
      <c r="EV34" s="33"/>
      <c r="EW34" s="33"/>
      <c r="EX34" s="33"/>
      <c r="EY34" s="33"/>
      <c r="EZ34" s="33"/>
      <c r="FA34" s="33"/>
      <c r="FB34" s="33"/>
      <c r="FC34" s="790"/>
      <c r="FD34" s="791"/>
      <c r="FE34" s="33"/>
      <c r="FF34" s="33"/>
      <c r="FG34" s="33"/>
      <c r="FH34" s="33"/>
      <c r="FI34" s="33"/>
      <c r="FJ34" s="33"/>
      <c r="FK34" s="33"/>
      <c r="FL34" s="33"/>
      <c r="FM34" s="790"/>
      <c r="FN34" s="791"/>
      <c r="FO34" s="791"/>
      <c r="FP34" s="33"/>
      <c r="FQ34" s="33"/>
      <c r="FR34" s="33"/>
      <c r="FS34" s="33"/>
      <c r="FT34" s="33"/>
      <c r="FU34" s="33"/>
      <c r="FV34" s="33"/>
      <c r="FW34" s="33"/>
      <c r="FX34" s="791"/>
      <c r="FY34" s="791"/>
      <c r="FZ34" s="33"/>
      <c r="GA34" s="33"/>
      <c r="GB34" s="33"/>
      <c r="GC34" s="33"/>
      <c r="GD34" s="33"/>
      <c r="GE34" s="33"/>
      <c r="GF34" s="33"/>
      <c r="GG34" s="33"/>
      <c r="GH34" s="791"/>
      <c r="GI34" s="791"/>
      <c r="GJ34" s="33"/>
      <c r="GK34" s="33"/>
      <c r="GL34" s="33"/>
      <c r="GM34" s="33"/>
      <c r="GN34" s="791"/>
      <c r="GO34" s="791"/>
      <c r="GP34" s="791"/>
      <c r="GQ34" s="791"/>
      <c r="GR34" s="791"/>
      <c r="GS34" s="791"/>
      <c r="GT34" s="791"/>
      <c r="GU34" s="791"/>
      <c r="GV34" s="791"/>
      <c r="GW34" s="791"/>
      <c r="GX34" s="791"/>
      <c r="GY34" s="791"/>
      <c r="GZ34" s="791"/>
      <c r="HA34" s="791"/>
      <c r="HB34" s="791"/>
      <c r="HC34" s="791"/>
      <c r="HD34" s="791"/>
      <c r="HE34" s="791"/>
      <c r="HF34" s="791"/>
      <c r="HG34" s="791"/>
      <c r="HH34" s="791"/>
      <c r="HI34" s="791"/>
      <c r="HJ34" s="791"/>
      <c r="HK34" s="791"/>
      <c r="HL34" s="791"/>
      <c r="HM34" s="791"/>
      <c r="HN34" s="33"/>
      <c r="HO34" s="33"/>
      <c r="HP34" s="33"/>
      <c r="HQ34" s="33"/>
      <c r="HR34" s="33"/>
      <c r="HS34" s="33"/>
      <c r="HT34" s="33"/>
      <c r="HU34" s="33"/>
      <c r="HV34" s="33"/>
      <c r="HW34" s="33"/>
      <c r="HX34" s="33"/>
      <c r="HY34" s="33"/>
      <c r="HZ34" s="33"/>
      <c r="IA34" s="33"/>
      <c r="IB34" s="33"/>
      <c r="IC34" s="33"/>
      <c r="ID34" s="33"/>
      <c r="IE34" s="33"/>
      <c r="IF34" s="791"/>
      <c r="IG34" s="791"/>
      <c r="IH34" s="33"/>
      <c r="II34" s="33"/>
      <c r="IJ34" s="33"/>
      <c r="IK34" s="33"/>
      <c r="IL34" s="33"/>
      <c r="IM34" s="33"/>
      <c r="IN34" s="792"/>
      <c r="IO34" s="792"/>
      <c r="IP34" s="792"/>
      <c r="IQ34" s="788"/>
      <c r="IR34" s="792"/>
      <c r="IS34" s="792"/>
      <c r="IT34" s="792"/>
      <c r="IU34" s="792"/>
      <c r="IV34" s="792"/>
      <c r="IW34" s="792"/>
      <c r="IX34" s="507"/>
      <c r="IY34" s="193"/>
      <c r="IZ34" s="193"/>
      <c r="JA34" s="193"/>
      <c r="JB34" s="193"/>
      <c r="JC34" s="193"/>
      <c r="JD34" s="193"/>
      <c r="JE34" s="193"/>
      <c r="JF34" s="193"/>
      <c r="JG34" s="193"/>
      <c r="JH34" s="193"/>
      <c r="JI34" s="193"/>
      <c r="JJ34" s="193"/>
      <c r="JK34" s="193"/>
      <c r="JL34" s="193"/>
      <c r="JM34" s="193"/>
      <c r="JN34" s="193"/>
      <c r="JO34" s="193"/>
      <c r="JP34" s="193"/>
    </row>
    <row r="35" spans="2:276" ht="15.75" thickBot="1" x14ac:dyDescent="0.3">
      <c r="B35" s="805"/>
      <c r="C35" s="809"/>
      <c r="D35" s="692"/>
      <c r="E35" s="692"/>
      <c r="F35" s="692"/>
      <c r="G35" s="692"/>
      <c r="H35" s="692"/>
      <c r="I35" s="692"/>
      <c r="J35" s="692"/>
      <c r="K35" s="692"/>
      <c r="L35" s="692"/>
      <c r="M35" s="692"/>
      <c r="N35" s="692"/>
      <c r="O35" s="692"/>
      <c r="P35" s="692"/>
      <c r="Q35" s="692"/>
      <c r="R35" s="692"/>
      <c r="S35" s="692"/>
      <c r="T35" s="692"/>
      <c r="U35" s="692"/>
      <c r="V35" s="692"/>
      <c r="W35" s="692"/>
      <c r="X35" s="807"/>
      <c r="Y35" s="46"/>
      <c r="AC35" s="71"/>
      <c r="AD35" s="71"/>
      <c r="AE35" s="71"/>
      <c r="AF35" s="71"/>
      <c r="AG35" s="71"/>
      <c r="AH35" s="71"/>
      <c r="AI35" s="71"/>
      <c r="AS35" s="193"/>
      <c r="AT35" s="507"/>
      <c r="AU35" s="789"/>
      <c r="AV35" s="789"/>
      <c r="AW35" s="789"/>
      <c r="AX35" s="791"/>
      <c r="AY35" s="33"/>
      <c r="AZ35" s="33"/>
      <c r="BA35" s="33"/>
      <c r="BB35" s="33"/>
      <c r="BC35" s="33"/>
      <c r="BD35" s="33"/>
      <c r="BE35" s="33"/>
      <c r="BF35" s="33"/>
      <c r="BG35" s="790"/>
      <c r="BH35" s="791"/>
      <c r="BI35" s="33"/>
      <c r="BJ35" s="33"/>
      <c r="BK35" s="33"/>
      <c r="BL35" s="33"/>
      <c r="BM35" s="33"/>
      <c r="BN35" s="33"/>
      <c r="BO35" s="33"/>
      <c r="BP35" s="33"/>
      <c r="BQ35" s="790"/>
      <c r="BR35" s="791"/>
      <c r="BS35" s="33"/>
      <c r="BT35" s="33"/>
      <c r="BU35" s="33"/>
      <c r="BV35" s="33"/>
      <c r="BW35" s="33"/>
      <c r="BX35" s="33"/>
      <c r="BY35" s="33"/>
      <c r="BZ35" s="33"/>
      <c r="CA35" s="790"/>
      <c r="CB35" s="791"/>
      <c r="CC35" s="33"/>
      <c r="CD35" s="33"/>
      <c r="CE35" s="33"/>
      <c r="CF35" s="33"/>
      <c r="CG35" s="33"/>
      <c r="CH35" s="33"/>
      <c r="CI35" s="33"/>
      <c r="CJ35" s="33"/>
      <c r="CK35" s="790"/>
      <c r="CL35" s="791"/>
      <c r="CM35" s="33"/>
      <c r="CN35" s="33"/>
      <c r="CO35" s="33"/>
      <c r="CP35" s="33"/>
      <c r="CQ35" s="33"/>
      <c r="CR35" s="33"/>
      <c r="CS35" s="33"/>
      <c r="CT35" s="33"/>
      <c r="CU35" s="790"/>
      <c r="CV35" s="791"/>
      <c r="CW35" s="33"/>
      <c r="CX35" s="33"/>
      <c r="CY35" s="33"/>
      <c r="CZ35" s="33"/>
      <c r="DA35" s="33"/>
      <c r="DB35" s="33"/>
      <c r="DC35" s="33"/>
      <c r="DD35" s="33"/>
      <c r="DE35" s="790"/>
      <c r="DF35" s="791"/>
      <c r="DG35" s="33"/>
      <c r="DH35" s="33"/>
      <c r="DI35" s="33"/>
      <c r="DJ35" s="33"/>
      <c r="DK35" s="33"/>
      <c r="DL35" s="33"/>
      <c r="DM35" s="33"/>
      <c r="DN35" s="33"/>
      <c r="DO35" s="790"/>
      <c r="DP35" s="791"/>
      <c r="DQ35" s="33"/>
      <c r="DR35" s="33"/>
      <c r="DS35" s="33"/>
      <c r="DT35" s="33"/>
      <c r="DU35" s="33"/>
      <c r="DV35" s="33"/>
      <c r="DW35" s="33"/>
      <c r="DX35" s="33"/>
      <c r="DY35" s="790"/>
      <c r="DZ35" s="791"/>
      <c r="EA35" s="33"/>
      <c r="EB35" s="33"/>
      <c r="EC35" s="33"/>
      <c r="ED35" s="33"/>
      <c r="EE35" s="33"/>
      <c r="EF35" s="33"/>
      <c r="EG35" s="33"/>
      <c r="EH35" s="33"/>
      <c r="EI35" s="790"/>
      <c r="EJ35" s="791"/>
      <c r="EK35" s="33"/>
      <c r="EL35" s="33"/>
      <c r="EM35" s="33"/>
      <c r="EN35" s="33"/>
      <c r="EO35" s="33"/>
      <c r="EP35" s="33"/>
      <c r="EQ35" s="33"/>
      <c r="ER35" s="33"/>
      <c r="ES35" s="790"/>
      <c r="ET35" s="791"/>
      <c r="EU35" s="33"/>
      <c r="EV35" s="33"/>
      <c r="EW35" s="33"/>
      <c r="EX35" s="33"/>
      <c r="EY35" s="33"/>
      <c r="EZ35" s="33"/>
      <c r="FA35" s="33"/>
      <c r="FB35" s="33"/>
      <c r="FC35" s="790"/>
      <c r="FD35" s="791"/>
      <c r="FE35" s="33"/>
      <c r="FF35" s="33"/>
      <c r="FG35" s="33"/>
      <c r="FH35" s="33"/>
      <c r="FI35" s="33"/>
      <c r="FJ35" s="33"/>
      <c r="FK35" s="33"/>
      <c r="FL35" s="33"/>
      <c r="FM35" s="790"/>
      <c r="FN35" s="791"/>
      <c r="FO35" s="791"/>
      <c r="FP35" s="33"/>
      <c r="FQ35" s="33"/>
      <c r="FR35" s="33"/>
      <c r="FS35" s="33"/>
      <c r="FT35" s="33"/>
      <c r="FU35" s="33"/>
      <c r="FV35" s="791"/>
      <c r="FW35" s="791"/>
      <c r="FX35" s="791"/>
      <c r="FY35" s="791"/>
      <c r="FZ35" s="791"/>
      <c r="GA35" s="791"/>
      <c r="GB35" s="791"/>
      <c r="GC35" s="791"/>
      <c r="GD35" s="791"/>
      <c r="GE35" s="791"/>
      <c r="GF35" s="791"/>
      <c r="GG35" s="791"/>
      <c r="GH35" s="791"/>
      <c r="GI35" s="791"/>
      <c r="GJ35" s="33"/>
      <c r="GK35" s="33"/>
      <c r="GL35" s="33"/>
      <c r="GM35" s="33"/>
      <c r="GN35" s="791"/>
      <c r="GO35" s="791"/>
      <c r="GP35" s="791"/>
      <c r="GQ35" s="791"/>
      <c r="GR35" s="791"/>
      <c r="GS35" s="791"/>
      <c r="GT35" s="791"/>
      <c r="GU35" s="791"/>
      <c r="GV35" s="791"/>
      <c r="GW35" s="791"/>
      <c r="GX35" s="791"/>
      <c r="GY35" s="791"/>
      <c r="GZ35" s="791"/>
      <c r="HA35" s="791"/>
      <c r="HB35" s="791"/>
      <c r="HC35" s="791"/>
      <c r="HD35" s="791"/>
      <c r="HE35" s="791"/>
      <c r="HF35" s="791"/>
      <c r="HG35" s="791"/>
      <c r="HH35" s="791"/>
      <c r="HI35" s="791"/>
      <c r="HJ35" s="791"/>
      <c r="HK35" s="791"/>
      <c r="HL35" s="791"/>
      <c r="HM35" s="791"/>
      <c r="HN35" s="33"/>
      <c r="HO35" s="33"/>
      <c r="HP35" s="33"/>
      <c r="HQ35" s="33"/>
      <c r="HR35" s="33"/>
      <c r="HS35" s="33"/>
      <c r="HT35" s="33"/>
      <c r="HU35" s="33"/>
      <c r="HV35" s="33"/>
      <c r="HW35" s="33"/>
      <c r="HX35" s="33"/>
      <c r="HY35" s="33"/>
      <c r="HZ35" s="33"/>
      <c r="IA35" s="33"/>
      <c r="IB35" s="33"/>
      <c r="IC35" s="33"/>
      <c r="ID35" s="33"/>
      <c r="IE35" s="33"/>
      <c r="IF35" s="791"/>
      <c r="IG35" s="791"/>
      <c r="IH35" s="33"/>
      <c r="II35" s="33"/>
      <c r="IJ35" s="33"/>
      <c r="IK35" s="33"/>
      <c r="IL35" s="33"/>
      <c r="IM35" s="33"/>
      <c r="IN35" s="792"/>
      <c r="IO35" s="792"/>
      <c r="IP35" s="792"/>
      <c r="IQ35" s="788"/>
      <c r="IR35" s="792"/>
      <c r="IS35" s="792"/>
      <c r="IT35" s="792"/>
      <c r="IU35" s="792"/>
      <c r="IV35" s="792"/>
      <c r="IW35" s="792"/>
      <c r="IX35" s="507"/>
      <c r="IY35" s="193"/>
      <c r="IZ35" s="193"/>
      <c r="JA35" s="193"/>
      <c r="JB35" s="193"/>
      <c r="JC35" s="193"/>
      <c r="JD35" s="193"/>
      <c r="JE35" s="193"/>
      <c r="JF35" s="193"/>
      <c r="JG35" s="193"/>
      <c r="JH35" s="193"/>
      <c r="JI35" s="193"/>
      <c r="JJ35" s="193"/>
      <c r="JK35" s="193"/>
      <c r="JL35" s="193"/>
      <c r="JM35" s="193"/>
      <c r="JN35" s="193"/>
      <c r="JO35" s="193"/>
      <c r="JP35" s="193"/>
    </row>
    <row r="36" spans="2:276" ht="15.75" thickBot="1" x14ac:dyDescent="0.3">
      <c r="B36" s="805"/>
      <c r="C36" s="809"/>
      <c r="D36" s="692"/>
      <c r="E36" s="692"/>
      <c r="F36" s="692"/>
      <c r="G36" s="692"/>
      <c r="H36" s="692"/>
      <c r="I36" s="692"/>
      <c r="J36" s="692"/>
      <c r="K36" s="692"/>
      <c r="L36" s="692"/>
      <c r="M36" s="692"/>
      <c r="N36" s="692"/>
      <c r="O36" s="692"/>
      <c r="P36" s="692"/>
      <c r="Q36" s="692"/>
      <c r="R36" s="692"/>
      <c r="S36" s="692"/>
      <c r="T36" s="692"/>
      <c r="U36" s="692"/>
      <c r="V36" s="692"/>
      <c r="W36" s="692"/>
      <c r="X36" s="807"/>
      <c r="Y36" s="46"/>
      <c r="AS36" s="193"/>
      <c r="AT36" s="507"/>
      <c r="AU36" s="789"/>
      <c r="AV36" s="789"/>
      <c r="AW36" s="789"/>
      <c r="AX36" s="791"/>
      <c r="AY36" s="33"/>
      <c r="AZ36" s="33"/>
      <c r="BA36" s="33"/>
      <c r="BB36" s="33"/>
      <c r="BC36" s="33"/>
      <c r="BD36" s="33"/>
      <c r="BE36" s="33"/>
      <c r="BF36" s="33"/>
      <c r="BG36" s="790"/>
      <c r="BH36" s="791"/>
      <c r="BI36" s="33"/>
      <c r="BJ36" s="33"/>
      <c r="BK36" s="33"/>
      <c r="BL36" s="33"/>
      <c r="BM36" s="33"/>
      <c r="BN36" s="33"/>
      <c r="BO36" s="33"/>
      <c r="BP36" s="33"/>
      <c r="BQ36" s="790"/>
      <c r="BR36" s="791"/>
      <c r="BS36" s="33"/>
      <c r="BT36" s="33"/>
      <c r="BU36" s="33"/>
      <c r="BV36" s="33"/>
      <c r="BW36" s="33"/>
      <c r="BX36" s="33"/>
      <c r="BY36" s="33"/>
      <c r="BZ36" s="33"/>
      <c r="CA36" s="790"/>
      <c r="CB36" s="791"/>
      <c r="CC36" s="33"/>
      <c r="CD36" s="33"/>
      <c r="CE36" s="33"/>
      <c r="CF36" s="33"/>
      <c r="CG36" s="33"/>
      <c r="CH36" s="33"/>
      <c r="CI36" s="33"/>
      <c r="CJ36" s="33"/>
      <c r="CK36" s="790"/>
      <c r="CL36" s="791"/>
      <c r="CM36" s="33"/>
      <c r="CN36" s="33"/>
      <c r="CO36" s="33"/>
      <c r="CP36" s="33"/>
      <c r="CQ36" s="33"/>
      <c r="CR36" s="33"/>
      <c r="CS36" s="33"/>
      <c r="CT36" s="33"/>
      <c r="CU36" s="790"/>
      <c r="CV36" s="791"/>
      <c r="CW36" s="33"/>
      <c r="CX36" s="33"/>
      <c r="CY36" s="33"/>
      <c r="CZ36" s="33"/>
      <c r="DA36" s="33"/>
      <c r="DB36" s="33"/>
      <c r="DC36" s="33"/>
      <c r="DD36" s="33"/>
      <c r="DE36" s="790"/>
      <c r="DF36" s="791"/>
      <c r="DG36" s="33"/>
      <c r="DH36" s="33"/>
      <c r="DI36" s="33"/>
      <c r="DJ36" s="33"/>
      <c r="DK36" s="33"/>
      <c r="DL36" s="33"/>
      <c r="DM36" s="33"/>
      <c r="DN36" s="33"/>
      <c r="DO36" s="790"/>
      <c r="DP36" s="791"/>
      <c r="DQ36" s="33"/>
      <c r="DR36" s="33"/>
      <c r="DS36" s="33"/>
      <c r="DT36" s="33"/>
      <c r="DU36" s="33"/>
      <c r="DV36" s="33"/>
      <c r="DW36" s="33"/>
      <c r="DX36" s="33"/>
      <c r="DY36" s="790"/>
      <c r="DZ36" s="791"/>
      <c r="EA36" s="33"/>
      <c r="EB36" s="33"/>
      <c r="EC36" s="33"/>
      <c r="ED36" s="33"/>
      <c r="EE36" s="33"/>
      <c r="EF36" s="33"/>
      <c r="EG36" s="33"/>
      <c r="EH36" s="33"/>
      <c r="EI36" s="790"/>
      <c r="EJ36" s="791"/>
      <c r="EK36" s="33"/>
      <c r="EL36" s="33"/>
      <c r="EM36" s="33"/>
      <c r="EN36" s="33"/>
      <c r="EO36" s="33"/>
      <c r="EP36" s="33"/>
      <c r="EQ36" s="33"/>
      <c r="ER36" s="33"/>
      <c r="ES36" s="790"/>
      <c r="ET36" s="791"/>
      <c r="EU36" s="33"/>
      <c r="EV36" s="33"/>
      <c r="EW36" s="33"/>
      <c r="EX36" s="33"/>
      <c r="EY36" s="33"/>
      <c r="EZ36" s="33"/>
      <c r="FA36" s="33"/>
      <c r="FB36" s="33"/>
      <c r="FC36" s="790"/>
      <c r="FD36" s="791"/>
      <c r="FE36" s="33"/>
      <c r="FF36" s="33"/>
      <c r="FG36" s="33"/>
      <c r="FH36" s="33"/>
      <c r="FI36" s="33"/>
      <c r="FJ36" s="33"/>
      <c r="FK36" s="33"/>
      <c r="FL36" s="33"/>
      <c r="FM36" s="790"/>
      <c r="FN36" s="791"/>
      <c r="FO36" s="791"/>
      <c r="FP36" s="33"/>
      <c r="FQ36" s="33"/>
      <c r="FR36" s="33"/>
      <c r="FS36" s="33"/>
      <c r="FT36" s="33"/>
      <c r="FU36" s="33"/>
      <c r="FV36" s="791"/>
      <c r="FW36" s="791"/>
      <c r="FX36" s="791"/>
      <c r="FY36" s="791"/>
      <c r="FZ36" s="791"/>
      <c r="GA36" s="791"/>
      <c r="GB36" s="791"/>
      <c r="GC36" s="791"/>
      <c r="GD36" s="791"/>
      <c r="GE36" s="791"/>
      <c r="GF36" s="791"/>
      <c r="GG36" s="791"/>
      <c r="GH36" s="791"/>
      <c r="GI36" s="791"/>
      <c r="GJ36" s="33"/>
      <c r="GK36" s="33"/>
      <c r="GL36" s="33"/>
      <c r="GM36" s="33"/>
      <c r="GN36" s="791"/>
      <c r="GO36" s="791"/>
      <c r="GP36" s="791"/>
      <c r="GQ36" s="791"/>
      <c r="GR36" s="791"/>
      <c r="GS36" s="791"/>
      <c r="GT36" s="791"/>
      <c r="GU36" s="791"/>
      <c r="GV36" s="791"/>
      <c r="GW36" s="791"/>
      <c r="GX36" s="791"/>
      <c r="GY36" s="791"/>
      <c r="GZ36" s="791"/>
      <c r="HA36" s="791"/>
      <c r="HB36" s="791"/>
      <c r="HC36" s="791"/>
      <c r="HD36" s="791"/>
      <c r="HE36" s="791"/>
      <c r="HF36" s="791"/>
      <c r="HG36" s="791"/>
      <c r="HH36" s="791"/>
      <c r="HI36" s="791"/>
      <c r="HJ36" s="791"/>
      <c r="HK36" s="791"/>
      <c r="HL36" s="791"/>
      <c r="HM36" s="791"/>
      <c r="HN36" s="33"/>
      <c r="HO36" s="33"/>
      <c r="HP36" s="33"/>
      <c r="HQ36" s="33"/>
      <c r="HR36" s="33"/>
      <c r="HS36" s="33"/>
      <c r="HT36" s="33"/>
      <c r="HU36" s="33"/>
      <c r="HV36" s="33"/>
      <c r="HW36" s="33"/>
      <c r="HX36" s="33"/>
      <c r="HY36" s="33"/>
      <c r="HZ36" s="33"/>
      <c r="IA36" s="33"/>
      <c r="IB36" s="33"/>
      <c r="IC36" s="33"/>
      <c r="ID36" s="33"/>
      <c r="IE36" s="33"/>
      <c r="IF36" s="791"/>
      <c r="IG36" s="791"/>
      <c r="IH36" s="33"/>
      <c r="II36" s="33"/>
      <c r="IJ36" s="33"/>
      <c r="IK36" s="33"/>
      <c r="IL36" s="33"/>
      <c r="IM36" s="33"/>
      <c r="IN36" s="792"/>
      <c r="IO36" s="792"/>
      <c r="IP36" s="792"/>
      <c r="IQ36" s="788"/>
      <c r="IR36" s="792"/>
      <c r="IS36" s="792"/>
      <c r="IT36" s="792"/>
      <c r="IU36" s="792"/>
      <c r="IV36" s="792"/>
      <c r="IW36" s="792"/>
      <c r="IX36" s="507"/>
      <c r="IY36" s="193"/>
      <c r="IZ36" s="193"/>
      <c r="JA36" s="193"/>
      <c r="JB36" s="193"/>
      <c r="JC36" s="193"/>
      <c r="JD36" s="193"/>
      <c r="JE36" s="193"/>
      <c r="JF36" s="193"/>
      <c r="JG36" s="193"/>
      <c r="JH36" s="193"/>
      <c r="JI36" s="193"/>
      <c r="JJ36" s="193"/>
      <c r="JK36" s="193"/>
      <c r="JL36" s="193"/>
      <c r="JM36" s="193"/>
      <c r="JN36" s="193"/>
      <c r="JO36" s="193"/>
      <c r="JP36" s="193"/>
    </row>
    <row r="37" spans="2:276" ht="15.75" thickBot="1" x14ac:dyDescent="0.3">
      <c r="B37" s="805"/>
      <c r="C37" s="809"/>
      <c r="D37" s="692"/>
      <c r="E37" s="692"/>
      <c r="F37" s="692"/>
      <c r="G37" s="692"/>
      <c r="H37" s="692"/>
      <c r="I37" s="692"/>
      <c r="J37" s="692"/>
      <c r="K37" s="692"/>
      <c r="L37" s="692"/>
      <c r="M37" s="692"/>
      <c r="N37" s="692"/>
      <c r="O37" s="692"/>
      <c r="P37" s="692"/>
      <c r="Q37" s="692"/>
      <c r="R37" s="692"/>
      <c r="S37" s="692"/>
      <c r="T37" s="692"/>
      <c r="U37" s="692"/>
      <c r="V37" s="692"/>
      <c r="W37" s="692"/>
      <c r="X37" s="807"/>
      <c r="Y37" s="46"/>
      <c r="AS37" s="193"/>
      <c r="AT37" s="507"/>
      <c r="AU37" s="789"/>
      <c r="AV37" s="789"/>
      <c r="AW37" s="789"/>
      <c r="AX37" s="791"/>
      <c r="AY37" s="33"/>
      <c r="AZ37" s="33"/>
      <c r="BA37" s="33"/>
      <c r="BB37" s="33"/>
      <c r="BC37" s="33"/>
      <c r="BD37" s="33"/>
      <c r="BE37" s="33"/>
      <c r="BF37" s="33"/>
      <c r="BG37" s="790"/>
      <c r="BH37" s="791"/>
      <c r="BI37" s="33"/>
      <c r="BJ37" s="33"/>
      <c r="BK37" s="33"/>
      <c r="BL37" s="33"/>
      <c r="BM37" s="33"/>
      <c r="BN37" s="33"/>
      <c r="BO37" s="33"/>
      <c r="BP37" s="33"/>
      <c r="BQ37" s="790"/>
      <c r="BR37" s="791"/>
      <c r="BS37" s="33"/>
      <c r="BT37" s="33"/>
      <c r="BU37" s="33"/>
      <c r="BV37" s="33"/>
      <c r="BW37" s="33"/>
      <c r="BX37" s="33"/>
      <c r="BY37" s="33"/>
      <c r="BZ37" s="33"/>
      <c r="CA37" s="790"/>
      <c r="CB37" s="791"/>
      <c r="CC37" s="33"/>
      <c r="CD37" s="33"/>
      <c r="CE37" s="33"/>
      <c r="CF37" s="33"/>
      <c r="CG37" s="33"/>
      <c r="CH37" s="33"/>
      <c r="CI37" s="33"/>
      <c r="CJ37" s="33"/>
      <c r="CK37" s="790"/>
      <c r="CL37" s="791"/>
      <c r="CM37" s="33"/>
      <c r="CN37" s="33"/>
      <c r="CO37" s="33"/>
      <c r="CP37" s="33"/>
      <c r="CQ37" s="33"/>
      <c r="CR37" s="33"/>
      <c r="CS37" s="33"/>
      <c r="CT37" s="33"/>
      <c r="CU37" s="790"/>
      <c r="CV37" s="791"/>
      <c r="CW37" s="33"/>
      <c r="CX37" s="33"/>
      <c r="CY37" s="33"/>
      <c r="CZ37" s="33"/>
      <c r="DA37" s="33"/>
      <c r="DB37" s="33"/>
      <c r="DC37" s="33"/>
      <c r="DD37" s="33"/>
      <c r="DE37" s="790"/>
      <c r="DF37" s="791"/>
      <c r="DG37" s="33"/>
      <c r="DH37" s="33"/>
      <c r="DI37" s="33"/>
      <c r="DJ37" s="33"/>
      <c r="DK37" s="33"/>
      <c r="DL37" s="33"/>
      <c r="DM37" s="33"/>
      <c r="DN37" s="33"/>
      <c r="DO37" s="790"/>
      <c r="DP37" s="791"/>
      <c r="DQ37" s="33"/>
      <c r="DR37" s="33"/>
      <c r="DS37" s="33"/>
      <c r="DT37" s="33"/>
      <c r="DU37" s="33"/>
      <c r="DV37" s="33"/>
      <c r="DW37" s="33"/>
      <c r="DX37" s="33"/>
      <c r="DY37" s="790"/>
      <c r="DZ37" s="791"/>
      <c r="EA37" s="33"/>
      <c r="EB37" s="33"/>
      <c r="EC37" s="33"/>
      <c r="ED37" s="33"/>
      <c r="EE37" s="33"/>
      <c r="EF37" s="33"/>
      <c r="EG37" s="33"/>
      <c r="EH37" s="33"/>
      <c r="EI37" s="790"/>
      <c r="EJ37" s="791"/>
      <c r="EK37" s="33"/>
      <c r="EL37" s="33"/>
      <c r="EM37" s="33"/>
      <c r="EN37" s="33"/>
      <c r="EO37" s="33"/>
      <c r="EP37" s="33"/>
      <c r="EQ37" s="33"/>
      <c r="ER37" s="33"/>
      <c r="ES37" s="790"/>
      <c r="ET37" s="791"/>
      <c r="EU37" s="33"/>
      <c r="EV37" s="33"/>
      <c r="EW37" s="33"/>
      <c r="EX37" s="33"/>
      <c r="EY37" s="33"/>
      <c r="EZ37" s="33"/>
      <c r="FA37" s="33"/>
      <c r="FB37" s="33"/>
      <c r="FC37" s="790"/>
      <c r="FD37" s="791"/>
      <c r="FE37" s="33"/>
      <c r="FF37" s="33"/>
      <c r="FG37" s="33"/>
      <c r="FH37" s="33"/>
      <c r="FI37" s="33"/>
      <c r="FJ37" s="33"/>
      <c r="FK37" s="33"/>
      <c r="FL37" s="33"/>
      <c r="FM37" s="790"/>
      <c r="FN37" s="791"/>
      <c r="FO37" s="791"/>
      <c r="FP37" s="33"/>
      <c r="FQ37" s="33"/>
      <c r="FR37" s="33"/>
      <c r="FS37" s="33"/>
      <c r="FT37" s="33"/>
      <c r="FU37" s="33"/>
      <c r="FV37" s="791"/>
      <c r="FW37" s="791"/>
      <c r="FX37" s="791"/>
      <c r="FY37" s="791"/>
      <c r="FZ37" s="791"/>
      <c r="GA37" s="791"/>
      <c r="GB37" s="791"/>
      <c r="GC37" s="791"/>
      <c r="GD37" s="791"/>
      <c r="GE37" s="791"/>
      <c r="GF37" s="791"/>
      <c r="GG37" s="791"/>
      <c r="GH37" s="791"/>
      <c r="GI37" s="791"/>
      <c r="GJ37" s="33"/>
      <c r="GK37" s="33"/>
      <c r="GL37" s="33"/>
      <c r="GM37" s="33"/>
      <c r="GN37" s="791"/>
      <c r="GO37" s="791"/>
      <c r="GP37" s="791"/>
      <c r="GQ37" s="791"/>
      <c r="GR37" s="791"/>
      <c r="GS37" s="791"/>
      <c r="GT37" s="791"/>
      <c r="GU37" s="791"/>
      <c r="GV37" s="791"/>
      <c r="GW37" s="791"/>
      <c r="GX37" s="791"/>
      <c r="GY37" s="791"/>
      <c r="GZ37" s="791"/>
      <c r="HA37" s="791"/>
      <c r="HB37" s="791"/>
      <c r="HC37" s="791"/>
      <c r="HD37" s="791"/>
      <c r="HE37" s="791"/>
      <c r="HF37" s="791"/>
      <c r="HG37" s="791"/>
      <c r="HH37" s="791"/>
      <c r="HI37" s="791"/>
      <c r="HJ37" s="791"/>
      <c r="HK37" s="791"/>
      <c r="HL37" s="791"/>
      <c r="HM37" s="791"/>
      <c r="HN37" s="33"/>
      <c r="HO37" s="33"/>
      <c r="HP37" s="33"/>
      <c r="HQ37" s="33"/>
      <c r="HR37" s="33"/>
      <c r="HS37" s="33"/>
      <c r="HT37" s="33"/>
      <c r="HU37" s="33"/>
      <c r="HV37" s="33"/>
      <c r="HW37" s="33"/>
      <c r="HX37" s="33"/>
      <c r="HY37" s="33"/>
      <c r="HZ37" s="33"/>
      <c r="IA37" s="33"/>
      <c r="IB37" s="33"/>
      <c r="IC37" s="33"/>
      <c r="ID37" s="33"/>
      <c r="IE37" s="33"/>
      <c r="IF37" s="791"/>
      <c r="IG37" s="791"/>
      <c r="IH37" s="33"/>
      <c r="II37" s="33"/>
      <c r="IJ37" s="33"/>
      <c r="IK37" s="33"/>
      <c r="IL37" s="33"/>
      <c r="IM37" s="33"/>
      <c r="IN37" s="792"/>
      <c r="IO37" s="792"/>
      <c r="IP37" s="792"/>
      <c r="IQ37" s="788"/>
      <c r="IR37" s="792"/>
      <c r="IS37" s="792"/>
      <c r="IT37" s="792"/>
      <c r="IU37" s="792"/>
      <c r="IV37" s="792"/>
      <c r="IW37" s="792"/>
      <c r="IX37" s="507"/>
      <c r="IY37" s="193"/>
      <c r="IZ37" s="193"/>
      <c r="JA37" s="193"/>
      <c r="JB37" s="193"/>
      <c r="JC37" s="193"/>
      <c r="JD37" s="193"/>
      <c r="JE37" s="193"/>
      <c r="JF37" s="193"/>
      <c r="JG37" s="193"/>
      <c r="JH37" s="193"/>
      <c r="JI37" s="193"/>
      <c r="JJ37" s="193"/>
      <c r="JK37" s="193"/>
      <c r="JL37" s="193"/>
      <c r="JM37" s="193"/>
      <c r="JN37" s="193"/>
      <c r="JO37" s="193"/>
      <c r="JP37" s="193"/>
    </row>
    <row r="38" spans="2:276" ht="15.75" thickBot="1" x14ac:dyDescent="0.3">
      <c r="B38" s="47"/>
      <c r="C38" s="808"/>
      <c r="D38" s="808"/>
      <c r="E38" s="808"/>
      <c r="F38" s="808"/>
      <c r="G38" s="808"/>
      <c r="H38" s="808"/>
      <c r="I38" s="808"/>
      <c r="J38" s="808"/>
      <c r="K38" s="808"/>
      <c r="L38" s="808"/>
      <c r="M38" s="808"/>
      <c r="N38" s="808"/>
      <c r="O38" s="808"/>
      <c r="P38" s="808"/>
      <c r="Q38" s="808"/>
      <c r="R38" s="808"/>
      <c r="S38" s="808"/>
      <c r="T38" s="808"/>
      <c r="U38" s="808"/>
      <c r="V38" s="808"/>
      <c r="W38" s="808"/>
      <c r="X38" s="76"/>
      <c r="Y38" s="46"/>
      <c r="AS38" s="193"/>
      <c r="AT38" s="507"/>
      <c r="AU38" s="789"/>
      <c r="AV38" s="789"/>
      <c r="AW38" s="789"/>
      <c r="AX38" s="791"/>
      <c r="AY38" s="33"/>
      <c r="AZ38" s="33"/>
      <c r="BA38" s="33"/>
      <c r="BB38" s="33"/>
      <c r="BC38" s="33"/>
      <c r="BD38" s="33"/>
      <c r="BE38" s="33"/>
      <c r="BF38" s="33"/>
      <c r="BG38" s="790"/>
      <c r="BH38" s="791"/>
      <c r="BI38" s="33"/>
      <c r="BJ38" s="33"/>
      <c r="BK38" s="33"/>
      <c r="BL38" s="33"/>
      <c r="BM38" s="33"/>
      <c r="BN38" s="33"/>
      <c r="BO38" s="33"/>
      <c r="BP38" s="33"/>
      <c r="BQ38" s="790"/>
      <c r="BR38" s="791"/>
      <c r="BS38" s="33"/>
      <c r="BT38" s="33"/>
      <c r="BU38" s="33"/>
      <c r="BV38" s="33"/>
      <c r="BW38" s="33"/>
      <c r="BX38" s="33"/>
      <c r="BY38" s="33"/>
      <c r="BZ38" s="33"/>
      <c r="CA38" s="790"/>
      <c r="CB38" s="791"/>
      <c r="CC38" s="33"/>
      <c r="CD38" s="33"/>
      <c r="CE38" s="33"/>
      <c r="CF38" s="33"/>
      <c r="CG38" s="33"/>
      <c r="CH38" s="33"/>
      <c r="CI38" s="33"/>
      <c r="CJ38" s="33"/>
      <c r="CK38" s="790"/>
      <c r="CL38" s="791"/>
      <c r="CM38" s="33"/>
      <c r="CN38" s="33"/>
      <c r="CO38" s="33"/>
      <c r="CP38" s="33"/>
      <c r="CQ38" s="33"/>
      <c r="CR38" s="33"/>
      <c r="CS38" s="33"/>
      <c r="CT38" s="33"/>
      <c r="CU38" s="790"/>
      <c r="CV38" s="791"/>
      <c r="CW38" s="33"/>
      <c r="CX38" s="33"/>
      <c r="CY38" s="33"/>
      <c r="CZ38" s="33"/>
      <c r="DA38" s="33"/>
      <c r="DB38" s="33"/>
      <c r="DC38" s="33"/>
      <c r="DD38" s="33"/>
      <c r="DE38" s="790"/>
      <c r="DF38" s="791"/>
      <c r="DG38" s="33"/>
      <c r="DH38" s="33"/>
      <c r="DI38" s="33"/>
      <c r="DJ38" s="33"/>
      <c r="DK38" s="33"/>
      <c r="DL38" s="33"/>
      <c r="DM38" s="33"/>
      <c r="DN38" s="33"/>
      <c r="DO38" s="790"/>
      <c r="DP38" s="791"/>
      <c r="DQ38" s="33"/>
      <c r="DR38" s="33"/>
      <c r="DS38" s="33"/>
      <c r="DT38" s="33"/>
      <c r="DU38" s="33"/>
      <c r="DV38" s="33"/>
      <c r="DW38" s="33"/>
      <c r="DX38" s="33"/>
      <c r="DY38" s="790"/>
      <c r="DZ38" s="791"/>
      <c r="EA38" s="33"/>
      <c r="EB38" s="33"/>
      <c r="EC38" s="33"/>
      <c r="ED38" s="33"/>
      <c r="EE38" s="33"/>
      <c r="EF38" s="33"/>
      <c r="EG38" s="33"/>
      <c r="EH38" s="33"/>
      <c r="EI38" s="790"/>
      <c r="EJ38" s="791"/>
      <c r="EK38" s="33"/>
      <c r="EL38" s="33"/>
      <c r="EM38" s="33"/>
      <c r="EN38" s="33"/>
      <c r="EO38" s="33"/>
      <c r="EP38" s="33"/>
      <c r="EQ38" s="33"/>
      <c r="ER38" s="33"/>
      <c r="ES38" s="790"/>
      <c r="ET38" s="791"/>
      <c r="EU38" s="33"/>
      <c r="EV38" s="33"/>
      <c r="EW38" s="33"/>
      <c r="EX38" s="33"/>
      <c r="EY38" s="33"/>
      <c r="EZ38" s="33"/>
      <c r="FA38" s="33"/>
      <c r="FB38" s="33"/>
      <c r="FC38" s="790"/>
      <c r="FD38" s="791"/>
      <c r="FE38" s="33"/>
      <c r="FF38" s="33"/>
      <c r="FG38" s="33"/>
      <c r="FH38" s="33"/>
      <c r="FI38" s="33"/>
      <c r="FJ38" s="33"/>
      <c r="FK38" s="33"/>
      <c r="FL38" s="33"/>
      <c r="FM38" s="790"/>
      <c r="FN38" s="791"/>
      <c r="FO38" s="791"/>
      <c r="FP38" s="33"/>
      <c r="FQ38" s="33"/>
      <c r="FR38" s="33"/>
      <c r="FS38" s="33"/>
      <c r="FT38" s="33"/>
      <c r="FU38" s="33"/>
      <c r="FV38" s="791"/>
      <c r="FW38" s="791"/>
      <c r="FX38" s="791"/>
      <c r="FY38" s="791"/>
      <c r="FZ38" s="791"/>
      <c r="GA38" s="791"/>
      <c r="GB38" s="791"/>
      <c r="GC38" s="791"/>
      <c r="GD38" s="791"/>
      <c r="GE38" s="791"/>
      <c r="GF38" s="791"/>
      <c r="GG38" s="791"/>
      <c r="GH38" s="791"/>
      <c r="GI38" s="791"/>
      <c r="GJ38" s="33"/>
      <c r="GK38" s="33"/>
      <c r="GL38" s="33"/>
      <c r="GM38" s="33"/>
      <c r="GN38" s="791"/>
      <c r="GO38" s="791"/>
      <c r="GP38" s="791"/>
      <c r="GQ38" s="791"/>
      <c r="GR38" s="791"/>
      <c r="GS38" s="791"/>
      <c r="GT38" s="791"/>
      <c r="GU38" s="791"/>
      <c r="GV38" s="791"/>
      <c r="GW38" s="791"/>
      <c r="GX38" s="791"/>
      <c r="GY38" s="791"/>
      <c r="GZ38" s="791"/>
      <c r="HA38" s="791"/>
      <c r="HB38" s="791"/>
      <c r="HC38" s="791"/>
      <c r="HD38" s="791"/>
      <c r="HE38" s="791"/>
      <c r="HF38" s="791"/>
      <c r="HG38" s="791"/>
      <c r="HH38" s="791"/>
      <c r="HI38" s="791"/>
      <c r="HJ38" s="791"/>
      <c r="HK38" s="791"/>
      <c r="HL38" s="791"/>
      <c r="HM38" s="791"/>
      <c r="HN38" s="33"/>
      <c r="HO38" s="33"/>
      <c r="HP38" s="33"/>
      <c r="HQ38" s="33"/>
      <c r="HR38" s="33"/>
      <c r="HS38" s="33"/>
      <c r="HT38" s="33"/>
      <c r="HU38" s="33"/>
      <c r="HV38" s="33"/>
      <c r="HW38" s="33"/>
      <c r="HX38" s="33"/>
      <c r="HY38" s="33"/>
      <c r="HZ38" s="33"/>
      <c r="IA38" s="33"/>
      <c r="IB38" s="33"/>
      <c r="IC38" s="33"/>
      <c r="ID38" s="33"/>
      <c r="IE38" s="33"/>
      <c r="IF38" s="791"/>
      <c r="IG38" s="791"/>
      <c r="IH38" s="33"/>
      <c r="II38" s="33"/>
      <c r="IJ38" s="33"/>
      <c r="IK38" s="33"/>
      <c r="IL38" s="33"/>
      <c r="IM38" s="33"/>
      <c r="IN38" s="792"/>
      <c r="IO38" s="792"/>
      <c r="IP38" s="792"/>
      <c r="IQ38" s="788"/>
      <c r="IR38" s="792"/>
      <c r="IS38" s="792"/>
      <c r="IT38" s="792"/>
      <c r="IU38" s="792"/>
      <c r="IV38" s="792"/>
      <c r="IW38" s="792"/>
      <c r="IX38" s="507"/>
      <c r="IY38" s="193"/>
      <c r="IZ38" s="193"/>
      <c r="JA38" s="193"/>
      <c r="JB38" s="193"/>
      <c r="JC38" s="193"/>
      <c r="JD38" s="193"/>
      <c r="JE38" s="193"/>
      <c r="JF38" s="193"/>
      <c r="JG38" s="193"/>
      <c r="JH38" s="193"/>
      <c r="JI38" s="193"/>
      <c r="JJ38" s="193"/>
      <c r="JK38" s="193"/>
      <c r="JL38" s="193"/>
      <c r="JM38" s="193"/>
      <c r="JN38" s="193"/>
      <c r="JO38" s="193"/>
      <c r="JP38" s="193"/>
    </row>
    <row r="39" spans="2:276"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S39" s="193"/>
      <c r="AT39" s="507"/>
      <c r="AU39" s="789"/>
      <c r="AV39" s="789"/>
      <c r="AW39" s="789"/>
      <c r="AX39" s="791"/>
      <c r="AY39" s="33"/>
      <c r="AZ39" s="33"/>
      <c r="BA39" s="33"/>
      <c r="BB39" s="33"/>
      <c r="BC39" s="33"/>
      <c r="BD39" s="33"/>
      <c r="BE39" s="33"/>
      <c r="BF39" s="33"/>
      <c r="BG39" s="790"/>
      <c r="BH39" s="791"/>
      <c r="BI39" s="33"/>
      <c r="BJ39" s="33"/>
      <c r="BK39" s="33"/>
      <c r="BL39" s="33"/>
      <c r="BM39" s="33"/>
      <c r="BN39" s="33"/>
      <c r="BO39" s="33"/>
      <c r="BP39" s="33"/>
      <c r="BQ39" s="790"/>
      <c r="BR39" s="791"/>
      <c r="BS39" s="33"/>
      <c r="BT39" s="33"/>
      <c r="BU39" s="33"/>
      <c r="BV39" s="33"/>
      <c r="BW39" s="33"/>
      <c r="BX39" s="33"/>
      <c r="BY39" s="33"/>
      <c r="BZ39" s="33"/>
      <c r="CA39" s="790"/>
      <c r="CB39" s="791"/>
      <c r="CC39" s="33"/>
      <c r="CD39" s="33"/>
      <c r="CE39" s="33"/>
      <c r="CF39" s="33"/>
      <c r="CG39" s="33"/>
      <c r="CH39" s="33"/>
      <c r="CI39" s="33"/>
      <c r="CJ39" s="33"/>
      <c r="CK39" s="790"/>
      <c r="CL39" s="791"/>
      <c r="CM39" s="33"/>
      <c r="CN39" s="33"/>
      <c r="CO39" s="33"/>
      <c r="CP39" s="33"/>
      <c r="CQ39" s="33"/>
      <c r="CR39" s="33"/>
      <c r="CS39" s="33"/>
      <c r="CT39" s="33"/>
      <c r="CU39" s="790"/>
      <c r="CV39" s="791"/>
      <c r="CW39" s="33"/>
      <c r="CX39" s="33"/>
      <c r="CY39" s="33"/>
      <c r="CZ39" s="33"/>
      <c r="DA39" s="33"/>
      <c r="DB39" s="33"/>
      <c r="DC39" s="33"/>
      <c r="DD39" s="33"/>
      <c r="DE39" s="790"/>
      <c r="DF39" s="791"/>
      <c r="DG39" s="33"/>
      <c r="DH39" s="33"/>
      <c r="DI39" s="33"/>
      <c r="DJ39" s="33"/>
      <c r="DK39" s="33"/>
      <c r="DL39" s="33"/>
      <c r="DM39" s="33"/>
      <c r="DN39" s="33"/>
      <c r="DO39" s="790"/>
      <c r="DP39" s="791"/>
      <c r="DQ39" s="33"/>
      <c r="DR39" s="33"/>
      <c r="DS39" s="33"/>
      <c r="DT39" s="33"/>
      <c r="DU39" s="33"/>
      <c r="DV39" s="33"/>
      <c r="DW39" s="33"/>
      <c r="DX39" s="33"/>
      <c r="DY39" s="790"/>
      <c r="DZ39" s="791"/>
      <c r="EA39" s="33"/>
      <c r="EB39" s="33"/>
      <c r="EC39" s="33"/>
      <c r="ED39" s="33"/>
      <c r="EE39" s="33"/>
      <c r="EF39" s="33"/>
      <c r="EG39" s="33"/>
      <c r="EH39" s="33"/>
      <c r="EI39" s="790"/>
      <c r="EJ39" s="791"/>
      <c r="EK39" s="33"/>
      <c r="EL39" s="33"/>
      <c r="EM39" s="33"/>
      <c r="EN39" s="33"/>
      <c r="EO39" s="33"/>
      <c r="EP39" s="33"/>
      <c r="EQ39" s="33"/>
      <c r="ER39" s="33"/>
      <c r="ES39" s="790"/>
      <c r="ET39" s="791"/>
      <c r="EU39" s="33"/>
      <c r="EV39" s="33"/>
      <c r="EW39" s="33"/>
      <c r="EX39" s="33"/>
      <c r="EY39" s="33"/>
      <c r="EZ39" s="33"/>
      <c r="FA39" s="33"/>
      <c r="FB39" s="33"/>
      <c r="FC39" s="790"/>
      <c r="FD39" s="791"/>
      <c r="FE39" s="33"/>
      <c r="FF39" s="33"/>
      <c r="FG39" s="33"/>
      <c r="FH39" s="33"/>
      <c r="FI39" s="33"/>
      <c r="FJ39" s="33"/>
      <c r="FK39" s="33"/>
      <c r="FL39" s="33"/>
      <c r="FM39" s="790"/>
      <c r="FN39" s="791"/>
      <c r="FO39" s="791"/>
      <c r="FP39" s="33"/>
      <c r="FQ39" s="33"/>
      <c r="FR39" s="33"/>
      <c r="FS39" s="33"/>
      <c r="FT39" s="33"/>
      <c r="FU39" s="33"/>
      <c r="FV39" s="786"/>
      <c r="FW39" s="786"/>
      <c r="FX39" s="786"/>
      <c r="FY39" s="786"/>
      <c r="FZ39" s="786"/>
      <c r="GA39" s="786"/>
      <c r="GB39" s="786"/>
      <c r="GC39" s="786"/>
      <c r="GD39" s="786"/>
      <c r="GE39" s="786"/>
      <c r="GF39" s="786"/>
      <c r="GG39" s="786"/>
      <c r="GH39" s="791"/>
      <c r="GI39" s="791"/>
      <c r="GJ39" s="33"/>
      <c r="GK39" s="33"/>
      <c r="GL39" s="33"/>
      <c r="GM39" s="33"/>
      <c r="GN39" s="791"/>
      <c r="GO39" s="791"/>
      <c r="GP39" s="791"/>
      <c r="GQ39" s="791"/>
      <c r="GR39" s="791"/>
      <c r="GS39" s="791"/>
      <c r="GT39" s="791"/>
      <c r="GU39" s="791"/>
      <c r="GV39" s="791"/>
      <c r="GW39" s="791"/>
      <c r="GX39" s="791"/>
      <c r="GY39" s="791"/>
      <c r="GZ39" s="791"/>
      <c r="HA39" s="791"/>
      <c r="HB39" s="791"/>
      <c r="HC39" s="791"/>
      <c r="HD39" s="791"/>
      <c r="HE39" s="791"/>
      <c r="HF39" s="791"/>
      <c r="HG39" s="791"/>
      <c r="HH39" s="791"/>
      <c r="HI39" s="791"/>
      <c r="HJ39" s="791"/>
      <c r="HK39" s="791"/>
      <c r="HL39" s="791"/>
      <c r="HM39" s="791"/>
      <c r="HN39" s="33"/>
      <c r="HO39" s="33"/>
      <c r="HP39" s="33"/>
      <c r="HQ39" s="33"/>
      <c r="HR39" s="33"/>
      <c r="HS39" s="33"/>
      <c r="HT39" s="33"/>
      <c r="HU39" s="33"/>
      <c r="HV39" s="33"/>
      <c r="HW39" s="33"/>
      <c r="HX39" s="33"/>
      <c r="HY39" s="33"/>
      <c r="HZ39" s="33"/>
      <c r="IA39" s="33"/>
      <c r="IB39" s="33"/>
      <c r="IC39" s="33"/>
      <c r="ID39" s="33"/>
      <c r="IE39" s="33"/>
      <c r="IF39" s="791"/>
      <c r="IG39" s="791"/>
      <c r="IH39" s="33"/>
      <c r="II39" s="33"/>
      <c r="IJ39" s="33"/>
      <c r="IK39" s="33"/>
      <c r="IL39" s="33"/>
      <c r="IM39" s="33"/>
      <c r="IN39" s="792"/>
      <c r="IO39" s="792"/>
      <c r="IP39" s="792"/>
      <c r="IQ39" s="788"/>
      <c r="IR39" s="792"/>
      <c r="IS39" s="792"/>
      <c r="IT39" s="792"/>
      <c r="IU39" s="792"/>
      <c r="IV39" s="792"/>
      <c r="IW39" s="792"/>
      <c r="IX39" s="507"/>
      <c r="IY39" s="193"/>
      <c r="IZ39" s="193"/>
      <c r="JA39" s="193"/>
      <c r="JB39" s="193"/>
      <c r="JC39" s="193"/>
      <c r="JD39" s="193"/>
      <c r="JE39" s="193"/>
      <c r="JF39" s="193"/>
      <c r="JG39" s="193"/>
      <c r="JH39" s="193"/>
      <c r="JI39" s="193"/>
      <c r="JJ39" s="193"/>
      <c r="JK39" s="193"/>
      <c r="JL39" s="193"/>
      <c r="JM39" s="193"/>
      <c r="JN39" s="193"/>
      <c r="JO39" s="193"/>
      <c r="JP39" s="193"/>
    </row>
    <row r="40" spans="2:276"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S40" s="193"/>
      <c r="AT40" s="507"/>
      <c r="AU40" s="789"/>
      <c r="AV40" s="789"/>
      <c r="AW40" s="789"/>
      <c r="AX40" s="791"/>
      <c r="AY40" s="33"/>
      <c r="AZ40" s="33"/>
      <c r="BA40" s="33"/>
      <c r="BB40" s="33"/>
      <c r="BC40" s="33"/>
      <c r="BD40" s="33"/>
      <c r="BE40" s="33"/>
      <c r="BF40" s="33"/>
      <c r="BG40" s="790"/>
      <c r="BH40" s="791"/>
      <c r="BI40" s="33"/>
      <c r="BJ40" s="33"/>
      <c r="BK40" s="33"/>
      <c r="BL40" s="33"/>
      <c r="BM40" s="33"/>
      <c r="BN40" s="33"/>
      <c r="BO40" s="33"/>
      <c r="BP40" s="33"/>
      <c r="BQ40" s="790"/>
      <c r="BR40" s="791"/>
      <c r="BS40" s="33"/>
      <c r="BT40" s="33"/>
      <c r="BU40" s="33"/>
      <c r="BV40" s="33"/>
      <c r="BW40" s="33"/>
      <c r="BX40" s="33"/>
      <c r="BY40" s="33"/>
      <c r="BZ40" s="33"/>
      <c r="CA40" s="790"/>
      <c r="CB40" s="791"/>
      <c r="CC40" s="33"/>
      <c r="CD40" s="33"/>
      <c r="CE40" s="33"/>
      <c r="CF40" s="33"/>
      <c r="CG40" s="33"/>
      <c r="CH40" s="33"/>
      <c r="CI40" s="33"/>
      <c r="CJ40" s="33"/>
      <c r="CK40" s="790"/>
      <c r="CL40" s="791"/>
      <c r="CM40" s="33"/>
      <c r="CN40" s="33"/>
      <c r="CO40" s="33"/>
      <c r="CP40" s="33"/>
      <c r="CQ40" s="33"/>
      <c r="CR40" s="33"/>
      <c r="CS40" s="33"/>
      <c r="CT40" s="33"/>
      <c r="CU40" s="790"/>
      <c r="CV40" s="791"/>
      <c r="CW40" s="33"/>
      <c r="CX40" s="33"/>
      <c r="CY40" s="33"/>
      <c r="CZ40" s="33"/>
      <c r="DA40" s="33"/>
      <c r="DB40" s="33"/>
      <c r="DC40" s="33"/>
      <c r="DD40" s="33"/>
      <c r="DE40" s="790"/>
      <c r="DF40" s="791"/>
      <c r="DG40" s="33"/>
      <c r="DH40" s="33"/>
      <c r="DI40" s="33"/>
      <c r="DJ40" s="33"/>
      <c r="DK40" s="33"/>
      <c r="DL40" s="33"/>
      <c r="DM40" s="33"/>
      <c r="DN40" s="33"/>
      <c r="DO40" s="790"/>
      <c r="DP40" s="791"/>
      <c r="DQ40" s="33"/>
      <c r="DR40" s="33"/>
      <c r="DS40" s="33"/>
      <c r="DT40" s="33"/>
      <c r="DU40" s="33"/>
      <c r="DV40" s="33"/>
      <c r="DW40" s="33"/>
      <c r="DX40" s="33"/>
      <c r="DY40" s="790"/>
      <c r="DZ40" s="791"/>
      <c r="EA40" s="33"/>
      <c r="EB40" s="33"/>
      <c r="EC40" s="33"/>
      <c r="ED40" s="33"/>
      <c r="EE40" s="33"/>
      <c r="EF40" s="33"/>
      <c r="EG40" s="33"/>
      <c r="EH40" s="33"/>
      <c r="EI40" s="790"/>
      <c r="EJ40" s="791"/>
      <c r="EK40" s="33"/>
      <c r="EL40" s="33"/>
      <c r="EM40" s="33"/>
      <c r="EN40" s="33"/>
      <c r="EO40" s="33"/>
      <c r="EP40" s="33"/>
      <c r="EQ40" s="33"/>
      <c r="ER40" s="33"/>
      <c r="ES40" s="790"/>
      <c r="ET40" s="791"/>
      <c r="EU40" s="33"/>
      <c r="EV40" s="33"/>
      <c r="EW40" s="33"/>
      <c r="EX40" s="33"/>
      <c r="EY40" s="33"/>
      <c r="EZ40" s="33"/>
      <c r="FA40" s="33"/>
      <c r="FB40" s="33"/>
      <c r="FC40" s="790"/>
      <c r="FD40" s="791"/>
      <c r="FE40" s="33"/>
      <c r="FF40" s="33"/>
      <c r="FG40" s="33"/>
      <c r="FH40" s="33"/>
      <c r="FI40" s="33"/>
      <c r="FJ40" s="33"/>
      <c r="FK40" s="33"/>
      <c r="FL40" s="33"/>
      <c r="FM40" s="790"/>
      <c r="FN40" s="791"/>
      <c r="FO40" s="791"/>
      <c r="FP40" s="33"/>
      <c r="FQ40" s="33"/>
      <c r="FR40" s="33"/>
      <c r="FS40" s="33"/>
      <c r="FT40" s="33"/>
      <c r="FU40" s="33"/>
      <c r="FV40" s="791"/>
      <c r="FW40" s="791"/>
      <c r="FX40" s="791"/>
      <c r="FY40" s="791"/>
      <c r="FZ40" s="791"/>
      <c r="GA40" s="791"/>
      <c r="GB40" s="791"/>
      <c r="GC40" s="791"/>
      <c r="GD40" s="791"/>
      <c r="GE40" s="791"/>
      <c r="GF40" s="791"/>
      <c r="GG40" s="791"/>
      <c r="GH40" s="791"/>
      <c r="GI40" s="791"/>
      <c r="GJ40" s="33"/>
      <c r="GK40" s="33"/>
      <c r="GL40" s="33"/>
      <c r="GM40" s="33"/>
      <c r="GN40" s="791"/>
      <c r="GO40" s="791"/>
      <c r="GP40" s="791"/>
      <c r="GQ40" s="791"/>
      <c r="GR40" s="791"/>
      <c r="GS40" s="791"/>
      <c r="GT40" s="791"/>
      <c r="GU40" s="791"/>
      <c r="GV40" s="791"/>
      <c r="GW40" s="791"/>
      <c r="GX40" s="791"/>
      <c r="GY40" s="791"/>
      <c r="GZ40" s="791"/>
      <c r="HA40" s="791"/>
      <c r="HB40" s="791"/>
      <c r="HC40" s="791"/>
      <c r="HD40" s="791"/>
      <c r="HE40" s="791"/>
      <c r="HF40" s="791"/>
      <c r="HG40" s="791"/>
      <c r="HH40" s="791"/>
      <c r="HI40" s="791"/>
      <c r="HJ40" s="791"/>
      <c r="HK40" s="791"/>
      <c r="HL40" s="791"/>
      <c r="HM40" s="791"/>
      <c r="HN40" s="33"/>
      <c r="HO40" s="33"/>
      <c r="HP40" s="33"/>
      <c r="HQ40" s="33"/>
      <c r="HR40" s="33"/>
      <c r="HS40" s="33"/>
      <c r="HT40" s="33"/>
      <c r="HU40" s="33"/>
      <c r="HV40" s="33"/>
      <c r="HW40" s="33"/>
      <c r="HX40" s="33"/>
      <c r="HY40" s="33"/>
      <c r="HZ40" s="33"/>
      <c r="IA40" s="33"/>
      <c r="IB40" s="33"/>
      <c r="IC40" s="33"/>
      <c r="ID40" s="33"/>
      <c r="IE40" s="33"/>
      <c r="IF40" s="791"/>
      <c r="IG40" s="791"/>
      <c r="IH40" s="33"/>
      <c r="II40" s="33"/>
      <c r="IJ40" s="33"/>
      <c r="IK40" s="33"/>
      <c r="IL40" s="33"/>
      <c r="IM40" s="33"/>
      <c r="IN40" s="792"/>
      <c r="IO40" s="792"/>
      <c r="IP40" s="792"/>
      <c r="IQ40" s="788"/>
      <c r="IR40" s="792"/>
      <c r="IS40" s="792"/>
      <c r="IT40" s="792"/>
      <c r="IU40" s="792"/>
      <c r="IV40" s="792"/>
      <c r="IW40" s="792"/>
      <c r="IX40" s="507"/>
      <c r="IY40" s="193"/>
      <c r="IZ40" s="193"/>
      <c r="JA40" s="193"/>
      <c r="JB40" s="193"/>
      <c r="JC40" s="193"/>
      <c r="JD40" s="193"/>
      <c r="JE40" s="193"/>
      <c r="JF40" s="193"/>
      <c r="JG40" s="193"/>
      <c r="JH40" s="193"/>
      <c r="JI40" s="193"/>
      <c r="JJ40" s="193"/>
      <c r="JK40" s="193"/>
      <c r="JL40" s="193"/>
      <c r="JM40" s="193"/>
      <c r="JN40" s="193"/>
      <c r="JO40" s="193"/>
      <c r="JP40" s="193"/>
    </row>
    <row r="41" spans="2:276" x14ac:dyDescent="0.25">
      <c r="B41" s="2"/>
      <c r="C41" s="2"/>
      <c r="D41" s="2"/>
      <c r="E41" s="2"/>
      <c r="F41" s="2"/>
      <c r="G41" s="2"/>
      <c r="H41" s="2"/>
      <c r="I41" s="2"/>
      <c r="J41" s="2"/>
      <c r="K41" s="2"/>
      <c r="L41" s="2"/>
      <c r="M41" s="2"/>
      <c r="N41" s="2"/>
      <c r="O41" s="2"/>
      <c r="P41" s="2"/>
      <c r="Q41" s="2"/>
      <c r="R41" s="2"/>
      <c r="S41" s="2"/>
      <c r="T41" s="2"/>
      <c r="U41" s="2"/>
      <c r="V41" s="2"/>
      <c r="W41" s="2"/>
      <c r="X41" s="2"/>
      <c r="AS41" s="193"/>
      <c r="AT41" s="507"/>
      <c r="AU41" s="507"/>
      <c r="AV41" s="507"/>
      <c r="AW41" s="507"/>
      <c r="AX41" s="507"/>
      <c r="AY41" s="507"/>
      <c r="AZ41" s="507"/>
      <c r="BA41" s="507"/>
      <c r="BB41" s="507"/>
      <c r="BC41" s="507"/>
      <c r="BD41" s="507"/>
      <c r="BE41" s="507"/>
      <c r="BF41" s="507"/>
      <c r="BG41" s="507"/>
      <c r="BH41" s="786"/>
      <c r="BI41" s="787"/>
      <c r="BJ41" s="787"/>
      <c r="BK41" s="787"/>
      <c r="BL41" s="787"/>
      <c r="BM41" s="787"/>
      <c r="BN41" s="787"/>
      <c r="BO41" s="787"/>
      <c r="BP41" s="787"/>
      <c r="BQ41" s="787"/>
      <c r="BR41" s="786"/>
      <c r="BS41" s="787"/>
      <c r="BT41" s="787"/>
      <c r="BU41" s="787"/>
      <c r="BV41" s="787"/>
      <c r="BW41" s="787"/>
      <c r="BX41" s="787"/>
      <c r="BY41" s="787"/>
      <c r="BZ41" s="787"/>
      <c r="CA41" s="787"/>
      <c r="CB41" s="786"/>
      <c r="CC41" s="787"/>
      <c r="CD41" s="787"/>
      <c r="CE41" s="787"/>
      <c r="CF41" s="787"/>
      <c r="CG41" s="787"/>
      <c r="CH41" s="787"/>
      <c r="CI41" s="787"/>
      <c r="CJ41" s="787"/>
      <c r="CK41" s="787"/>
      <c r="CL41" s="786"/>
      <c r="CM41" s="787"/>
      <c r="CN41" s="787"/>
      <c r="CO41" s="787"/>
      <c r="CP41" s="787"/>
      <c r="CQ41" s="787"/>
      <c r="CR41" s="787"/>
      <c r="CS41" s="787"/>
      <c r="CT41" s="787"/>
      <c r="CU41" s="787"/>
      <c r="CV41" s="786"/>
      <c r="CW41" s="787"/>
      <c r="CX41" s="787"/>
      <c r="CY41" s="787"/>
      <c r="CZ41" s="787"/>
      <c r="DA41" s="787"/>
      <c r="DB41" s="787"/>
      <c r="DC41" s="787"/>
      <c r="DD41" s="787"/>
      <c r="DE41" s="787"/>
      <c r="DF41" s="786"/>
      <c r="DG41" s="787"/>
      <c r="DH41" s="787"/>
      <c r="DI41" s="787"/>
      <c r="DJ41" s="787"/>
      <c r="DK41" s="787"/>
      <c r="DL41" s="787"/>
      <c r="DM41" s="787"/>
      <c r="DN41" s="787"/>
      <c r="DO41" s="787"/>
      <c r="DP41" s="786"/>
      <c r="DQ41" s="787"/>
      <c r="DR41" s="787"/>
      <c r="DS41" s="787"/>
      <c r="DT41" s="787"/>
      <c r="DU41" s="787"/>
      <c r="DV41" s="787"/>
      <c r="DW41" s="787"/>
      <c r="DX41" s="787"/>
      <c r="DY41" s="787"/>
      <c r="DZ41" s="786"/>
      <c r="EA41" s="787"/>
      <c r="EB41" s="787"/>
      <c r="EC41" s="787"/>
      <c r="ED41" s="787"/>
      <c r="EE41" s="787"/>
      <c r="EF41" s="787"/>
      <c r="EG41" s="787"/>
      <c r="EH41" s="787"/>
      <c r="EI41" s="787"/>
      <c r="EJ41" s="786"/>
      <c r="EK41" s="787"/>
      <c r="EL41" s="787"/>
      <c r="EM41" s="787"/>
      <c r="EN41" s="787"/>
      <c r="EO41" s="787"/>
      <c r="EP41" s="787"/>
      <c r="EQ41" s="787"/>
      <c r="ER41" s="787"/>
      <c r="ES41" s="787"/>
      <c r="ET41" s="786"/>
      <c r="EU41" s="787"/>
      <c r="EV41" s="787"/>
      <c r="EW41" s="787"/>
      <c r="EX41" s="787"/>
      <c r="EY41" s="787"/>
      <c r="EZ41" s="787"/>
      <c r="FA41" s="787"/>
      <c r="FB41" s="787"/>
      <c r="FC41" s="787"/>
      <c r="FD41" s="786"/>
      <c r="FE41" s="787"/>
      <c r="FF41" s="787"/>
      <c r="FG41" s="787"/>
      <c r="FH41" s="787"/>
      <c r="FI41" s="787"/>
      <c r="FJ41" s="787"/>
      <c r="FK41" s="787"/>
      <c r="FL41" s="787"/>
      <c r="FM41" s="787"/>
      <c r="FN41" s="786"/>
      <c r="FO41" s="787"/>
      <c r="FP41" s="787"/>
      <c r="FQ41" s="787"/>
      <c r="FR41" s="787"/>
      <c r="FS41" s="787"/>
      <c r="FT41" s="787"/>
      <c r="FU41" s="787"/>
      <c r="FV41" s="791"/>
      <c r="FW41" s="791"/>
      <c r="FX41" s="791"/>
      <c r="FY41" s="791"/>
      <c r="FZ41" s="791"/>
      <c r="GA41" s="791"/>
      <c r="GB41" s="791"/>
      <c r="GC41" s="791"/>
      <c r="GD41" s="791"/>
      <c r="GE41" s="791"/>
      <c r="GF41" s="791"/>
      <c r="GG41" s="791"/>
      <c r="GH41" s="786"/>
      <c r="GI41" s="787"/>
      <c r="GJ41" s="787"/>
      <c r="GK41" s="787"/>
      <c r="GL41" s="787"/>
      <c r="GM41" s="787"/>
      <c r="GN41" s="791"/>
      <c r="GO41" s="791"/>
      <c r="GP41" s="791"/>
      <c r="GQ41" s="791"/>
      <c r="GR41" s="791"/>
      <c r="GS41" s="791"/>
      <c r="GT41" s="791"/>
      <c r="GU41" s="791"/>
      <c r="GV41" s="791"/>
      <c r="GW41" s="791"/>
      <c r="GX41" s="791"/>
      <c r="GY41" s="791"/>
      <c r="GZ41" s="791"/>
      <c r="HA41" s="791"/>
      <c r="HB41" s="791"/>
      <c r="HC41" s="791"/>
      <c r="HD41" s="791"/>
      <c r="HE41" s="791"/>
      <c r="HF41" s="791"/>
      <c r="HG41" s="791"/>
      <c r="HH41" s="791"/>
      <c r="HI41" s="791"/>
      <c r="HJ41" s="791"/>
      <c r="HK41" s="791"/>
      <c r="HL41" s="786"/>
      <c r="HM41" s="787"/>
      <c r="HN41" s="787"/>
      <c r="HO41" s="787"/>
      <c r="HP41" s="787"/>
      <c r="HQ41" s="787"/>
      <c r="HR41" s="787"/>
      <c r="HS41" s="787"/>
      <c r="HT41" s="33"/>
      <c r="HU41" s="33"/>
      <c r="HV41" s="33"/>
      <c r="HW41" s="33"/>
      <c r="HX41" s="33"/>
      <c r="HY41" s="33"/>
      <c r="HZ41" s="33"/>
      <c r="IA41" s="33"/>
      <c r="IB41" s="33"/>
      <c r="IC41" s="33"/>
      <c r="ID41" s="33"/>
      <c r="IE41" s="33"/>
      <c r="IF41" s="786"/>
      <c r="IG41" s="787"/>
      <c r="IH41" s="787"/>
      <c r="II41" s="787"/>
      <c r="IJ41" s="787"/>
      <c r="IK41" s="787"/>
      <c r="IL41" s="787"/>
      <c r="IM41" s="787"/>
      <c r="IN41" s="507"/>
      <c r="IO41" s="507"/>
      <c r="IP41" s="507"/>
      <c r="IQ41" s="507"/>
      <c r="IR41" s="507"/>
      <c r="IS41" s="507"/>
      <c r="IT41" s="507"/>
      <c r="IU41" s="507"/>
      <c r="IV41" s="507"/>
      <c r="IW41" s="507"/>
      <c r="IX41" s="507"/>
      <c r="IY41" s="193"/>
      <c r="IZ41" s="193"/>
      <c r="JA41" s="193"/>
      <c r="JB41" s="193"/>
      <c r="JC41" s="193"/>
      <c r="JD41" s="193"/>
      <c r="JE41" s="193"/>
      <c r="JF41" s="193"/>
      <c r="JG41" s="193"/>
      <c r="JH41" s="193"/>
      <c r="JI41" s="193"/>
      <c r="JJ41" s="193"/>
      <c r="JK41" s="193"/>
      <c r="JL41" s="193"/>
      <c r="JM41" s="193"/>
      <c r="JN41" s="193"/>
      <c r="JO41" s="193"/>
      <c r="JP41" s="193"/>
    </row>
    <row r="42" spans="2:276" ht="15.75" thickBot="1" x14ac:dyDescent="0.3">
      <c r="B42" s="2"/>
      <c r="C42" s="2"/>
      <c r="D42" s="2"/>
      <c r="E42" s="2"/>
      <c r="F42" s="2"/>
      <c r="G42" s="2"/>
      <c r="H42" s="2"/>
      <c r="I42" s="2"/>
      <c r="J42" s="2"/>
      <c r="K42" s="2"/>
      <c r="L42" s="2"/>
      <c r="M42" s="2"/>
      <c r="N42" s="2"/>
      <c r="O42" s="2"/>
      <c r="P42" s="2"/>
      <c r="Q42" s="2"/>
      <c r="R42" s="2"/>
      <c r="S42" s="2"/>
      <c r="T42" s="2"/>
      <c r="U42" s="2"/>
      <c r="V42" s="2"/>
      <c r="W42" s="2"/>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c r="IZ42" s="193"/>
      <c r="JA42" s="193"/>
      <c r="JB42" s="193"/>
      <c r="JC42" s="193"/>
      <c r="JD42" s="193"/>
      <c r="JE42" s="193"/>
      <c r="JF42" s="193"/>
      <c r="JG42" s="193"/>
      <c r="JH42" s="193"/>
      <c r="JI42" s="193"/>
      <c r="JJ42" s="193"/>
      <c r="JK42" s="193"/>
      <c r="JL42" s="193"/>
      <c r="JM42" s="193"/>
      <c r="JN42" s="193"/>
      <c r="JO42" s="193"/>
      <c r="JP42" s="193"/>
    </row>
    <row r="43" spans="2:276" ht="24" thickBot="1" x14ac:dyDescent="0.4">
      <c r="B43" s="635" t="s">
        <v>339</v>
      </c>
      <c r="C43" s="460"/>
      <c r="D43" s="460"/>
      <c r="E43" s="460"/>
      <c r="F43" s="461"/>
      <c r="G43" s="193"/>
      <c r="H43" s="193"/>
      <c r="I43" s="193"/>
      <c r="J43" s="193"/>
      <c r="K43" s="193"/>
      <c r="L43" s="193"/>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AS43" s="193"/>
      <c r="AT43" s="193"/>
      <c r="AU43" s="193"/>
      <c r="AV43" s="193"/>
      <c r="AW43" s="193"/>
      <c r="AX43" s="193"/>
      <c r="AY43" s="193"/>
      <c r="AZ43" s="193"/>
      <c r="BA43" s="193"/>
      <c r="BB43" s="193"/>
      <c r="BC43" s="193"/>
      <c r="BD43" s="193"/>
      <c r="BE43" s="193"/>
      <c r="BF43" s="787"/>
      <c r="BG43" s="787"/>
      <c r="BH43" s="787"/>
      <c r="BI43" s="787"/>
      <c r="BJ43" s="787"/>
      <c r="BK43" s="787"/>
      <c r="BL43" s="787"/>
      <c r="BM43" s="787"/>
      <c r="BN43" s="786"/>
      <c r="BO43" s="787"/>
      <c r="BP43" s="787"/>
      <c r="BQ43" s="787"/>
      <c r="BR43" s="787"/>
      <c r="BS43" s="787"/>
      <c r="BT43" s="787"/>
      <c r="BU43" s="787"/>
      <c r="BV43" s="787"/>
      <c r="BW43" s="787"/>
      <c r="BX43" s="786"/>
      <c r="BY43" s="787"/>
      <c r="BZ43" s="787"/>
      <c r="CA43" s="787"/>
      <c r="CB43" s="787"/>
      <c r="CC43" s="787"/>
      <c r="CD43" s="787"/>
      <c r="CE43" s="787"/>
      <c r="CF43" s="787"/>
      <c r="CG43" s="787"/>
      <c r="CH43" s="786"/>
      <c r="CI43" s="787"/>
      <c r="CJ43" s="787"/>
      <c r="CK43" s="787"/>
      <c r="CL43" s="787"/>
      <c r="CM43" s="787"/>
      <c r="CN43" s="787"/>
      <c r="CO43" s="787"/>
      <c r="CP43" s="787"/>
      <c r="CQ43" s="787"/>
      <c r="CR43" s="786"/>
      <c r="CS43" s="787"/>
      <c r="CT43" s="787"/>
      <c r="CU43" s="787"/>
      <c r="CV43" s="787"/>
      <c r="CW43" s="787"/>
      <c r="CX43" s="787"/>
      <c r="CY43" s="787"/>
      <c r="CZ43" s="787"/>
      <c r="DA43" s="787"/>
      <c r="DB43" s="786"/>
      <c r="DC43" s="787"/>
      <c r="DD43" s="787"/>
      <c r="DE43" s="787"/>
      <c r="DF43" s="787"/>
      <c r="DG43" s="787"/>
      <c r="DH43" s="787"/>
      <c r="DI43" s="787"/>
      <c r="DJ43" s="787"/>
      <c r="DK43" s="787"/>
      <c r="DL43" s="786"/>
      <c r="DM43" s="787"/>
      <c r="DN43" s="787"/>
      <c r="DO43" s="787"/>
      <c r="DP43" s="787"/>
      <c r="DQ43" s="787"/>
      <c r="DR43" s="787"/>
      <c r="DS43" s="787"/>
      <c r="DT43" s="787"/>
      <c r="DU43" s="787"/>
      <c r="DV43" s="786"/>
      <c r="DW43" s="787"/>
      <c r="DX43" s="787"/>
      <c r="DY43" s="787"/>
      <c r="DZ43" s="787"/>
      <c r="EA43" s="787"/>
      <c r="EB43" s="787"/>
      <c r="EC43" s="787"/>
      <c r="ED43" s="787"/>
      <c r="EE43" s="787"/>
      <c r="EF43" s="786"/>
      <c r="EG43" s="787"/>
      <c r="EH43" s="787"/>
      <c r="EI43" s="787"/>
      <c r="EJ43" s="787"/>
      <c r="EK43" s="787"/>
      <c r="EL43" s="787"/>
      <c r="EM43" s="787"/>
      <c r="EN43" s="787"/>
      <c r="EO43" s="787"/>
      <c r="EP43" s="786"/>
      <c r="EQ43" s="787"/>
      <c r="ER43" s="787"/>
      <c r="ES43" s="787"/>
      <c r="ET43" s="787"/>
      <c r="EU43" s="787"/>
      <c r="EV43" s="787"/>
      <c r="EW43" s="787"/>
      <c r="EX43" s="787"/>
      <c r="EY43" s="787"/>
      <c r="EZ43" s="786"/>
      <c r="FA43" s="787"/>
      <c r="FB43" s="787"/>
      <c r="FC43" s="787"/>
      <c r="FD43" s="787"/>
      <c r="FE43" s="787"/>
      <c r="FF43" s="787"/>
      <c r="FG43" s="787"/>
      <c r="FH43" s="787"/>
      <c r="FI43" s="787"/>
      <c r="FJ43" s="786"/>
      <c r="FK43" s="787"/>
      <c r="FL43" s="787"/>
      <c r="FM43" s="787"/>
      <c r="FN43" s="787"/>
      <c r="FO43" s="787"/>
      <c r="FP43" s="787"/>
      <c r="FQ43" s="787"/>
      <c r="FR43" s="787"/>
      <c r="FS43" s="787"/>
      <c r="FT43" s="786"/>
      <c r="FU43" s="787"/>
      <c r="FV43" s="787"/>
      <c r="FW43" s="787"/>
      <c r="FX43" s="787"/>
      <c r="FY43" s="787"/>
      <c r="FZ43" s="787"/>
      <c r="GA43" s="787"/>
      <c r="GB43" s="787"/>
      <c r="GC43" s="787"/>
      <c r="GD43" s="786"/>
      <c r="GE43" s="787"/>
      <c r="GF43" s="787"/>
      <c r="GG43" s="787"/>
      <c r="GH43" s="787"/>
      <c r="GI43" s="787"/>
      <c r="GJ43" s="787"/>
      <c r="GK43" s="787"/>
      <c r="GL43" s="787"/>
      <c r="GM43" s="787"/>
      <c r="GN43" s="786"/>
      <c r="GO43" s="787"/>
      <c r="GP43" s="787"/>
      <c r="GQ43" s="787"/>
      <c r="GR43" s="787"/>
      <c r="GS43" s="787"/>
      <c r="GT43" s="787"/>
      <c r="GU43" s="787"/>
      <c r="GV43" s="507"/>
      <c r="GW43" s="507"/>
      <c r="GX43" s="507"/>
      <c r="GY43" s="507"/>
      <c r="GZ43" s="507"/>
      <c r="HA43" s="507"/>
      <c r="HB43" s="507"/>
      <c r="HC43" s="507"/>
      <c r="HD43" s="507"/>
      <c r="HE43" s="507"/>
      <c r="HF43" s="507"/>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c r="IW43" s="193"/>
      <c r="IX43" s="193"/>
      <c r="IY43" s="193"/>
      <c r="IZ43" s="193"/>
      <c r="JA43" s="193"/>
      <c r="JB43" s="193"/>
      <c r="JC43" s="193"/>
      <c r="JD43" s="193"/>
      <c r="JE43" s="193"/>
      <c r="JF43" s="193"/>
      <c r="JG43" s="193"/>
      <c r="JH43" s="193"/>
      <c r="JI43" s="193"/>
      <c r="JJ43" s="193"/>
      <c r="JK43" s="193"/>
      <c r="JL43" s="193"/>
      <c r="JM43" s="193"/>
      <c r="JN43" s="193"/>
      <c r="JO43" s="193"/>
      <c r="JP43" s="193"/>
    </row>
    <row r="44" spans="2:276" ht="19.5" thickBot="1" x14ac:dyDescent="0.35">
      <c r="B44" s="636" t="s">
        <v>181</v>
      </c>
      <c r="C44" s="637" t="e">
        <f>C3+5.955+2.045</f>
        <v>#VALUE!</v>
      </c>
      <c r="D44" s="515"/>
      <c r="E44" s="515"/>
      <c r="F44" s="638"/>
      <c r="G44" s="193"/>
      <c r="H44" s="193"/>
      <c r="I44" s="193"/>
      <c r="J44" s="193"/>
      <c r="K44" s="193"/>
      <c r="L44" s="193"/>
      <c r="N44" s="994"/>
      <c r="O44" s="155"/>
      <c r="P44" s="75"/>
      <c r="Q44" s="156">
        <v>9</v>
      </c>
      <c r="R44" s="157">
        <v>12</v>
      </c>
      <c r="S44" s="157">
        <f t="shared" ref="S44:AJ44" si="0">R44+6</f>
        <v>18</v>
      </c>
      <c r="T44" s="157">
        <f t="shared" si="0"/>
        <v>24</v>
      </c>
      <c r="U44" s="157">
        <f t="shared" si="0"/>
        <v>30</v>
      </c>
      <c r="V44" s="157">
        <f t="shared" si="0"/>
        <v>36</v>
      </c>
      <c r="W44" s="157">
        <f t="shared" si="0"/>
        <v>42</v>
      </c>
      <c r="X44" s="158">
        <f t="shared" si="0"/>
        <v>48</v>
      </c>
      <c r="Y44" s="157">
        <f t="shared" si="0"/>
        <v>54</v>
      </c>
      <c r="Z44" s="157">
        <f t="shared" si="0"/>
        <v>60</v>
      </c>
      <c r="AA44" s="157">
        <f t="shared" si="0"/>
        <v>66</v>
      </c>
      <c r="AB44" s="157">
        <f t="shared" si="0"/>
        <v>72</v>
      </c>
      <c r="AC44" s="157">
        <f t="shared" si="0"/>
        <v>78</v>
      </c>
      <c r="AD44" s="158">
        <f t="shared" si="0"/>
        <v>84</v>
      </c>
      <c r="AE44" s="157">
        <f t="shared" si="0"/>
        <v>90</v>
      </c>
      <c r="AF44" s="157">
        <f t="shared" si="0"/>
        <v>96</v>
      </c>
      <c r="AG44" s="157">
        <f t="shared" si="0"/>
        <v>102</v>
      </c>
      <c r="AH44" s="157">
        <f t="shared" si="0"/>
        <v>108</v>
      </c>
      <c r="AI44" s="157">
        <f t="shared" si="0"/>
        <v>114</v>
      </c>
      <c r="AJ44" s="158">
        <f t="shared" si="0"/>
        <v>120</v>
      </c>
      <c r="AK44" s="74"/>
      <c r="AL44" s="74"/>
      <c r="AM44" s="74"/>
      <c r="AN44" s="74"/>
      <c r="AO44" s="74"/>
      <c r="AP44" s="74"/>
      <c r="AQ44" s="75"/>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c r="DT44" s="193"/>
      <c r="DU44" s="193"/>
      <c r="DV44" s="193"/>
      <c r="DW44" s="193"/>
      <c r="DX44" s="193"/>
      <c r="DY44" s="193"/>
      <c r="DZ44" s="193"/>
      <c r="EA44" s="193"/>
      <c r="EB44" s="193"/>
      <c r="EC44" s="193"/>
      <c r="ED44" s="193"/>
      <c r="EE44" s="193"/>
      <c r="EF44" s="193"/>
      <c r="EG44" s="193"/>
      <c r="EH44" s="193"/>
      <c r="EI44" s="193"/>
      <c r="EJ44" s="193"/>
      <c r="EK44" s="193"/>
      <c r="EL44" s="193"/>
      <c r="EM44" s="193"/>
      <c r="EN44" s="193"/>
      <c r="EO44" s="193"/>
      <c r="EP44" s="193"/>
      <c r="EQ44" s="193"/>
      <c r="ER44" s="193"/>
      <c r="ES44" s="193"/>
      <c r="ET44" s="193"/>
      <c r="EU44" s="193"/>
      <c r="EV44" s="193"/>
      <c r="EW44" s="193"/>
      <c r="EX44" s="193"/>
      <c r="EY44" s="193"/>
      <c r="EZ44" s="193"/>
      <c r="FA44" s="193"/>
      <c r="FB44" s="193"/>
      <c r="FC44" s="193"/>
      <c r="FD44" s="193"/>
      <c r="FE44" s="193"/>
      <c r="FF44" s="193"/>
      <c r="FG44" s="193"/>
      <c r="FH44" s="193"/>
      <c r="FI44" s="193"/>
      <c r="FJ44" s="193"/>
      <c r="FK44" s="193"/>
      <c r="FL44" s="193"/>
      <c r="FM44" s="193"/>
      <c r="FN44" s="193"/>
      <c r="FO44" s="193"/>
      <c r="FP44" s="193"/>
      <c r="FQ44" s="193"/>
      <c r="FR44" s="193"/>
      <c r="FS44" s="193"/>
      <c r="FT44" s="193"/>
      <c r="FU44" s="193"/>
      <c r="FV44" s="193"/>
      <c r="FW44" s="193"/>
      <c r="FX44" s="193"/>
      <c r="FY44" s="193"/>
      <c r="FZ44" s="193"/>
      <c r="GA44" s="193"/>
      <c r="GB44" s="193"/>
      <c r="GC44" s="193"/>
      <c r="GD44" s="193"/>
      <c r="GE44" s="193"/>
      <c r="GF44" s="193"/>
      <c r="GG44" s="193"/>
      <c r="GH44" s="193"/>
      <c r="GI44" s="193"/>
      <c r="GJ44" s="193"/>
      <c r="GK44" s="193"/>
      <c r="GL44" s="193"/>
      <c r="GM44" s="193"/>
      <c r="GN44" s="193"/>
      <c r="GO44" s="193"/>
      <c r="GP44" s="193"/>
      <c r="GQ44" s="193"/>
      <c r="GR44" s="193"/>
      <c r="GS44" s="193"/>
      <c r="GT44" s="193"/>
      <c r="GU44" s="193"/>
      <c r="GV44" s="193"/>
      <c r="GW44" s="193"/>
      <c r="GX44" s="193"/>
      <c r="GY44" s="193"/>
      <c r="GZ44" s="193"/>
      <c r="HA44" s="193"/>
      <c r="HB44" s="193"/>
      <c r="HC44" s="193"/>
      <c r="HD44" s="193"/>
      <c r="HE44" s="193"/>
      <c r="HF44" s="193"/>
      <c r="HG44" s="193"/>
      <c r="HH44" s="193"/>
      <c r="HI44" s="193"/>
      <c r="HJ44" s="193"/>
      <c r="HK44" s="193"/>
      <c r="HL44" s="193"/>
      <c r="HM44" s="193"/>
      <c r="HN44" s="193"/>
      <c r="HO44" s="193"/>
      <c r="HP44" s="193"/>
      <c r="HQ44" s="193"/>
      <c r="HR44" s="193"/>
      <c r="HS44" s="193"/>
      <c r="HT44" s="193"/>
      <c r="HU44" s="193"/>
      <c r="HV44" s="193"/>
      <c r="HW44" s="193"/>
      <c r="HX44" s="193"/>
      <c r="HY44" s="193"/>
      <c r="HZ44" s="193"/>
      <c r="IA44" s="193"/>
      <c r="IB44" s="193"/>
      <c r="IC44" s="193"/>
      <c r="ID44" s="193"/>
      <c r="IE44" s="193"/>
      <c r="IF44" s="193"/>
      <c r="IG44" s="193"/>
      <c r="IH44" s="193"/>
      <c r="II44" s="193"/>
      <c r="IJ44" s="193"/>
      <c r="IK44" s="193"/>
      <c r="IL44" s="193"/>
      <c r="IM44" s="193"/>
      <c r="IN44" s="193"/>
      <c r="IO44" s="193"/>
      <c r="IP44" s="193"/>
      <c r="IQ44" s="193"/>
      <c r="IR44" s="193"/>
      <c r="IS44" s="193"/>
      <c r="IT44" s="193"/>
      <c r="IU44" s="193"/>
      <c r="IV44" s="193"/>
      <c r="IW44" s="193"/>
      <c r="IX44" s="193"/>
      <c r="IY44" s="193"/>
      <c r="IZ44" s="193"/>
      <c r="JA44" s="193"/>
      <c r="JB44" s="193"/>
      <c r="JC44" s="193"/>
      <c r="JD44" s="193"/>
      <c r="JE44" s="193"/>
      <c r="JF44" s="193"/>
      <c r="JG44" s="193"/>
      <c r="JH44" s="193"/>
      <c r="JI44" s="193"/>
      <c r="JJ44" s="193"/>
      <c r="JK44" s="193"/>
      <c r="JL44" s="193"/>
      <c r="JM44" s="193"/>
      <c r="JN44" s="193"/>
      <c r="JO44" s="193"/>
      <c r="JP44" s="193"/>
    </row>
    <row r="45" spans="2:276" ht="18.75" customHeight="1" thickBot="1" x14ac:dyDescent="0.35">
      <c r="B45" s="639" t="s">
        <v>39</v>
      </c>
      <c r="C45" s="906" t="e">
        <f>VALUE(FIXED(C5,2))</f>
        <v>#VALUE!</v>
      </c>
      <c r="D45" s="40"/>
      <c r="E45" s="471"/>
      <c r="F45" s="641"/>
      <c r="G45" s="193"/>
      <c r="H45" s="193"/>
      <c r="I45" s="193"/>
      <c r="J45" s="193"/>
      <c r="K45" s="193"/>
      <c r="L45" s="193"/>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H45" s="193"/>
      <c r="CI45" s="193"/>
      <c r="CJ45" s="193"/>
      <c r="CK45" s="193"/>
      <c r="CL45" s="193"/>
      <c r="CM45" s="193"/>
      <c r="CN45" s="193"/>
      <c r="CO45" s="193"/>
      <c r="CP45" s="193"/>
      <c r="CQ45" s="193"/>
      <c r="CR45" s="193"/>
      <c r="CS45" s="193"/>
      <c r="CT45" s="193"/>
      <c r="CU45" s="193"/>
      <c r="CV45" s="193"/>
      <c r="CW45" s="193"/>
      <c r="CX45" s="193"/>
      <c r="CY45" s="193"/>
      <c r="CZ45" s="193"/>
      <c r="DA45" s="193"/>
      <c r="DB45" s="193"/>
      <c r="DC45" s="193"/>
      <c r="DD45" s="193"/>
      <c r="DE45" s="193"/>
      <c r="DF45" s="193"/>
      <c r="DG45" s="193"/>
      <c r="DH45" s="193"/>
      <c r="DI45" s="193"/>
      <c r="DJ45" s="193"/>
      <c r="DK45" s="193"/>
      <c r="DL45" s="193"/>
      <c r="DM45" s="193"/>
      <c r="DN45" s="193"/>
      <c r="DO45" s="193"/>
      <c r="DP45" s="193"/>
      <c r="DQ45" s="193"/>
      <c r="DR45" s="193"/>
      <c r="DS45" s="193"/>
      <c r="DT45" s="193"/>
      <c r="DU45" s="193"/>
      <c r="DV45" s="193"/>
      <c r="DW45" s="193"/>
      <c r="DX45" s="193"/>
      <c r="DY45" s="193"/>
      <c r="DZ45" s="193"/>
      <c r="EA45" s="193"/>
      <c r="EB45" s="193"/>
      <c r="EC45" s="193"/>
      <c r="ED45" s="193"/>
      <c r="EE45" s="193"/>
      <c r="EF45" s="193"/>
      <c r="EG45" s="193"/>
      <c r="EH45" s="193"/>
      <c r="EI45" s="193"/>
      <c r="EJ45" s="193"/>
      <c r="EK45" s="193"/>
      <c r="EL45" s="193"/>
      <c r="EM45" s="193"/>
      <c r="EN45" s="193"/>
      <c r="EO45" s="193"/>
      <c r="EP45" s="193"/>
      <c r="EQ45" s="193"/>
      <c r="ER45" s="193"/>
      <c r="ES45" s="193"/>
      <c r="ET45" s="193"/>
      <c r="EU45" s="193"/>
      <c r="EV45" s="193"/>
      <c r="EW45" s="193"/>
      <c r="EX45" s="193"/>
      <c r="EY45" s="193"/>
      <c r="EZ45" s="193"/>
      <c r="FA45" s="193"/>
      <c r="FB45" s="193"/>
      <c r="FC45" s="193"/>
      <c r="FD45" s="193"/>
      <c r="FE45" s="193"/>
      <c r="FF45" s="193"/>
      <c r="FG45" s="193"/>
      <c r="FH45" s="424"/>
      <c r="FI45" s="193"/>
      <c r="FJ45" s="193"/>
      <c r="FK45" s="193"/>
      <c r="FL45" s="193"/>
      <c r="FM45" s="193"/>
      <c r="FN45" s="193"/>
      <c r="FO45" s="193"/>
      <c r="FP45" s="193"/>
      <c r="FQ45" s="193"/>
      <c r="FR45" s="193"/>
      <c r="FS45" s="193"/>
      <c r="FT45" s="193"/>
      <c r="FU45" s="193"/>
      <c r="FV45" s="193"/>
      <c r="FW45" s="193"/>
      <c r="FX45" s="193"/>
      <c r="FY45" s="193"/>
      <c r="FZ45" s="193"/>
      <c r="GA45" s="193"/>
      <c r="GB45" s="193"/>
      <c r="GC45" s="193"/>
      <c r="GD45" s="193"/>
      <c r="GE45" s="193"/>
      <c r="GF45" s="193"/>
      <c r="GG45" s="193"/>
      <c r="GH45" s="193"/>
      <c r="GI45" s="193"/>
      <c r="GJ45" s="193"/>
      <c r="GK45" s="193"/>
      <c r="GL45" s="193"/>
      <c r="GM45" s="193"/>
      <c r="GN45" s="193"/>
      <c r="GO45" s="193"/>
      <c r="GP45" s="193"/>
      <c r="GQ45" s="193"/>
      <c r="GR45" s="193"/>
      <c r="GS45" s="193"/>
      <c r="GT45" s="193"/>
      <c r="GU45" s="193"/>
      <c r="GV45" s="193"/>
      <c r="GW45" s="193"/>
      <c r="GX45" s="193"/>
      <c r="GY45" s="193"/>
      <c r="GZ45" s="193"/>
      <c r="HA45" s="193"/>
      <c r="HB45" s="193"/>
      <c r="HC45" s="193"/>
      <c r="HD45" s="193"/>
      <c r="HE45" s="193"/>
      <c r="HF45" s="193"/>
      <c r="HG45" s="193"/>
      <c r="HH45" s="193"/>
      <c r="HI45" s="193"/>
      <c r="HJ45" s="193"/>
      <c r="HK45" s="193"/>
      <c r="HL45" s="193"/>
      <c r="HM45" s="193"/>
      <c r="HN45" s="193"/>
      <c r="HO45" s="193"/>
      <c r="HP45" s="193"/>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193"/>
      <c r="IN45" s="193"/>
      <c r="IO45" s="193"/>
      <c r="IP45" s="193"/>
      <c r="IQ45" s="193"/>
      <c r="IR45" s="193"/>
      <c r="IS45" s="193"/>
      <c r="IT45" s="193"/>
      <c r="IU45" s="193"/>
      <c r="IV45" s="193"/>
      <c r="IW45" s="193"/>
      <c r="IX45" s="193"/>
      <c r="IY45" s="193"/>
      <c r="IZ45" s="193"/>
      <c r="JA45" s="193"/>
      <c r="JB45" s="193"/>
      <c r="JC45" s="193"/>
      <c r="JD45" s="193"/>
      <c r="JE45" s="193"/>
      <c r="JF45" s="193"/>
      <c r="JG45" s="193"/>
      <c r="JH45" s="193"/>
      <c r="JI45" s="193"/>
      <c r="JJ45" s="193"/>
      <c r="JK45" s="193"/>
      <c r="JL45" s="193"/>
      <c r="JM45" s="193"/>
      <c r="JN45" s="193"/>
      <c r="JO45" s="193"/>
      <c r="JP45" s="193"/>
    </row>
    <row r="46" spans="2:276" ht="15.75" customHeight="1" thickBot="1" x14ac:dyDescent="0.4">
      <c r="B46" s="642" t="s">
        <v>63</v>
      </c>
      <c r="C46" s="471"/>
      <c r="D46" s="471"/>
      <c r="E46" s="471"/>
      <c r="F46" s="641"/>
      <c r="G46" s="193"/>
      <c r="H46" s="193"/>
      <c r="I46" s="193"/>
      <c r="J46" s="193"/>
      <c r="K46" s="193"/>
      <c r="L46" s="193"/>
      <c r="N46" s="484"/>
      <c r="O46" s="423">
        <v>15.72</v>
      </c>
      <c r="P46" s="183">
        <v>2</v>
      </c>
      <c r="Q46" s="490"/>
      <c r="R46" s="298">
        <v>2.91</v>
      </c>
      <c r="S46" s="298">
        <v>4.7300000000000004</v>
      </c>
      <c r="T46" s="298">
        <v>6.55</v>
      </c>
      <c r="U46" s="298">
        <v>8.3699999999999992</v>
      </c>
      <c r="V46" s="298">
        <v>10.199999999999999</v>
      </c>
      <c r="W46" s="298">
        <v>12.02</v>
      </c>
      <c r="X46" s="298">
        <v>13.84</v>
      </c>
      <c r="Y46" s="298">
        <v>15.66</v>
      </c>
      <c r="Z46" s="298">
        <v>17.489999999999998</v>
      </c>
      <c r="AA46" s="633">
        <v>19.309999999999999</v>
      </c>
      <c r="AB46" s="670">
        <f>AA46+1.82</f>
        <v>21.13</v>
      </c>
      <c r="AC46" s="670">
        <f t="shared" ref="AC46:AJ46" si="1">AB46+1.82</f>
        <v>22.95</v>
      </c>
      <c r="AD46" s="670">
        <f t="shared" si="1"/>
        <v>24.77</v>
      </c>
      <c r="AE46" s="670">
        <f t="shared" si="1"/>
        <v>26.59</v>
      </c>
      <c r="AF46" s="670">
        <f t="shared" si="1"/>
        <v>28.41</v>
      </c>
      <c r="AG46" s="670">
        <f t="shared" si="1"/>
        <v>30.23</v>
      </c>
      <c r="AH46" s="670">
        <f t="shared" si="1"/>
        <v>32.049999999999997</v>
      </c>
      <c r="AI46" s="670">
        <f t="shared" si="1"/>
        <v>33.869999999999997</v>
      </c>
      <c r="AJ46" s="670">
        <f t="shared" si="1"/>
        <v>35.69</v>
      </c>
      <c r="AK46" s="114"/>
      <c r="AL46" s="114"/>
      <c r="AM46" s="114"/>
      <c r="AN46" s="114"/>
      <c r="AO46" s="114"/>
      <c r="AP46" s="114"/>
      <c r="AQ46" s="120"/>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431"/>
      <c r="IT46" s="193"/>
      <c r="IU46" s="193"/>
      <c r="IV46" s="193"/>
      <c r="IW46" s="193"/>
      <c r="IX46" s="193"/>
      <c r="IY46" s="193"/>
      <c r="IZ46" s="193"/>
      <c r="JA46" s="193"/>
      <c r="JB46" s="193"/>
      <c r="JC46" s="193"/>
      <c r="JD46" s="193"/>
      <c r="JE46" s="193"/>
      <c r="JF46" s="193"/>
      <c r="JG46" s="193"/>
      <c r="JH46" s="193"/>
      <c r="JI46" s="193"/>
      <c r="JJ46" s="193"/>
      <c r="JK46" s="193"/>
      <c r="JL46" s="193"/>
      <c r="JM46" s="193"/>
      <c r="JN46" s="193"/>
      <c r="JO46" s="193"/>
      <c r="JP46" s="193"/>
    </row>
    <row r="47" spans="2:276" ht="15" customHeight="1" thickBot="1" x14ac:dyDescent="0.3">
      <c r="B47" s="643"/>
      <c r="C47" s="40"/>
      <c r="D47" s="471"/>
      <c r="E47" s="471"/>
      <c r="F47" s="654"/>
      <c r="G47" s="193"/>
      <c r="H47" s="193"/>
      <c r="I47" s="193"/>
      <c r="J47" s="193"/>
      <c r="K47" s="193"/>
      <c r="L47" s="193"/>
      <c r="N47" s="136"/>
      <c r="O47" s="423">
        <v>20.72</v>
      </c>
      <c r="P47" s="184">
        <v>3</v>
      </c>
      <c r="Q47" s="491"/>
      <c r="R47" s="298">
        <v>3.65</v>
      </c>
      <c r="S47" s="298">
        <v>5.85</v>
      </c>
      <c r="T47" s="298">
        <v>8.0500000000000007</v>
      </c>
      <c r="U47" s="298">
        <v>10.24</v>
      </c>
      <c r="V47" s="298">
        <v>12.44</v>
      </c>
      <c r="W47" s="298">
        <v>14.63</v>
      </c>
      <c r="X47" s="298">
        <v>16.829999999999998</v>
      </c>
      <c r="Y47" s="298">
        <v>19.03</v>
      </c>
      <c r="Z47" s="298">
        <v>21.22</v>
      </c>
      <c r="AA47" s="633">
        <v>23.42</v>
      </c>
      <c r="AB47" s="633">
        <f>AA47+2.2</f>
        <v>25.62</v>
      </c>
      <c r="AC47" s="633">
        <f t="shared" ref="AC47:AJ47" si="2">AB47+2.2</f>
        <v>27.82</v>
      </c>
      <c r="AD47" s="633">
        <f t="shared" si="2"/>
        <v>30.02</v>
      </c>
      <c r="AE47" s="633">
        <f t="shared" si="2"/>
        <v>32.22</v>
      </c>
      <c r="AF47" s="633">
        <f t="shared" si="2"/>
        <v>34.42</v>
      </c>
      <c r="AG47" s="633">
        <f t="shared" si="2"/>
        <v>36.620000000000005</v>
      </c>
      <c r="AH47" s="633">
        <f t="shared" si="2"/>
        <v>38.820000000000007</v>
      </c>
      <c r="AI47" s="633">
        <f t="shared" si="2"/>
        <v>41.02000000000001</v>
      </c>
      <c r="AJ47" s="633">
        <f t="shared" si="2"/>
        <v>43.220000000000013</v>
      </c>
      <c r="AK47" s="45"/>
      <c r="AL47" s="117"/>
      <c r="AM47" s="117" t="e">
        <f>D50</f>
        <v>#VALUE!</v>
      </c>
      <c r="AN47" s="118" t="e">
        <f>C44</f>
        <v>#VALUE!</v>
      </c>
      <c r="AO47" s="117" t="e">
        <f>E50</f>
        <v>#VALUE!</v>
      </c>
      <c r="AP47" s="45"/>
      <c r="AQ47" s="46"/>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c r="BR47" s="193"/>
      <c r="BS47" s="193"/>
      <c r="BT47" s="193"/>
      <c r="BU47" s="193"/>
      <c r="BV47" s="193"/>
      <c r="BW47" s="193"/>
      <c r="BX47" s="193"/>
      <c r="BY47" s="193"/>
      <c r="BZ47" s="193"/>
      <c r="CA47" s="193"/>
      <c r="CB47" s="193"/>
      <c r="CC47" s="193"/>
      <c r="CD47" s="193"/>
      <c r="CE47" s="193"/>
      <c r="CF47" s="193"/>
      <c r="CG47" s="193"/>
      <c r="CH47" s="193"/>
      <c r="CI47" s="193"/>
      <c r="CJ47" s="193"/>
      <c r="CK47" s="193"/>
      <c r="CL47" s="804"/>
      <c r="CM47" s="804"/>
      <c r="CN47" s="804"/>
      <c r="CO47" s="804"/>
      <c r="CP47" s="804"/>
      <c r="CQ47" s="804"/>
      <c r="CR47" s="804"/>
      <c r="CS47" s="804"/>
      <c r="CT47" s="193"/>
      <c r="CU47" s="193"/>
      <c r="CV47" s="193"/>
      <c r="CW47" s="193"/>
      <c r="CX47" s="193"/>
      <c r="CY47" s="193"/>
      <c r="CZ47" s="193"/>
      <c r="DA47" s="193"/>
      <c r="DB47" s="193"/>
      <c r="DC47" s="193"/>
      <c r="DD47" s="193"/>
      <c r="DE47" s="193"/>
      <c r="DF47" s="193"/>
      <c r="DG47" s="193"/>
      <c r="DH47" s="193"/>
      <c r="DI47" s="193"/>
      <c r="DJ47" s="193"/>
      <c r="DK47" s="193"/>
      <c r="DL47" s="193"/>
      <c r="DM47" s="193"/>
      <c r="DN47" s="193"/>
      <c r="DO47" s="193"/>
      <c r="DP47" s="193"/>
      <c r="DQ47" s="193"/>
      <c r="DR47" s="193"/>
      <c r="DS47" s="193"/>
      <c r="DT47" s="193"/>
      <c r="DU47" s="193"/>
      <c r="DV47" s="193"/>
      <c r="DW47" s="193"/>
      <c r="DX47" s="193"/>
      <c r="DY47" s="193"/>
      <c r="DZ47" s="193"/>
      <c r="EA47" s="193"/>
      <c r="EB47" s="193"/>
      <c r="EC47" s="193"/>
      <c r="ED47" s="193"/>
      <c r="EE47" s="193"/>
      <c r="EF47" s="193"/>
      <c r="EG47" s="193"/>
      <c r="EH47" s="193"/>
      <c r="EI47" s="193"/>
      <c r="EJ47" s="193"/>
      <c r="EK47" s="193"/>
      <c r="EL47" s="193"/>
      <c r="EM47" s="193"/>
      <c r="EN47" s="193"/>
      <c r="EO47" s="193"/>
      <c r="EP47" s="193"/>
      <c r="EQ47" s="193"/>
      <c r="ER47" s="193"/>
      <c r="ES47" s="193"/>
      <c r="ET47" s="193"/>
      <c r="EU47" s="193"/>
      <c r="EV47" s="193"/>
      <c r="EW47" s="193"/>
      <c r="EX47" s="193"/>
      <c r="EY47" s="193"/>
      <c r="EZ47" s="193"/>
      <c r="FA47" s="193"/>
      <c r="FB47" s="193"/>
      <c r="FC47" s="193"/>
      <c r="FD47" s="193"/>
      <c r="FE47" s="193"/>
      <c r="FF47" s="193"/>
      <c r="FG47" s="193"/>
      <c r="FH47" s="193"/>
      <c r="FI47" s="193"/>
      <c r="FJ47" s="193"/>
      <c r="FK47" s="193"/>
      <c r="FL47" s="193"/>
      <c r="FM47" s="193"/>
      <c r="FN47" s="193"/>
      <c r="FO47" s="193"/>
      <c r="FP47" s="193"/>
      <c r="FQ47" s="193"/>
      <c r="FR47" s="193"/>
      <c r="FS47" s="193"/>
      <c r="FT47" s="193"/>
      <c r="FU47" s="193"/>
      <c r="FV47" s="193"/>
      <c r="FW47" s="193"/>
      <c r="FX47" s="193"/>
      <c r="FY47" s="193"/>
      <c r="FZ47" s="193"/>
      <c r="GA47" s="193"/>
      <c r="GB47" s="193"/>
      <c r="GC47" s="193"/>
      <c r="GD47" s="193"/>
      <c r="GE47" s="193"/>
      <c r="GF47" s="193"/>
      <c r="GG47" s="193"/>
      <c r="GH47" s="193"/>
      <c r="GI47" s="193"/>
      <c r="GJ47" s="193"/>
      <c r="GK47" s="193"/>
      <c r="GL47" s="193"/>
      <c r="GM47" s="193"/>
      <c r="GN47" s="193"/>
      <c r="GO47" s="193"/>
      <c r="GP47" s="193"/>
      <c r="GQ47" s="193"/>
      <c r="GR47" s="193"/>
      <c r="GS47" s="193"/>
      <c r="GT47" s="193"/>
      <c r="GU47" s="193"/>
      <c r="GV47" s="193"/>
      <c r="GW47" s="193"/>
      <c r="GX47" s="193"/>
      <c r="GY47" s="193"/>
      <c r="GZ47" s="193"/>
      <c r="HA47" s="193"/>
      <c r="HB47" s="193"/>
      <c r="HC47" s="193"/>
      <c r="HD47" s="193"/>
      <c r="HE47" s="193"/>
      <c r="HF47" s="193"/>
      <c r="HG47" s="193"/>
      <c r="HH47" s="193"/>
      <c r="HI47" s="193"/>
      <c r="HJ47" s="193"/>
      <c r="HK47" s="193"/>
      <c r="HL47" s="193"/>
      <c r="HM47" s="193"/>
      <c r="HN47" s="193"/>
      <c r="HO47" s="193"/>
      <c r="HP47" s="193"/>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193"/>
      <c r="IN47" s="193"/>
      <c r="IO47" s="193"/>
      <c r="IP47" s="193"/>
      <c r="IQ47" s="193"/>
      <c r="IR47" s="193"/>
      <c r="IS47" s="193"/>
      <c r="IT47" s="193"/>
      <c r="IU47" s="193"/>
      <c r="IV47" s="193"/>
      <c r="IW47" s="193"/>
      <c r="IX47" s="193"/>
      <c r="IY47" s="193"/>
      <c r="IZ47" s="193"/>
      <c r="JA47" s="193"/>
      <c r="JB47" s="193"/>
      <c r="JC47" s="193"/>
      <c r="JD47" s="193"/>
      <c r="JE47" s="193"/>
      <c r="JF47" s="193"/>
      <c r="JG47" s="193"/>
      <c r="JH47" s="193"/>
      <c r="JI47" s="193"/>
      <c r="JJ47" s="193"/>
      <c r="JK47" s="193"/>
      <c r="JL47" s="193"/>
      <c r="JM47" s="193"/>
      <c r="JN47" s="193"/>
      <c r="JO47" s="193"/>
      <c r="JP47" s="193"/>
    </row>
    <row r="48" spans="2:276" ht="15" customHeight="1" thickBot="1" x14ac:dyDescent="0.3">
      <c r="B48" s="643"/>
      <c r="C48" s="644"/>
      <c r="D48" s="645" t="s">
        <v>215</v>
      </c>
      <c r="E48" s="662"/>
      <c r="F48" s="668"/>
      <c r="G48" s="436"/>
      <c r="H48" s="436"/>
      <c r="I48" s="436"/>
      <c r="J48" s="193"/>
      <c r="K48" s="193"/>
      <c r="L48" s="193"/>
      <c r="N48" s="79"/>
      <c r="O48" s="423">
        <v>25.72</v>
      </c>
      <c r="P48" s="184">
        <v>4</v>
      </c>
      <c r="Q48" s="491"/>
      <c r="R48" s="630">
        <v>4.4000000000000004</v>
      </c>
      <c r="S48" s="630">
        <v>6.97</v>
      </c>
      <c r="T48" s="630">
        <v>9.5399999999999991</v>
      </c>
      <c r="U48" s="630">
        <v>12.11</v>
      </c>
      <c r="V48" s="630">
        <f>U48+2.57</f>
        <v>14.68</v>
      </c>
      <c r="W48" s="630">
        <f t="shared" ref="W48:AI48" si="3">V48+2.57</f>
        <v>17.25</v>
      </c>
      <c r="X48" s="630">
        <f t="shared" si="3"/>
        <v>19.82</v>
      </c>
      <c r="Y48" s="630">
        <f t="shared" si="3"/>
        <v>22.39</v>
      </c>
      <c r="Z48" s="630">
        <f t="shared" si="3"/>
        <v>24.96</v>
      </c>
      <c r="AA48" s="630">
        <f t="shared" si="3"/>
        <v>27.53</v>
      </c>
      <c r="AB48" s="630">
        <f t="shared" si="3"/>
        <v>30.1</v>
      </c>
      <c r="AC48" s="630">
        <f t="shared" si="3"/>
        <v>32.67</v>
      </c>
      <c r="AD48" s="630">
        <f t="shared" si="3"/>
        <v>35.24</v>
      </c>
      <c r="AE48" s="630">
        <f t="shared" si="3"/>
        <v>37.81</v>
      </c>
      <c r="AF48" s="630">
        <f t="shared" si="3"/>
        <v>40.380000000000003</v>
      </c>
      <c r="AG48" s="630">
        <f t="shared" si="3"/>
        <v>42.95</v>
      </c>
      <c r="AH48" s="630">
        <f t="shared" si="3"/>
        <v>45.52</v>
      </c>
      <c r="AI48" s="630">
        <f t="shared" si="3"/>
        <v>48.09</v>
      </c>
      <c r="AJ48" s="630">
        <v>50.65</v>
      </c>
      <c r="AK48" s="76"/>
      <c r="AL48" s="118" t="e">
        <f>C45</f>
        <v>#VALUE!</v>
      </c>
      <c r="AM48" s="118" t="e">
        <f>INDEX(P46:AJ65,MATCH(AL48,O46:O61,0),D51)</f>
        <v>#VALUE!</v>
      </c>
      <c r="AN48" s="118" t="e">
        <f>(((AN47-AM47)/(AO47-AM47))*(AO48-AM48))+AM48</f>
        <v>#VALUE!</v>
      </c>
      <c r="AO48" s="118" t="e">
        <f>INDEX(P46:AJ65,MATCH(AL48,O46:O61,0),E51)</f>
        <v>#VALUE!</v>
      </c>
      <c r="AP48" s="45"/>
      <c r="AQ48" s="46"/>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c r="BR48" s="193"/>
      <c r="BS48" s="193"/>
      <c r="BT48" s="193"/>
      <c r="BU48" s="193"/>
      <c r="BV48" s="193"/>
      <c r="BW48" s="193"/>
      <c r="BX48" s="193"/>
      <c r="BY48" s="193"/>
      <c r="BZ48" s="193"/>
      <c r="CA48" s="193"/>
      <c r="CB48" s="193"/>
      <c r="CC48" s="193"/>
      <c r="CD48" s="193"/>
      <c r="CE48" s="193"/>
      <c r="CF48" s="193"/>
      <c r="CG48" s="193"/>
      <c r="CH48" s="193"/>
      <c r="CI48" s="193"/>
      <c r="CJ48" s="193"/>
      <c r="CK48" s="193"/>
      <c r="CL48" s="193"/>
      <c r="CM48" s="193"/>
      <c r="CN48" s="193"/>
      <c r="CO48" s="193"/>
      <c r="CP48" s="193"/>
      <c r="CQ48" s="193"/>
      <c r="CR48" s="193"/>
      <c r="CS48" s="193"/>
      <c r="CT48" s="193"/>
      <c r="CU48" s="193"/>
      <c r="CV48" s="193"/>
      <c r="CW48" s="193"/>
      <c r="CX48" s="193"/>
      <c r="CY48" s="193"/>
      <c r="CZ48" s="193"/>
      <c r="DA48" s="193"/>
      <c r="DB48" s="193"/>
      <c r="DC48" s="193"/>
      <c r="DD48" s="193"/>
      <c r="DE48" s="193"/>
      <c r="DF48" s="193"/>
      <c r="DG48" s="193"/>
      <c r="DH48" s="193"/>
      <c r="DI48" s="193"/>
      <c r="DJ48" s="193"/>
      <c r="DK48" s="193"/>
      <c r="DL48" s="193"/>
      <c r="DM48" s="193"/>
      <c r="DN48" s="193"/>
      <c r="DO48" s="193"/>
      <c r="DP48" s="193"/>
      <c r="DQ48" s="193"/>
      <c r="DR48" s="193"/>
      <c r="DS48" s="193"/>
      <c r="DT48" s="193"/>
      <c r="DU48" s="193"/>
      <c r="DV48" s="193"/>
      <c r="DW48" s="193"/>
      <c r="DX48" s="193"/>
      <c r="DY48" s="193"/>
      <c r="DZ48" s="193"/>
      <c r="EA48" s="193"/>
      <c r="EB48" s="193"/>
      <c r="EC48" s="193"/>
      <c r="ED48" s="193"/>
      <c r="EE48" s="193"/>
      <c r="EF48" s="193"/>
      <c r="EG48" s="193"/>
      <c r="EH48" s="193"/>
      <c r="EI48" s="193"/>
      <c r="EJ48" s="193"/>
      <c r="EK48" s="193"/>
      <c r="EL48" s="193"/>
      <c r="EM48" s="193"/>
      <c r="EN48" s="193"/>
      <c r="EO48" s="193"/>
      <c r="EP48" s="193"/>
      <c r="EQ48" s="193"/>
      <c r="ER48" s="193"/>
      <c r="ES48" s="193"/>
      <c r="ET48" s="193"/>
      <c r="EU48" s="193"/>
      <c r="EV48" s="193"/>
      <c r="EW48" s="193"/>
      <c r="EX48" s="193"/>
      <c r="EY48" s="193"/>
      <c r="EZ48" s="193"/>
      <c r="FA48" s="193"/>
      <c r="FB48" s="193"/>
      <c r="FC48" s="193"/>
      <c r="FD48" s="193"/>
      <c r="FE48" s="193"/>
      <c r="FF48" s="193"/>
      <c r="FG48" s="193"/>
      <c r="FH48" s="193"/>
      <c r="FI48" s="193"/>
      <c r="FJ48" s="193"/>
      <c r="FK48" s="193"/>
      <c r="FL48" s="193"/>
      <c r="FM48" s="193"/>
      <c r="FN48" s="193"/>
      <c r="FO48" s="193"/>
      <c r="FP48" s="193"/>
      <c r="FQ48" s="193"/>
      <c r="FR48" s="193"/>
      <c r="FS48" s="193"/>
      <c r="FT48" s="193"/>
      <c r="FU48" s="193"/>
      <c r="FV48" s="193"/>
      <c r="FW48" s="193"/>
      <c r="FX48" s="193"/>
      <c r="FY48" s="193"/>
      <c r="FZ48" s="193"/>
      <c r="GA48" s="193"/>
      <c r="GB48" s="193"/>
      <c r="GC48" s="193"/>
      <c r="GD48" s="193"/>
      <c r="GE48" s="193"/>
      <c r="GF48" s="193"/>
      <c r="GG48" s="193"/>
      <c r="GH48" s="193"/>
      <c r="GI48" s="193"/>
      <c r="GJ48" s="193"/>
      <c r="GK48" s="193"/>
      <c r="GL48" s="193"/>
      <c r="GM48" s="193"/>
      <c r="GN48" s="193"/>
      <c r="GO48" s="193"/>
      <c r="GP48" s="193"/>
      <c r="GQ48" s="193"/>
      <c r="GR48" s="193"/>
      <c r="GS48" s="193"/>
      <c r="GT48" s="193"/>
      <c r="GU48" s="193"/>
      <c r="GV48" s="193"/>
      <c r="GW48" s="193"/>
      <c r="GX48" s="193"/>
      <c r="GY48" s="193"/>
      <c r="GZ48" s="193"/>
      <c r="HA48" s="193"/>
      <c r="HB48" s="193"/>
      <c r="HC48" s="193"/>
      <c r="HD48" s="193"/>
      <c r="HE48" s="193"/>
      <c r="HF48" s="193"/>
      <c r="HG48" s="193"/>
      <c r="HH48" s="193"/>
      <c r="HI48" s="193"/>
      <c r="HJ48" s="193"/>
      <c r="HK48" s="193"/>
      <c r="HL48" s="193"/>
      <c r="HM48" s="193"/>
      <c r="HN48" s="193"/>
      <c r="HO48" s="193"/>
      <c r="HP48" s="193"/>
      <c r="HQ48" s="193"/>
      <c r="HR48" s="193"/>
      <c r="HS48" s="193"/>
      <c r="HT48" s="193"/>
      <c r="HU48" s="193"/>
      <c r="HV48" s="193"/>
      <c r="HW48" s="193"/>
      <c r="HX48" s="193"/>
      <c r="HY48" s="193"/>
      <c r="HZ48" s="193"/>
      <c r="IA48" s="193"/>
      <c r="IB48" s="193"/>
      <c r="IC48" s="193"/>
      <c r="ID48" s="193"/>
      <c r="IE48" s="193"/>
      <c r="IF48" s="193"/>
      <c r="IG48" s="193"/>
      <c r="IH48" s="193"/>
      <c r="II48" s="193"/>
      <c r="IJ48" s="193"/>
      <c r="IK48" s="193"/>
      <c r="IL48" s="193"/>
      <c r="IM48" s="193"/>
      <c r="IN48" s="193"/>
      <c r="IO48" s="193"/>
      <c r="IP48" s="193"/>
      <c r="IQ48" s="193"/>
      <c r="IR48" s="193"/>
      <c r="IS48" s="193"/>
      <c r="IT48" s="193"/>
      <c r="IU48" s="193"/>
      <c r="IV48" s="193"/>
      <c r="IW48" s="193"/>
      <c r="IX48" s="193"/>
      <c r="IY48" s="193"/>
      <c r="IZ48" s="193"/>
      <c r="JA48" s="193"/>
      <c r="JB48" s="193"/>
      <c r="JC48" s="193"/>
      <c r="JD48" s="193"/>
      <c r="JE48" s="193"/>
      <c r="JF48" s="193"/>
      <c r="JG48" s="193"/>
      <c r="JH48" s="193"/>
      <c r="JI48" s="193"/>
      <c r="JJ48" s="193"/>
      <c r="JK48" s="193"/>
      <c r="JL48" s="193"/>
      <c r="JM48" s="193"/>
      <c r="JN48" s="193"/>
      <c r="JO48" s="193"/>
      <c r="JP48" s="193"/>
    </row>
    <row r="49" spans="1:276" ht="16.5" thickBot="1" x14ac:dyDescent="0.3">
      <c r="B49" s="643"/>
      <c r="C49" s="646"/>
      <c r="D49" s="647" t="s">
        <v>64</v>
      </c>
      <c r="E49" s="663" t="s">
        <v>65</v>
      </c>
      <c r="F49" s="668"/>
      <c r="G49" s="436"/>
      <c r="H49" s="436"/>
      <c r="I49" s="436"/>
      <c r="J49" s="193"/>
      <c r="K49" s="193"/>
      <c r="L49" s="193"/>
      <c r="N49" s="79"/>
      <c r="O49" s="423">
        <v>30.72</v>
      </c>
      <c r="P49" s="184">
        <v>5</v>
      </c>
      <c r="Q49" s="491"/>
      <c r="R49" s="298">
        <v>5.15</v>
      </c>
      <c r="S49" s="298">
        <v>8.09</v>
      </c>
      <c r="T49" s="298">
        <v>11.03</v>
      </c>
      <c r="U49" s="298">
        <v>13.98</v>
      </c>
      <c r="V49" s="298">
        <v>16.920000000000002</v>
      </c>
      <c r="W49" s="298">
        <v>19.86</v>
      </c>
      <c r="X49" s="298">
        <v>22.81</v>
      </c>
      <c r="Y49" s="298">
        <v>25.75</v>
      </c>
      <c r="Z49" s="298">
        <v>28.69</v>
      </c>
      <c r="AA49" s="633">
        <v>31.63</v>
      </c>
      <c r="AB49" s="633">
        <f>AA49+2.95</f>
        <v>34.58</v>
      </c>
      <c r="AC49" s="633">
        <f t="shared" ref="AC49:AJ49" si="4">AB49+2.95</f>
        <v>37.53</v>
      </c>
      <c r="AD49" s="633">
        <f t="shared" si="4"/>
        <v>40.480000000000004</v>
      </c>
      <c r="AE49" s="633">
        <f t="shared" si="4"/>
        <v>43.430000000000007</v>
      </c>
      <c r="AF49" s="633">
        <f t="shared" si="4"/>
        <v>46.38000000000001</v>
      </c>
      <c r="AG49" s="633">
        <f t="shared" si="4"/>
        <v>49.330000000000013</v>
      </c>
      <c r="AH49" s="633">
        <f t="shared" si="4"/>
        <v>52.280000000000015</v>
      </c>
      <c r="AI49" s="633">
        <f t="shared" si="4"/>
        <v>55.230000000000018</v>
      </c>
      <c r="AJ49" s="633">
        <f t="shared" si="4"/>
        <v>58.180000000000021</v>
      </c>
      <c r="AK49" s="45"/>
      <c r="AL49" s="413"/>
      <c r="AM49" s="118"/>
      <c r="AN49" s="119"/>
      <c r="AO49" s="118"/>
      <c r="AP49" s="45"/>
      <c r="AQ49" s="46"/>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s="193"/>
      <c r="BW49" s="193"/>
      <c r="BX49" s="193"/>
      <c r="BY49" s="193"/>
      <c r="BZ49" s="193"/>
      <c r="CA49" s="193"/>
      <c r="CB49" s="193"/>
      <c r="CC49" s="193"/>
      <c r="CD49" s="193"/>
      <c r="CE49" s="193"/>
      <c r="CF49" s="193"/>
      <c r="CG49" s="193"/>
      <c r="CH49" s="193"/>
      <c r="CI49" s="193"/>
      <c r="CJ49" s="193"/>
      <c r="CK49" s="193"/>
      <c r="CL49" s="193"/>
      <c r="CM49" s="193"/>
      <c r="CN49" s="193"/>
      <c r="CO49" s="193"/>
      <c r="CP49" s="193"/>
      <c r="CQ49" s="193"/>
      <c r="CR49" s="193"/>
      <c r="CS49" s="193"/>
      <c r="CT49" s="193"/>
      <c r="CU49" s="193"/>
      <c r="CV49" s="193"/>
      <c r="CW49" s="193"/>
      <c r="CX49" s="193"/>
      <c r="CY49" s="193"/>
      <c r="CZ49" s="193"/>
      <c r="DA49" s="193"/>
      <c r="DB49" s="193"/>
      <c r="DC49" s="193"/>
      <c r="DD49" s="193"/>
      <c r="DE49" s="193"/>
      <c r="DF49" s="193"/>
      <c r="DG49" s="193"/>
      <c r="DH49" s="193"/>
      <c r="DI49" s="193"/>
      <c r="DJ49" s="193"/>
      <c r="DK49" s="193"/>
      <c r="DL49" s="193"/>
      <c r="DM49" s="193"/>
      <c r="DN49" s="193"/>
      <c r="DO49" s="193"/>
      <c r="DP49" s="193"/>
      <c r="DQ49" s="193"/>
      <c r="DR49" s="193"/>
      <c r="DS49" s="193"/>
      <c r="DT49" s="193"/>
      <c r="DU49" s="193"/>
      <c r="DV49" s="193"/>
      <c r="DW49" s="193"/>
      <c r="DX49" s="193"/>
      <c r="DY49" s="193"/>
      <c r="DZ49" s="193"/>
      <c r="EA49" s="193"/>
      <c r="EB49" s="193"/>
      <c r="EC49" s="193"/>
      <c r="ED49" s="193"/>
      <c r="EE49" s="193"/>
      <c r="EF49" s="193"/>
      <c r="EG49" s="193"/>
      <c r="EH49" s="193"/>
      <c r="EI49" s="193"/>
      <c r="EJ49" s="193"/>
      <c r="EK49" s="193"/>
      <c r="EL49" s="193"/>
      <c r="EM49" s="193"/>
      <c r="EN49" s="193"/>
      <c r="EO49" s="193"/>
      <c r="EP49" s="193"/>
      <c r="EQ49" s="193"/>
      <c r="ER49" s="193"/>
      <c r="ES49" s="193"/>
      <c r="ET49" s="193"/>
      <c r="EU49" s="193"/>
      <c r="EV49" s="193"/>
      <c r="EW49" s="193"/>
      <c r="EX49" s="193"/>
      <c r="EY49" s="193"/>
      <c r="EZ49" s="193"/>
      <c r="FA49" s="193"/>
      <c r="FB49" s="193"/>
      <c r="FC49" s="193"/>
      <c r="FD49" s="193"/>
      <c r="FE49" s="193"/>
      <c r="FF49" s="193"/>
      <c r="FG49" s="193"/>
      <c r="FH49" s="193"/>
      <c r="FI49" s="193"/>
      <c r="FJ49" s="193"/>
      <c r="FK49" s="193"/>
      <c r="FL49" s="193"/>
      <c r="FM49" s="193"/>
      <c r="FN49" s="193"/>
      <c r="FO49" s="193"/>
      <c r="FP49" s="193"/>
      <c r="FQ49" s="193"/>
      <c r="FR49" s="193"/>
      <c r="FS49" s="193"/>
      <c r="FT49" s="193"/>
      <c r="FU49" s="193"/>
      <c r="FV49" s="193"/>
      <c r="FW49" s="193"/>
      <c r="FX49" s="193"/>
      <c r="FY49" s="193"/>
      <c r="FZ49" s="193"/>
      <c r="GA49" s="193"/>
      <c r="GB49" s="193"/>
      <c r="GC49" s="193"/>
      <c r="GD49" s="193"/>
      <c r="GE49" s="193"/>
      <c r="GF49" s="193"/>
      <c r="GG49" s="193"/>
      <c r="GH49" s="193"/>
      <c r="GI49" s="193"/>
      <c r="GJ49" s="193"/>
      <c r="GK49" s="193"/>
      <c r="GL49" s="193"/>
      <c r="GM49" s="193"/>
      <c r="GN49" s="193"/>
      <c r="GO49" s="193"/>
      <c r="GP49" s="193"/>
      <c r="GQ49" s="193"/>
      <c r="GR49" s="193"/>
      <c r="GS49" s="193"/>
      <c r="GT49" s="193"/>
      <c r="GU49" s="193"/>
      <c r="GV49" s="193"/>
      <c r="GW49" s="193"/>
      <c r="GX49" s="193"/>
      <c r="GY49" s="193"/>
      <c r="GZ49" s="193"/>
      <c r="HA49" s="193"/>
      <c r="HB49" s="193"/>
      <c r="HC49" s="193"/>
      <c r="HD49" s="193"/>
      <c r="HE49" s="193"/>
      <c r="HF49" s="193"/>
      <c r="HG49" s="193"/>
      <c r="HH49" s="193"/>
      <c r="HI49" s="193"/>
      <c r="HJ49" s="193"/>
      <c r="HK49" s="193"/>
      <c r="HL49" s="193"/>
      <c r="HM49" s="193"/>
      <c r="HN49" s="193"/>
      <c r="HO49" s="193"/>
      <c r="HP49" s="193"/>
      <c r="HQ49" s="193"/>
      <c r="HR49" s="193"/>
      <c r="HS49" s="193"/>
      <c r="HT49" s="193"/>
      <c r="HU49" s="193"/>
      <c r="HV49" s="193"/>
      <c r="HW49" s="193"/>
      <c r="HX49" s="193"/>
      <c r="HY49" s="193"/>
      <c r="HZ49" s="193"/>
      <c r="IA49" s="193"/>
      <c r="IB49" s="193"/>
      <c r="IC49" s="193"/>
      <c r="ID49" s="193"/>
      <c r="IE49" s="193"/>
      <c r="IF49" s="193"/>
      <c r="IG49" s="193"/>
      <c r="IH49" s="193"/>
      <c r="II49" s="193"/>
      <c r="IJ49" s="193"/>
      <c r="IK49" s="193"/>
      <c r="IL49" s="193"/>
      <c r="IM49" s="193"/>
      <c r="IN49" s="193"/>
      <c r="IO49" s="193"/>
      <c r="IP49" s="193"/>
      <c r="IQ49" s="193"/>
      <c r="IR49" s="193"/>
      <c r="IS49" s="193"/>
      <c r="IT49" s="193"/>
      <c r="IU49" s="193"/>
      <c r="IV49" s="193"/>
      <c r="IW49" s="193"/>
      <c r="IX49" s="193"/>
      <c r="IY49" s="193"/>
      <c r="IZ49" s="193"/>
      <c r="JA49" s="193"/>
      <c r="JB49" s="193"/>
      <c r="JC49" s="193"/>
      <c r="JD49" s="193"/>
      <c r="JE49" s="193"/>
      <c r="JF49" s="193"/>
      <c r="JG49" s="193"/>
      <c r="JH49" s="193"/>
      <c r="JI49" s="193"/>
      <c r="JJ49" s="193"/>
      <c r="JK49" s="193"/>
      <c r="JL49" s="193"/>
      <c r="JM49" s="193"/>
      <c r="JN49" s="193"/>
      <c r="JO49" s="193"/>
      <c r="JP49" s="193"/>
    </row>
    <row r="50" spans="1:276" ht="16.5" thickBot="1" x14ac:dyDescent="0.3">
      <c r="B50" s="643"/>
      <c r="C50" s="648"/>
      <c r="D50" s="649" t="e">
        <f>IF(AND(C44&lt;18,C44&gt;=H3),12,FLOOR(C44/6,1)*6)</f>
        <v>#VALUE!</v>
      </c>
      <c r="E50" s="664" t="e">
        <f>IF(D50&lt;12,12,D50+6)</f>
        <v>#VALUE!</v>
      </c>
      <c r="F50" s="668"/>
      <c r="G50" s="436"/>
      <c r="H50" s="436"/>
      <c r="I50" s="436"/>
      <c r="J50" s="193"/>
      <c r="K50" s="193"/>
      <c r="L50" s="193"/>
      <c r="N50" s="79"/>
      <c r="O50" s="423">
        <v>35.72</v>
      </c>
      <c r="P50" s="184">
        <v>6</v>
      </c>
      <c r="Q50" s="491"/>
      <c r="R50" s="298">
        <v>5.89</v>
      </c>
      <c r="S50" s="298">
        <v>9.2100000000000009</v>
      </c>
      <c r="T50" s="298">
        <v>12.53</v>
      </c>
      <c r="U50" s="298">
        <v>15.84</v>
      </c>
      <c r="V50" s="298">
        <v>19.16</v>
      </c>
      <c r="W50" s="298">
        <v>22.48</v>
      </c>
      <c r="X50" s="298">
        <v>25.79</v>
      </c>
      <c r="Y50" s="298">
        <v>29.11</v>
      </c>
      <c r="Z50" s="298">
        <v>32.43</v>
      </c>
      <c r="AA50" s="633">
        <v>35.74</v>
      </c>
      <c r="AB50" s="633">
        <f>AA50+3.32</f>
        <v>39.06</v>
      </c>
      <c r="AC50" s="633">
        <f t="shared" ref="AC50:AJ50" si="5">AB50+3.32</f>
        <v>42.38</v>
      </c>
      <c r="AD50" s="633">
        <f t="shared" si="5"/>
        <v>45.7</v>
      </c>
      <c r="AE50" s="633">
        <f t="shared" si="5"/>
        <v>49.02</v>
      </c>
      <c r="AF50" s="633">
        <f t="shared" si="5"/>
        <v>52.34</v>
      </c>
      <c r="AG50" s="633">
        <f t="shared" si="5"/>
        <v>55.660000000000004</v>
      </c>
      <c r="AH50" s="633">
        <f t="shared" si="5"/>
        <v>58.980000000000004</v>
      </c>
      <c r="AI50" s="633">
        <f t="shared" si="5"/>
        <v>62.300000000000004</v>
      </c>
      <c r="AJ50" s="633">
        <f t="shared" si="5"/>
        <v>65.62</v>
      </c>
      <c r="AK50" s="45"/>
      <c r="AL50" s="117"/>
      <c r="AM50" s="118"/>
      <c r="AN50" s="118"/>
      <c r="AO50" s="118"/>
      <c r="AP50" s="45"/>
      <c r="AQ50" s="46"/>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c r="DH50" s="193"/>
      <c r="DI50" s="193"/>
      <c r="DJ50" s="193"/>
      <c r="DK50" s="193"/>
      <c r="DL50" s="193"/>
      <c r="DM50" s="193"/>
      <c r="DN50" s="193"/>
      <c r="DO50" s="193"/>
      <c r="DP50" s="193"/>
      <c r="DQ50" s="193"/>
      <c r="DR50" s="193"/>
      <c r="DS50" s="193"/>
      <c r="DT50" s="193"/>
      <c r="DU50" s="193"/>
      <c r="DV50" s="193"/>
      <c r="DW50" s="193"/>
      <c r="DX50" s="193"/>
      <c r="DY50" s="193"/>
      <c r="DZ50" s="193"/>
      <c r="EA50" s="193"/>
      <c r="EB50" s="193"/>
      <c r="EC50" s="193"/>
      <c r="ED50" s="193"/>
      <c r="EE50" s="193"/>
      <c r="EF50" s="193"/>
      <c r="EG50" s="193"/>
      <c r="EH50" s="193"/>
      <c r="EI50" s="193"/>
      <c r="EJ50" s="193"/>
      <c r="EK50" s="193"/>
      <c r="EL50" s="193"/>
      <c r="EM50" s="193"/>
      <c r="EN50" s="193"/>
      <c r="EO50" s="193"/>
      <c r="EP50" s="193"/>
      <c r="EQ50" s="193"/>
      <c r="ER50" s="193"/>
      <c r="ES50" s="193"/>
      <c r="ET50" s="193"/>
      <c r="EU50" s="193"/>
      <c r="EV50" s="193"/>
      <c r="EW50" s="193"/>
      <c r="EX50" s="193"/>
      <c r="EY50" s="193"/>
      <c r="EZ50" s="193"/>
      <c r="FA50" s="193"/>
      <c r="FB50" s="193"/>
      <c r="FC50" s="193"/>
      <c r="FD50" s="193"/>
      <c r="FE50" s="193"/>
      <c r="FF50" s="193"/>
      <c r="FG50" s="193"/>
      <c r="FH50" s="193"/>
      <c r="FI50" s="193"/>
      <c r="FJ50" s="193"/>
      <c r="FK50" s="193"/>
      <c r="FL50" s="193"/>
      <c r="FM50" s="193"/>
      <c r="FN50" s="193"/>
      <c r="FO50" s="193"/>
      <c r="FP50" s="193"/>
      <c r="FQ50" s="193"/>
      <c r="FR50" s="193"/>
      <c r="FS50" s="193"/>
      <c r="FT50" s="193"/>
      <c r="FU50" s="193"/>
      <c r="FV50" s="193"/>
      <c r="FW50" s="193"/>
      <c r="FX50" s="193"/>
      <c r="FY50" s="193"/>
      <c r="FZ50" s="193"/>
      <c r="GA50" s="193"/>
      <c r="GB50" s="193"/>
      <c r="GC50" s="193"/>
      <c r="GD50" s="193"/>
      <c r="GE50" s="193"/>
      <c r="GF50" s="193"/>
      <c r="GG50" s="193"/>
      <c r="GH50" s="193"/>
      <c r="GI50" s="193"/>
      <c r="GJ50" s="193"/>
      <c r="GK50" s="193"/>
      <c r="GL50" s="193"/>
      <c r="GM50" s="193"/>
      <c r="GN50" s="193"/>
      <c r="GO50" s="193"/>
      <c r="GP50" s="193"/>
      <c r="GQ50" s="193"/>
      <c r="GR50" s="193"/>
      <c r="GS50" s="193"/>
      <c r="GT50" s="193"/>
      <c r="GU50" s="193"/>
      <c r="GV50" s="193"/>
      <c r="GW50" s="193"/>
      <c r="GX50" s="193"/>
      <c r="GY50" s="193"/>
      <c r="GZ50" s="193"/>
      <c r="HA50" s="193"/>
      <c r="HB50" s="193"/>
      <c r="HC50" s="193"/>
      <c r="HD50" s="193"/>
      <c r="HE50" s="193"/>
      <c r="HF50" s="193"/>
      <c r="HG50" s="193"/>
      <c r="HH50" s="193"/>
      <c r="HI50" s="193"/>
      <c r="HJ50" s="193"/>
      <c r="HK50" s="193"/>
      <c r="HL50" s="193"/>
      <c r="HM50" s="193"/>
      <c r="HN50" s="193"/>
      <c r="HO50" s="193"/>
      <c r="HP50" s="193"/>
      <c r="HQ50" s="193"/>
      <c r="HR50" s="193"/>
      <c r="HS50" s="193"/>
      <c r="HT50" s="193"/>
      <c r="HU50" s="193"/>
      <c r="HV50" s="193"/>
      <c r="HW50" s="193"/>
      <c r="HX50" s="193"/>
      <c r="HY50" s="193"/>
      <c r="HZ50" s="193"/>
      <c r="IA50" s="193"/>
      <c r="IB50" s="193"/>
      <c r="IC50" s="193"/>
      <c r="ID50" s="193"/>
      <c r="IE50" s="193"/>
      <c r="IF50" s="193"/>
      <c r="IG50" s="193"/>
      <c r="IH50" s="193"/>
      <c r="II50" s="193"/>
      <c r="IJ50" s="193"/>
      <c r="IK50" s="193"/>
      <c r="IL50" s="193"/>
      <c r="IM50" s="193"/>
      <c r="IN50" s="193"/>
      <c r="IO50" s="193"/>
      <c r="IP50" s="193"/>
      <c r="IQ50" s="193"/>
      <c r="IR50" s="193"/>
      <c r="IS50" s="193"/>
      <c r="IT50" s="193"/>
      <c r="IU50" s="193"/>
      <c r="IV50" s="193"/>
      <c r="IW50" s="193"/>
      <c r="IX50" s="193"/>
      <c r="IY50" s="193"/>
      <c r="IZ50" s="193"/>
      <c r="JA50" s="193"/>
      <c r="JB50" s="193"/>
      <c r="JC50" s="193"/>
      <c r="JD50" s="193"/>
      <c r="JE50" s="193"/>
      <c r="JF50" s="193"/>
      <c r="JG50" s="193"/>
      <c r="JH50" s="193"/>
      <c r="JI50" s="193"/>
      <c r="JJ50" s="193"/>
      <c r="JK50" s="193"/>
      <c r="JL50" s="193"/>
      <c r="JM50" s="193"/>
      <c r="JN50" s="193"/>
      <c r="JO50" s="193"/>
      <c r="JP50" s="193"/>
    </row>
    <row r="51" spans="1:276" ht="15.75" thickBot="1" x14ac:dyDescent="0.3">
      <c r="B51" s="643"/>
      <c r="C51" s="648" t="s">
        <v>34</v>
      </c>
      <c r="D51" s="649" t="e">
        <f>HLOOKUP(D50,P44:AJ45,2)</f>
        <v>#VALUE!</v>
      </c>
      <c r="E51" s="664" t="e">
        <f>HLOOKUP(E50,P44:AJ45,2)</f>
        <v>#VALUE!</v>
      </c>
      <c r="F51" s="668"/>
      <c r="G51" s="436"/>
      <c r="H51" s="436"/>
      <c r="I51" s="436"/>
      <c r="J51" s="193"/>
      <c r="K51" s="193"/>
      <c r="L51" s="193"/>
      <c r="N51" s="79"/>
      <c r="O51" s="423">
        <v>40.72</v>
      </c>
      <c r="P51" s="184">
        <v>7</v>
      </c>
      <c r="Q51" s="491"/>
      <c r="R51" s="298">
        <v>6.64</v>
      </c>
      <c r="S51" s="298">
        <v>10.33</v>
      </c>
      <c r="T51" s="298">
        <v>14.02</v>
      </c>
      <c r="U51" s="298">
        <v>17.71</v>
      </c>
      <c r="V51" s="298">
        <v>21.4</v>
      </c>
      <c r="W51" s="298">
        <v>25.09</v>
      </c>
      <c r="X51" s="298">
        <v>28.78</v>
      </c>
      <c r="Y51" s="298">
        <v>32.47</v>
      </c>
      <c r="Z51" s="298">
        <v>36.159999999999997</v>
      </c>
      <c r="AA51" s="633">
        <v>39.85</v>
      </c>
      <c r="AB51" s="633">
        <f>AA51+3.69</f>
        <v>43.54</v>
      </c>
      <c r="AC51" s="633">
        <f t="shared" ref="AC51:AJ51" si="6">AB51+3.69</f>
        <v>47.23</v>
      </c>
      <c r="AD51" s="633">
        <f t="shared" si="6"/>
        <v>50.919999999999995</v>
      </c>
      <c r="AE51" s="633">
        <f t="shared" si="6"/>
        <v>54.609999999999992</v>
      </c>
      <c r="AF51" s="633">
        <f t="shared" si="6"/>
        <v>58.29999999999999</v>
      </c>
      <c r="AG51" s="633">
        <f t="shared" si="6"/>
        <v>61.989999999999988</v>
      </c>
      <c r="AH51" s="633">
        <f t="shared" si="6"/>
        <v>65.679999999999993</v>
      </c>
      <c r="AI51" s="633">
        <f t="shared" si="6"/>
        <v>69.36999999999999</v>
      </c>
      <c r="AJ51" s="633">
        <f t="shared" si="6"/>
        <v>73.059999999999988</v>
      </c>
      <c r="AK51" s="45"/>
      <c r="AL51" s="45"/>
      <c r="AM51" s="45"/>
      <c r="AN51" s="45"/>
      <c r="AO51" s="45"/>
      <c r="AP51" s="45"/>
      <c r="AQ51" s="46"/>
    </row>
    <row r="52" spans="1:276" ht="16.5" thickBot="1" x14ac:dyDescent="0.3">
      <c r="B52" s="643"/>
      <c r="C52" s="650"/>
      <c r="D52" s="651"/>
      <c r="E52" s="665"/>
      <c r="F52" s="668"/>
      <c r="G52" s="436"/>
      <c r="H52" s="436"/>
      <c r="I52" s="436"/>
      <c r="J52" s="193"/>
      <c r="K52" s="193"/>
      <c r="L52" s="193"/>
      <c r="N52" s="79"/>
      <c r="O52" s="423">
        <v>45.72</v>
      </c>
      <c r="P52" s="184">
        <v>8</v>
      </c>
      <c r="Q52" s="491"/>
      <c r="R52" s="298">
        <v>7.39</v>
      </c>
      <c r="S52" s="298">
        <v>11.45</v>
      </c>
      <c r="T52" s="298">
        <v>15.52</v>
      </c>
      <c r="U52" s="298">
        <v>19.579999999999998</v>
      </c>
      <c r="V52" s="298">
        <v>23.64</v>
      </c>
      <c r="W52" s="298">
        <v>27.71</v>
      </c>
      <c r="X52" s="298">
        <v>31.77</v>
      </c>
      <c r="Y52" s="298">
        <v>35.83</v>
      </c>
      <c r="Z52" s="298">
        <v>39.9</v>
      </c>
      <c r="AA52" s="633">
        <v>43.96</v>
      </c>
      <c r="AB52" s="633">
        <f>AA52+4.06</f>
        <v>48.02</v>
      </c>
      <c r="AC52" s="633">
        <f t="shared" ref="AC52:AJ52" si="7">AB52+4.06</f>
        <v>52.080000000000005</v>
      </c>
      <c r="AD52" s="633">
        <f t="shared" si="7"/>
        <v>56.140000000000008</v>
      </c>
      <c r="AE52" s="633">
        <f t="shared" si="7"/>
        <v>60.20000000000001</v>
      </c>
      <c r="AF52" s="633">
        <f t="shared" si="7"/>
        <v>64.260000000000005</v>
      </c>
      <c r="AG52" s="633">
        <f t="shared" si="7"/>
        <v>68.320000000000007</v>
      </c>
      <c r="AH52" s="633">
        <f t="shared" si="7"/>
        <v>72.38000000000001</v>
      </c>
      <c r="AI52" s="633">
        <f t="shared" si="7"/>
        <v>76.440000000000012</v>
      </c>
      <c r="AJ52" s="633">
        <f t="shared" si="7"/>
        <v>80.500000000000014</v>
      </c>
      <c r="AK52" s="45"/>
      <c r="AL52" s="117"/>
      <c r="AM52" s="117" t="e">
        <f>D62</f>
        <v>#VALUE!</v>
      </c>
      <c r="AN52" s="118" t="e">
        <f>C56</f>
        <v>#VALUE!</v>
      </c>
      <c r="AO52" s="117" t="e">
        <f>E62</f>
        <v>#VALUE!</v>
      </c>
      <c r="AP52" s="45"/>
      <c r="AQ52" s="46"/>
    </row>
    <row r="53" spans="1:276" ht="16.5" thickBot="1" x14ac:dyDescent="0.3">
      <c r="A53" s="71"/>
      <c r="B53" s="643"/>
      <c r="C53" s="471"/>
      <c r="D53" s="471"/>
      <c r="E53" s="666"/>
      <c r="F53" s="169"/>
      <c r="G53" s="193"/>
      <c r="H53" s="193"/>
      <c r="I53" s="193"/>
      <c r="J53" s="193"/>
      <c r="K53" s="193"/>
      <c r="L53" s="193"/>
      <c r="N53" s="79"/>
      <c r="O53" s="423">
        <v>50.72</v>
      </c>
      <c r="P53" s="184">
        <v>9</v>
      </c>
      <c r="Q53" s="491"/>
      <c r="R53" s="298">
        <v>8.14</v>
      </c>
      <c r="S53" s="298">
        <v>12.57</v>
      </c>
      <c r="T53" s="298">
        <v>17.010000000000002</v>
      </c>
      <c r="U53" s="298">
        <v>21.45</v>
      </c>
      <c r="V53" s="298">
        <v>25.88</v>
      </c>
      <c r="W53" s="298">
        <v>30.32</v>
      </c>
      <c r="X53" s="298">
        <v>34.76</v>
      </c>
      <c r="Y53" s="298">
        <v>39.19</v>
      </c>
      <c r="Z53" s="298">
        <v>43.63</v>
      </c>
      <c r="AA53" s="633">
        <v>48.07</v>
      </c>
      <c r="AB53" s="633">
        <f>AA53+4.44</f>
        <v>52.51</v>
      </c>
      <c r="AC53" s="633">
        <f t="shared" ref="AC53:AJ53" si="8">AB53+4.44</f>
        <v>56.949999999999996</v>
      </c>
      <c r="AD53" s="633">
        <f t="shared" si="8"/>
        <v>61.389999999999993</v>
      </c>
      <c r="AE53" s="633">
        <f t="shared" si="8"/>
        <v>65.83</v>
      </c>
      <c r="AF53" s="633">
        <f t="shared" si="8"/>
        <v>70.27</v>
      </c>
      <c r="AG53" s="633">
        <f t="shared" si="8"/>
        <v>74.709999999999994</v>
      </c>
      <c r="AH53" s="633">
        <f t="shared" si="8"/>
        <v>79.149999999999991</v>
      </c>
      <c r="AI53" s="633">
        <f t="shared" si="8"/>
        <v>83.589999999999989</v>
      </c>
      <c r="AJ53" s="633">
        <f t="shared" si="8"/>
        <v>88.029999999999987</v>
      </c>
      <c r="AK53" s="45"/>
      <c r="AL53" s="118" t="e">
        <f>C57</f>
        <v>#VALUE!</v>
      </c>
      <c r="AM53" s="118" t="e">
        <f>INDEX(P46:AJ65,MATCH(AL53,O46:O61,0),D63)</f>
        <v>#VALUE!</v>
      </c>
      <c r="AN53" s="118" t="e">
        <f>(((AN52-AM52)/(AO52-AM52))*(AO53-AM53))+AM53</f>
        <v>#VALUE!</v>
      </c>
      <c r="AO53" s="118" t="e">
        <f>INDEX(P46:AJ65,MATCH(AL53,O46:O61,0),E63)</f>
        <v>#VALUE!</v>
      </c>
      <c r="AP53" s="45"/>
      <c r="AQ53" s="46"/>
    </row>
    <row r="54" spans="1:276" ht="21.75" thickBot="1" x14ac:dyDescent="0.4">
      <c r="B54" s="652"/>
      <c r="C54" s="471"/>
      <c r="D54" s="40"/>
      <c r="E54" s="666"/>
      <c r="F54" s="169"/>
      <c r="G54" s="193"/>
      <c r="H54" s="193"/>
      <c r="I54" s="658"/>
      <c r="J54" s="658"/>
      <c r="K54" s="658"/>
      <c r="L54" s="193"/>
      <c r="N54" s="79"/>
      <c r="O54" s="423">
        <v>55.72</v>
      </c>
      <c r="P54" s="184">
        <v>10</v>
      </c>
      <c r="Q54" s="491"/>
      <c r="R54" s="630">
        <v>8.8800000000000008</v>
      </c>
      <c r="S54" s="630">
        <v>13.69</v>
      </c>
      <c r="T54" s="630">
        <v>18.5</v>
      </c>
      <c r="U54" s="630">
        <v>23.31</v>
      </c>
      <c r="V54" s="630">
        <f>U54+4.81</f>
        <v>28.119999999999997</v>
      </c>
      <c r="W54" s="630">
        <f t="shared" ref="W54:AJ54" si="9">V54+4.81</f>
        <v>32.93</v>
      </c>
      <c r="X54" s="630">
        <f t="shared" si="9"/>
        <v>37.74</v>
      </c>
      <c r="Y54" s="630">
        <f t="shared" si="9"/>
        <v>42.550000000000004</v>
      </c>
      <c r="Z54" s="630">
        <f t="shared" si="9"/>
        <v>47.360000000000007</v>
      </c>
      <c r="AA54" s="630">
        <f t="shared" si="9"/>
        <v>52.170000000000009</v>
      </c>
      <c r="AB54" s="630">
        <f t="shared" si="9"/>
        <v>56.980000000000011</v>
      </c>
      <c r="AC54" s="630">
        <f t="shared" si="9"/>
        <v>61.790000000000013</v>
      </c>
      <c r="AD54" s="630">
        <f t="shared" si="9"/>
        <v>66.600000000000009</v>
      </c>
      <c r="AE54" s="630">
        <f t="shared" si="9"/>
        <v>71.410000000000011</v>
      </c>
      <c r="AF54" s="630">
        <f t="shared" si="9"/>
        <v>76.220000000000013</v>
      </c>
      <c r="AG54" s="630">
        <f t="shared" si="9"/>
        <v>81.030000000000015</v>
      </c>
      <c r="AH54" s="630">
        <f t="shared" si="9"/>
        <v>85.840000000000018</v>
      </c>
      <c r="AI54" s="630">
        <f t="shared" si="9"/>
        <v>90.65000000000002</v>
      </c>
      <c r="AJ54" s="630">
        <f t="shared" si="9"/>
        <v>95.460000000000022</v>
      </c>
      <c r="AK54" s="45"/>
      <c r="AL54" s="413"/>
      <c r="AM54" s="118"/>
      <c r="AN54" s="119"/>
      <c r="AO54" s="118"/>
      <c r="AP54" s="45"/>
      <c r="AQ54" s="46"/>
    </row>
    <row r="55" spans="1:276" ht="19.5" thickBot="1" x14ac:dyDescent="0.35">
      <c r="B55" s="643"/>
      <c r="C55" s="471"/>
      <c r="D55" s="653"/>
      <c r="E55" s="667"/>
      <c r="F55" s="669"/>
      <c r="G55" s="425"/>
      <c r="H55" s="193"/>
      <c r="I55" s="658"/>
      <c r="J55" s="658"/>
      <c r="K55" s="658"/>
      <c r="L55" s="193"/>
      <c r="N55" s="79"/>
      <c r="O55" s="423">
        <v>60.72</v>
      </c>
      <c r="P55" s="184">
        <v>11</v>
      </c>
      <c r="Q55" s="491"/>
      <c r="R55" s="298">
        <v>9.6300000000000008</v>
      </c>
      <c r="S55" s="298">
        <v>14.81</v>
      </c>
      <c r="T55" s="298">
        <v>20</v>
      </c>
      <c r="U55" s="298">
        <v>25.18</v>
      </c>
      <c r="V55" s="298">
        <v>30.37</v>
      </c>
      <c r="W55" s="298">
        <v>35.549999999999997</v>
      </c>
      <c r="X55" s="298">
        <v>40.729999999999997</v>
      </c>
      <c r="Y55" s="298">
        <v>45.92</v>
      </c>
      <c r="Z55" s="298">
        <v>51.1</v>
      </c>
      <c r="AA55" s="633">
        <v>56.29</v>
      </c>
      <c r="AB55" s="633">
        <f>AA55+5.17</f>
        <v>61.46</v>
      </c>
      <c r="AC55" s="633">
        <f t="shared" ref="AC55:AI55" si="10">AB55+5.18</f>
        <v>66.64</v>
      </c>
      <c r="AD55" s="633">
        <f t="shared" si="10"/>
        <v>71.819999999999993</v>
      </c>
      <c r="AE55" s="633">
        <f t="shared" si="10"/>
        <v>77</v>
      </c>
      <c r="AF55" s="633">
        <f t="shared" si="10"/>
        <v>82.18</v>
      </c>
      <c r="AG55" s="633">
        <f t="shared" si="10"/>
        <v>87.360000000000014</v>
      </c>
      <c r="AH55" s="633">
        <f t="shared" si="10"/>
        <v>92.54000000000002</v>
      </c>
      <c r="AI55" s="633">
        <f t="shared" si="10"/>
        <v>97.720000000000027</v>
      </c>
      <c r="AJ55" s="633">
        <v>102.94</v>
      </c>
      <c r="AK55" s="45"/>
      <c r="AL55" s="117"/>
      <c r="AM55" s="118"/>
      <c r="AN55" s="118"/>
      <c r="AO55" s="118"/>
      <c r="AP55" s="185"/>
      <c r="AQ55" s="46"/>
    </row>
    <row r="56" spans="1:276" ht="19.5" thickBot="1" x14ac:dyDescent="0.35">
      <c r="B56" s="639" t="s">
        <v>38</v>
      </c>
      <c r="C56" s="640" t="e">
        <f>C4+5.955+2.045</f>
        <v>#VALUE!</v>
      </c>
      <c r="D56" s="471"/>
      <c r="E56" s="666"/>
      <c r="F56" s="169"/>
      <c r="G56" s="656"/>
      <c r="H56" s="193"/>
      <c r="I56" s="658"/>
      <c r="J56" s="658"/>
      <c r="K56" s="658"/>
      <c r="L56" s="193"/>
      <c r="N56" s="79"/>
      <c r="O56" s="423">
        <v>65.72</v>
      </c>
      <c r="P56" s="184">
        <v>12</v>
      </c>
      <c r="Q56" s="491"/>
      <c r="R56" s="298">
        <v>10.38</v>
      </c>
      <c r="S56" s="298">
        <v>15.93</v>
      </c>
      <c r="T56" s="298">
        <v>21.49</v>
      </c>
      <c r="U56" s="298">
        <v>27.05</v>
      </c>
      <c r="V56" s="298">
        <v>32.61</v>
      </c>
      <c r="W56" s="298">
        <v>38.159999999999997</v>
      </c>
      <c r="X56" s="298">
        <v>43.72</v>
      </c>
      <c r="Y56" s="298">
        <v>49.28</v>
      </c>
      <c r="Z56" s="298">
        <v>54.84</v>
      </c>
      <c r="AA56" s="633">
        <v>60.39</v>
      </c>
      <c r="AB56" s="633">
        <f>AA56+5.56</f>
        <v>65.95</v>
      </c>
      <c r="AC56" s="633">
        <f t="shared" ref="AC56:AI56" si="11">AB56+5.56</f>
        <v>71.510000000000005</v>
      </c>
      <c r="AD56" s="633">
        <f t="shared" si="11"/>
        <v>77.070000000000007</v>
      </c>
      <c r="AE56" s="633">
        <f t="shared" si="11"/>
        <v>82.63000000000001</v>
      </c>
      <c r="AF56" s="633">
        <f t="shared" si="11"/>
        <v>88.190000000000012</v>
      </c>
      <c r="AG56" s="633">
        <f t="shared" si="11"/>
        <v>93.750000000000014</v>
      </c>
      <c r="AH56" s="633">
        <f t="shared" si="11"/>
        <v>99.310000000000016</v>
      </c>
      <c r="AI56" s="633">
        <f t="shared" si="11"/>
        <v>104.87000000000002</v>
      </c>
      <c r="AJ56" s="633">
        <v>110.41</v>
      </c>
      <c r="AK56" s="45"/>
      <c r="AL56" s="327"/>
      <c r="AM56" s="327"/>
      <c r="AN56" s="327"/>
      <c r="AO56" s="327"/>
      <c r="AP56" s="327"/>
      <c r="AQ56" s="46"/>
    </row>
    <row r="57" spans="1:276" ht="19.5" thickBot="1" x14ac:dyDescent="0.35">
      <c r="B57" s="639" t="s">
        <v>39</v>
      </c>
      <c r="C57" s="906" t="e">
        <f>VALUE(FIXED(C5,2))</f>
        <v>#VALUE!</v>
      </c>
      <c r="D57" s="40"/>
      <c r="E57" s="666"/>
      <c r="F57" s="169"/>
      <c r="G57" s="656"/>
      <c r="H57" s="193"/>
      <c r="I57" s="658"/>
      <c r="J57" s="658"/>
      <c r="K57" s="658"/>
      <c r="L57" s="193"/>
      <c r="N57" s="79"/>
      <c r="O57" s="423">
        <v>70.72</v>
      </c>
      <c r="P57" s="184">
        <v>13</v>
      </c>
      <c r="Q57" s="491"/>
      <c r="R57" s="298">
        <v>11.12</v>
      </c>
      <c r="S57" s="298">
        <v>17.05</v>
      </c>
      <c r="T57" s="298">
        <v>22.99</v>
      </c>
      <c r="U57" s="298">
        <v>28.92</v>
      </c>
      <c r="V57" s="298">
        <v>34.85</v>
      </c>
      <c r="W57" s="298">
        <v>40.78</v>
      </c>
      <c r="X57" s="298">
        <v>46.71</v>
      </c>
      <c r="Y57" s="298">
        <v>52.64</v>
      </c>
      <c r="Z57" s="298">
        <v>58.57</v>
      </c>
      <c r="AA57" s="633">
        <v>64.5</v>
      </c>
      <c r="AB57" s="633">
        <f>AA57+5.93</f>
        <v>70.430000000000007</v>
      </c>
      <c r="AC57" s="633">
        <f t="shared" ref="AC57:AJ57" si="12">AB57+5.93</f>
        <v>76.360000000000014</v>
      </c>
      <c r="AD57" s="633">
        <f t="shared" si="12"/>
        <v>82.29000000000002</v>
      </c>
      <c r="AE57" s="633">
        <f t="shared" si="12"/>
        <v>88.220000000000027</v>
      </c>
      <c r="AF57" s="633">
        <f t="shared" si="12"/>
        <v>94.150000000000034</v>
      </c>
      <c r="AG57" s="633">
        <f t="shared" si="12"/>
        <v>100.08000000000004</v>
      </c>
      <c r="AH57" s="633">
        <f t="shared" si="12"/>
        <v>106.01000000000005</v>
      </c>
      <c r="AI57" s="633">
        <f t="shared" si="12"/>
        <v>111.94000000000005</v>
      </c>
      <c r="AJ57" s="633">
        <f t="shared" si="12"/>
        <v>117.87000000000006</v>
      </c>
      <c r="AK57" s="45"/>
      <c r="AL57" s="45"/>
      <c r="AM57" s="327"/>
      <c r="AN57" s="186"/>
      <c r="AO57" s="185"/>
      <c r="AP57" s="325"/>
      <c r="AQ57" s="46"/>
    </row>
    <row r="58" spans="1:276" ht="21.75" thickBot="1" x14ac:dyDescent="0.4">
      <c r="B58" s="642" t="s">
        <v>63</v>
      </c>
      <c r="C58" s="471"/>
      <c r="D58" s="471"/>
      <c r="E58" s="666"/>
      <c r="F58" s="169"/>
      <c r="G58" s="656"/>
      <c r="H58" s="193"/>
      <c r="I58" s="658"/>
      <c r="J58" s="658"/>
      <c r="K58" s="658"/>
      <c r="L58" s="193"/>
      <c r="N58" s="79"/>
      <c r="O58" s="124"/>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AN48</f>
        <v>#VALUE!</v>
      </c>
      <c r="AP58" s="325" t="s">
        <v>141</v>
      </c>
      <c r="AQ58" s="46"/>
    </row>
    <row r="59" spans="1:276" ht="19.5" thickBot="1" x14ac:dyDescent="0.35">
      <c r="B59" s="643"/>
      <c r="C59" s="40"/>
      <c r="D59" s="471"/>
      <c r="E59" s="666"/>
      <c r="F59" s="169"/>
      <c r="G59" s="193"/>
      <c r="H59" s="193"/>
      <c r="I59" s="658"/>
      <c r="J59" s="658"/>
      <c r="K59" s="658"/>
      <c r="L59" s="193"/>
      <c r="N59" s="79"/>
      <c r="O59" s="124"/>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AN53</f>
        <v>#VALUE!</v>
      </c>
      <c r="AP59" s="185" t="s">
        <v>141</v>
      </c>
      <c r="AQ59" s="77"/>
    </row>
    <row r="60" spans="1:276" ht="15.75" thickBot="1" x14ac:dyDescent="0.3">
      <c r="B60" s="643"/>
      <c r="C60" s="644"/>
      <c r="D60" s="645" t="s">
        <v>32</v>
      </c>
      <c r="E60" s="662"/>
      <c r="F60" s="668"/>
      <c r="G60" s="193"/>
      <c r="H60" s="193"/>
      <c r="I60" s="193"/>
      <c r="J60" s="193"/>
      <c r="K60" s="193"/>
      <c r="L60" s="193"/>
      <c r="N60" s="79"/>
      <c r="O60" s="124"/>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276" ht="15.75" thickBot="1" x14ac:dyDescent="0.3">
      <c r="B61" s="643"/>
      <c r="C61" s="646"/>
      <c r="D61" s="647" t="s">
        <v>64</v>
      </c>
      <c r="E61" s="663" t="s">
        <v>65</v>
      </c>
      <c r="F61" s="668"/>
      <c r="G61" s="193"/>
      <c r="H61" s="193"/>
      <c r="I61" s="193"/>
      <c r="J61" s="193"/>
      <c r="K61" s="193"/>
      <c r="L61" s="193"/>
      <c r="N61" s="79"/>
      <c r="O61" s="124"/>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276" ht="15.75" thickBot="1" x14ac:dyDescent="0.3">
      <c r="A62" s="2"/>
      <c r="B62" s="643"/>
      <c r="C62" s="648"/>
      <c r="D62" s="649" t="e">
        <f>IF(AND(C56&lt;18,C56&gt;=H4),12,FLOOR(C56/6,1)*6)</f>
        <v>#VALUE!</v>
      </c>
      <c r="E62" s="664" t="e">
        <f>IF(D62&lt;12,12,D62+6)</f>
        <v>#VALUE!</v>
      </c>
      <c r="F62" s="668"/>
      <c r="G62" s="193"/>
      <c r="H62" s="193"/>
      <c r="I62" s="193"/>
      <c r="J62" s="193"/>
      <c r="K62" s="193"/>
      <c r="L62" s="193"/>
      <c r="N62" s="79"/>
      <c r="O62" s="124"/>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276" ht="15.75" thickBot="1" x14ac:dyDescent="0.3">
      <c r="A63" s="2"/>
      <c r="B63" s="643"/>
      <c r="C63" s="648" t="s">
        <v>34</v>
      </c>
      <c r="D63" s="649" t="e">
        <f>HLOOKUP(D62,P44:AJ45,2)</f>
        <v>#VALUE!</v>
      </c>
      <c r="E63" s="664" t="e">
        <f>HLOOKUP(E62,P44:AJ45,2)</f>
        <v>#VALUE!</v>
      </c>
      <c r="F63" s="668"/>
      <c r="G63" s="193"/>
      <c r="H63" s="193"/>
      <c r="I63" s="193"/>
      <c r="J63" s="193"/>
      <c r="K63" s="193"/>
      <c r="L63" s="193"/>
      <c r="N63" s="79"/>
      <c r="O63" s="124"/>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276" ht="15.75" thickBot="1" x14ac:dyDescent="0.3">
      <c r="B64" s="643"/>
      <c r="C64" s="650"/>
      <c r="D64" s="651"/>
      <c r="E64" s="665"/>
      <c r="F64" s="668"/>
      <c r="G64" s="193"/>
      <c r="H64" s="193"/>
      <c r="I64" s="193"/>
      <c r="J64" s="193"/>
      <c r="K64" s="193"/>
      <c r="L64" s="193"/>
      <c r="N64" s="79"/>
      <c r="O64" s="124"/>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15.75" thickBot="1" x14ac:dyDescent="0.3">
      <c r="B65" s="42"/>
      <c r="C65" s="43"/>
      <c r="D65" s="43"/>
      <c r="E65" s="43"/>
      <c r="F65" s="170"/>
      <c r="G65" s="193"/>
      <c r="H65" s="193"/>
      <c r="I65" s="193"/>
      <c r="J65" s="193"/>
      <c r="K65" s="193"/>
      <c r="L65" s="193"/>
      <c r="N65" s="79"/>
      <c r="O65" s="124"/>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193"/>
      <c r="C66" s="193"/>
      <c r="D66" s="193"/>
      <c r="E66" s="193"/>
      <c r="F66" s="193"/>
      <c r="G66" s="193"/>
      <c r="H66" s="193"/>
      <c r="I66" s="193"/>
      <c r="J66" s="193"/>
      <c r="K66" s="193"/>
      <c r="L66" s="193"/>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193"/>
      <c r="C67" s="436"/>
      <c r="D67" s="436"/>
      <c r="E67" s="436"/>
      <c r="F67" s="436"/>
      <c r="G67" s="436"/>
      <c r="H67" s="436"/>
      <c r="I67" s="436"/>
      <c r="J67" s="193"/>
      <c r="K67" s="193"/>
      <c r="L67" s="193"/>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193"/>
      <c r="C68" s="436"/>
      <c r="D68" s="436"/>
      <c r="E68" s="436"/>
      <c r="F68" s="436"/>
      <c r="G68" s="436"/>
      <c r="H68" s="436"/>
      <c r="I68" s="436"/>
      <c r="J68" s="193"/>
      <c r="K68" s="193"/>
      <c r="L68" s="193"/>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193"/>
      <c r="C69" s="436"/>
      <c r="D69" s="436"/>
      <c r="E69" s="436"/>
      <c r="F69" s="436"/>
      <c r="G69" s="436"/>
      <c r="H69" s="436"/>
      <c r="I69" s="436"/>
      <c r="J69" s="193"/>
      <c r="K69" s="193"/>
      <c r="L69" s="193"/>
      <c r="BG69" s="2"/>
      <c r="BH69" s="2"/>
    </row>
    <row r="70" spans="1:79" ht="24" thickBot="1" x14ac:dyDescent="0.4">
      <c r="A70" s="2"/>
      <c r="B70" s="193"/>
      <c r="C70" s="436"/>
      <c r="D70" s="436"/>
      <c r="E70" s="436"/>
      <c r="F70" s="436"/>
      <c r="G70" s="436"/>
      <c r="H70" s="436"/>
      <c r="I70" s="436"/>
      <c r="J70" s="193"/>
      <c r="K70" s="193"/>
      <c r="L70" s="193"/>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193"/>
      <c r="C71" s="436"/>
      <c r="D71" s="436"/>
      <c r="E71" s="436"/>
      <c r="F71" s="436"/>
      <c r="G71" s="436"/>
      <c r="H71" s="436"/>
      <c r="I71" s="436"/>
      <c r="J71" s="193"/>
      <c r="K71" s="193"/>
      <c r="L71" s="193"/>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193"/>
      <c r="C72" s="193"/>
      <c r="D72" s="193"/>
      <c r="E72" s="193"/>
      <c r="F72" s="193"/>
      <c r="G72" s="193"/>
      <c r="H72" s="193"/>
      <c r="I72" s="193"/>
      <c r="J72" s="193"/>
      <c r="K72" s="193"/>
      <c r="L72" s="193"/>
      <c r="N72" s="997"/>
      <c r="O72" s="423" t="s">
        <v>379</v>
      </c>
      <c r="P72" s="422"/>
      <c r="Q72" s="40"/>
      <c r="R72" s="423" t="s">
        <v>378</v>
      </c>
      <c r="S72" s="40"/>
      <c r="T72" s="40"/>
      <c r="U72" s="423" t="s">
        <v>249</v>
      </c>
      <c r="V72" s="40"/>
      <c r="W72" s="169"/>
      <c r="X72" s="193"/>
      <c r="Y72" s="41"/>
      <c r="Z72" s="496" t="s">
        <v>149</v>
      </c>
      <c r="AA72" s="40"/>
      <c r="AB72" s="40" t="e">
        <f>(AO58*2)+(AO59*2)</f>
        <v>#VALUE!</v>
      </c>
      <c r="AC72" s="40" t="s">
        <v>141</v>
      </c>
      <c r="AD72" s="40"/>
      <c r="AE72" s="40"/>
      <c r="AF72" s="40"/>
      <c r="AG72" s="40"/>
      <c r="AH72" s="40"/>
      <c r="AI72" s="40"/>
      <c r="AJ72" s="169"/>
      <c r="BF72" s="2"/>
      <c r="BG72" s="2"/>
    </row>
    <row r="73" spans="1:79" ht="21" x14ac:dyDescent="0.35">
      <c r="A73" s="2"/>
      <c r="B73" s="655"/>
      <c r="C73" s="193"/>
      <c r="D73" s="193"/>
      <c r="E73" s="193"/>
      <c r="F73" s="193"/>
      <c r="G73" s="193"/>
      <c r="H73" s="193"/>
      <c r="I73" s="193"/>
      <c r="J73" s="193"/>
      <c r="K73" s="193"/>
      <c r="L73" s="193"/>
      <c r="N73" s="872"/>
      <c r="O73" s="223" t="s">
        <v>142</v>
      </c>
      <c r="P73" s="40">
        <v>0.12740000000000001</v>
      </c>
      <c r="Q73" s="40" t="s">
        <v>139</v>
      </c>
      <c r="R73" s="40" t="s">
        <v>376</v>
      </c>
      <c r="S73" s="40">
        <f>0.14</f>
        <v>0.14000000000000001</v>
      </c>
      <c r="T73" s="40" t="s">
        <v>141</v>
      </c>
      <c r="U73" s="581" t="str">
        <f>IF(C4&gt;108.977,"GA_7.088",IF(AND(C3&lt;=108.977,C4&lt;=36.977),"OP_7.088","SE_7.088"))</f>
        <v>GA_7.088</v>
      </c>
      <c r="V73" s="583" t="e">
        <f>INDEX(MC_ROOF!J2:K10, MATCH(U73,MC_ROOF!J2:J10,0),2)</f>
        <v>#VALUE!</v>
      </c>
      <c r="W73" s="169" t="s">
        <v>141</v>
      </c>
      <c r="X73" s="193"/>
      <c r="Y73" s="41"/>
      <c r="Z73" s="496" t="s">
        <v>341</v>
      </c>
      <c r="AA73" s="40"/>
      <c r="AB73" s="415" t="e">
        <f>P76</f>
        <v>#N/A</v>
      </c>
      <c r="AC73" s="40" t="s">
        <v>141</v>
      </c>
      <c r="AD73" s="40"/>
      <c r="AE73" s="40"/>
      <c r="AF73" s="40"/>
      <c r="AG73" s="40"/>
      <c r="AH73" s="40"/>
      <c r="AI73" s="40"/>
      <c r="AJ73" s="169"/>
      <c r="BF73" s="2"/>
    </row>
    <row r="74" spans="1:79" ht="15.75" x14ac:dyDescent="0.25">
      <c r="A74" s="2"/>
      <c r="B74" s="193"/>
      <c r="C74" s="193"/>
      <c r="D74" s="425"/>
      <c r="E74" s="425"/>
      <c r="F74" s="426"/>
      <c r="G74" s="425"/>
      <c r="H74" s="193"/>
      <c r="I74" s="193"/>
      <c r="J74" s="193"/>
      <c r="K74" s="193"/>
      <c r="L74" s="193"/>
      <c r="N74" s="420"/>
      <c r="O74" s="40" t="s">
        <v>231</v>
      </c>
      <c r="P74" s="40" t="str">
        <f>C5</f>
        <v>ENTER HEIGHT</v>
      </c>
      <c r="Q74" s="40" t="s">
        <v>151</v>
      </c>
      <c r="R74" s="40" t="s">
        <v>244</v>
      </c>
      <c r="S74" s="40" t="e">
        <f>P75</f>
        <v>#N/A</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193"/>
      <c r="C75" s="193"/>
      <c r="D75" s="425"/>
      <c r="E75" s="656"/>
      <c r="F75" s="656"/>
      <c r="G75" s="656"/>
      <c r="H75" s="193"/>
      <c r="I75" s="193"/>
      <c r="J75" s="193"/>
      <c r="K75" s="193"/>
      <c r="L75" s="193"/>
      <c r="N75" s="41"/>
      <c r="O75" s="40" t="s">
        <v>336</v>
      </c>
      <c r="P75" s="40" t="e">
        <f>IF(G13=1,8,IF(G13=2,12,IF(G13=3,14,IF(G13=4,24,IF(G13=5,24,"N/A")))))</f>
        <v>#N/A</v>
      </c>
      <c r="Q75" s="40"/>
      <c r="R75" s="40"/>
      <c r="S75" s="40"/>
      <c r="T75" s="40"/>
      <c r="U75" s="40"/>
      <c r="V75" s="40"/>
      <c r="W75" s="169"/>
      <c r="X75" s="193"/>
      <c r="Y75" s="41"/>
      <c r="Z75" s="496" t="s">
        <v>342</v>
      </c>
      <c r="AA75" s="40"/>
      <c r="AB75" s="40" t="e">
        <f>S76</f>
        <v>#N/A</v>
      </c>
      <c r="AC75" s="40" t="s">
        <v>141</v>
      </c>
      <c r="AD75" s="40"/>
      <c r="AE75" s="40"/>
      <c r="AF75" s="40"/>
      <c r="AG75" s="40"/>
      <c r="AH75" s="40"/>
      <c r="AI75" s="40"/>
      <c r="AJ75" s="169"/>
    </row>
    <row r="76" spans="1:79" ht="18.75" x14ac:dyDescent="0.3">
      <c r="A76" s="2"/>
      <c r="B76" s="193"/>
      <c r="C76" s="193"/>
      <c r="D76" s="425"/>
      <c r="E76" s="656"/>
      <c r="F76" s="657"/>
      <c r="G76" s="656"/>
      <c r="H76" s="193"/>
      <c r="I76" s="658"/>
      <c r="J76" s="658"/>
      <c r="K76" s="658"/>
      <c r="L76" s="193"/>
      <c r="N76" s="41"/>
      <c r="O76" s="672" t="s">
        <v>380</v>
      </c>
      <c r="P76" s="40" t="e">
        <f>P75*(P73*P74)</f>
        <v>#N/A</v>
      </c>
      <c r="Q76" s="40" t="s">
        <v>141</v>
      </c>
      <c r="R76" s="495" t="s">
        <v>248</v>
      </c>
      <c r="S76" s="40" t="e">
        <f>S74*2*S73</f>
        <v>#N/A</v>
      </c>
      <c r="T76" s="40" t="s">
        <v>141</v>
      </c>
      <c r="U76" s="582" t="s">
        <v>249</v>
      </c>
      <c r="V76" s="583" t="e">
        <f>V73</f>
        <v>#VALUE!</v>
      </c>
      <c r="W76" s="169" t="s">
        <v>141</v>
      </c>
      <c r="X76" s="193"/>
      <c r="Y76" s="41"/>
      <c r="Z76" s="496" t="s">
        <v>254</v>
      </c>
      <c r="AA76" s="40"/>
      <c r="AB76" s="40" t="e">
        <f>S83</f>
        <v>#N/A</v>
      </c>
      <c r="AC76" s="40" t="s">
        <v>141</v>
      </c>
      <c r="AD76" s="40"/>
      <c r="AE76" s="40"/>
      <c r="AF76" s="40"/>
      <c r="AG76" s="40"/>
      <c r="AH76" s="40"/>
      <c r="AI76" s="40"/>
      <c r="AJ76" s="169"/>
      <c r="BS76" s="2"/>
      <c r="BT76" s="2"/>
      <c r="BU76" s="2"/>
      <c r="BV76" s="2"/>
      <c r="BW76" s="2"/>
      <c r="BX76" s="2"/>
      <c r="BY76" s="2"/>
      <c r="BZ76" s="2"/>
      <c r="CA76" s="2"/>
    </row>
    <row r="77" spans="1:79" ht="18.75" x14ac:dyDescent="0.3">
      <c r="B77" s="193"/>
      <c r="C77" s="193"/>
      <c r="D77" s="425"/>
      <c r="E77" s="656"/>
      <c r="F77" s="656"/>
      <c r="G77" s="656"/>
      <c r="H77" s="193"/>
      <c r="I77" s="658"/>
      <c r="J77" s="658"/>
      <c r="K77" s="658"/>
      <c r="L77" s="193"/>
      <c r="N77" s="41"/>
      <c r="O77" s="423"/>
      <c r="P77" s="40"/>
      <c r="Q77" s="40"/>
      <c r="R77" s="40"/>
      <c r="S77" s="40"/>
      <c r="T77" s="40"/>
      <c r="U77" s="40"/>
      <c r="V77" s="40"/>
      <c r="W77" s="169"/>
      <c r="X77" s="193"/>
      <c r="Y77" s="41"/>
      <c r="Z77" s="496" t="s">
        <v>249</v>
      </c>
      <c r="AA77" s="40"/>
      <c r="AB77" s="40" t="e">
        <f>V76</f>
        <v>#VALUE!</v>
      </c>
      <c r="AC77" s="40" t="s">
        <v>141</v>
      </c>
      <c r="AD77" s="40"/>
      <c r="AE77" s="40"/>
      <c r="AF77" s="40"/>
      <c r="AG77" s="40"/>
      <c r="AH77" s="40"/>
      <c r="AI77" s="40"/>
      <c r="AJ77" s="169"/>
      <c r="BS77" s="2"/>
      <c r="BT77" s="2"/>
      <c r="BU77" s="2"/>
      <c r="BV77" s="2"/>
      <c r="BW77" s="2"/>
      <c r="BX77" s="2"/>
      <c r="BY77" s="2"/>
      <c r="BZ77" s="2"/>
      <c r="CA77" s="2"/>
    </row>
    <row r="78" spans="1:79" x14ac:dyDescent="0.25">
      <c r="B78" s="193"/>
      <c r="C78" s="193"/>
      <c r="D78" s="193"/>
      <c r="E78" s="193"/>
      <c r="F78" s="193"/>
      <c r="G78" s="193"/>
      <c r="H78" s="193"/>
      <c r="I78" s="193"/>
      <c r="J78" s="193"/>
      <c r="K78" s="193"/>
      <c r="L78" s="193"/>
      <c r="N78" s="41"/>
      <c r="O78" s="423"/>
      <c r="P78" s="40"/>
      <c r="Q78" s="40"/>
      <c r="R78" s="40"/>
      <c r="S78" s="40"/>
      <c r="T78" s="40"/>
      <c r="U78" s="40"/>
      <c r="V78" s="40"/>
      <c r="W78" s="169"/>
      <c r="X78" s="193"/>
      <c r="Y78" s="41"/>
      <c r="Z78" s="496"/>
      <c r="AA78" s="40"/>
      <c r="AB78" s="40"/>
      <c r="AC78" s="40"/>
      <c r="AD78" s="40"/>
      <c r="AE78" s="40"/>
      <c r="AF78" s="40"/>
      <c r="AG78" s="40"/>
      <c r="AH78" s="40"/>
      <c r="AI78" s="40"/>
      <c r="AJ78" s="169"/>
      <c r="BS78" s="2"/>
      <c r="BT78" s="2"/>
      <c r="BU78" s="2"/>
      <c r="BV78" s="2"/>
      <c r="BW78" s="2"/>
      <c r="BX78" s="2"/>
      <c r="BY78" s="2"/>
      <c r="BZ78" s="2"/>
      <c r="CA78" s="2"/>
    </row>
    <row r="79" spans="1:79" x14ac:dyDescent="0.25">
      <c r="B79" s="193"/>
      <c r="C79" s="193"/>
      <c r="D79" s="193"/>
      <c r="E79" s="193"/>
      <c r="F79" s="193"/>
      <c r="G79" s="193"/>
      <c r="H79" s="193"/>
      <c r="I79" s="193"/>
      <c r="J79" s="193"/>
      <c r="K79" s="193"/>
      <c r="L79" s="193"/>
      <c r="N79" s="41"/>
      <c r="O79" s="423" t="s">
        <v>148</v>
      </c>
      <c r="P79" s="40"/>
      <c r="Q79" s="40"/>
      <c r="R79" s="423" t="s">
        <v>253</v>
      </c>
      <c r="S79" s="40"/>
      <c r="T79" s="40"/>
      <c r="U79" s="423"/>
      <c r="V79" s="40"/>
      <c r="W79" s="169"/>
      <c r="X79" s="193"/>
      <c r="Y79" s="41"/>
      <c r="AA79" s="40"/>
      <c r="AB79" s="40"/>
      <c r="AC79" s="40"/>
      <c r="AD79" s="40"/>
      <c r="AE79" s="40"/>
      <c r="AF79" s="40"/>
      <c r="AG79" s="40"/>
      <c r="AH79" s="40"/>
      <c r="AI79" s="40"/>
      <c r="AJ79" s="169"/>
      <c r="BS79" s="2"/>
      <c r="BT79" s="2"/>
      <c r="BU79" s="2"/>
      <c r="BV79" s="2"/>
      <c r="BW79" s="2"/>
      <c r="BX79" s="2"/>
      <c r="BY79" s="2"/>
      <c r="BZ79" s="2"/>
      <c r="CA79" s="2"/>
    </row>
    <row r="80" spans="1:79" x14ac:dyDescent="0.25">
      <c r="B80" s="193"/>
      <c r="C80" s="193"/>
      <c r="D80" s="193"/>
      <c r="E80" s="193"/>
      <c r="F80" s="193"/>
      <c r="G80" s="193"/>
      <c r="H80" s="193"/>
      <c r="I80" s="193"/>
      <c r="J80" s="193"/>
      <c r="K80" s="193"/>
      <c r="L80" s="193"/>
      <c r="N80" s="41"/>
      <c r="O80" s="223" t="s">
        <v>142</v>
      </c>
      <c r="P80" s="40">
        <v>8.9999999999999998E-4</v>
      </c>
      <c r="Q80" s="40" t="s">
        <v>147</v>
      </c>
      <c r="R80" s="40" t="s">
        <v>142</v>
      </c>
      <c r="S80" s="40">
        <v>2.2602375158275841E-2</v>
      </c>
      <c r="T80" s="40" t="s">
        <v>141</v>
      </c>
      <c r="U80" s="40"/>
      <c r="V80" s="40"/>
      <c r="W80" s="169"/>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79" ht="21" x14ac:dyDescent="0.35">
      <c r="B81" s="655"/>
      <c r="C81" s="193"/>
      <c r="D81" s="193"/>
      <c r="E81" s="193"/>
      <c r="F81" s="193"/>
      <c r="G81" s="193"/>
      <c r="H81" s="193"/>
      <c r="I81" s="193"/>
      <c r="J81" s="193"/>
      <c r="K81" s="193"/>
      <c r="L81" s="193"/>
      <c r="N81" s="41"/>
      <c r="O81" s="223" t="s">
        <v>152</v>
      </c>
      <c r="P81" s="40" t="e">
        <f>(C3*C5*2)+(C4*C5*2)</f>
        <v>#VALUE!</v>
      </c>
      <c r="Q81" s="40" t="s">
        <v>153</v>
      </c>
      <c r="R81" s="40" t="s">
        <v>231</v>
      </c>
      <c r="S81" s="40" t="str">
        <f>C5</f>
        <v>ENTER HEIGHT</v>
      </c>
      <c r="T81" s="40" t="s">
        <v>151</v>
      </c>
      <c r="U81" s="40"/>
      <c r="V81" s="40"/>
      <c r="W81" s="169"/>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79" ht="18.75" x14ac:dyDescent="0.3">
      <c r="A82" s="2"/>
      <c r="B82" s="436"/>
      <c r="C82" s="193"/>
      <c r="D82" s="854"/>
      <c r="E82" s="855"/>
      <c r="F82" s="193"/>
      <c r="G82" s="193"/>
      <c r="H82" s="856"/>
      <c r="I82" s="854"/>
      <c r="J82" s="854"/>
      <c r="K82" s="193"/>
      <c r="L82" s="193"/>
      <c r="N82" s="41"/>
      <c r="O82" s="223"/>
      <c r="P82" s="40"/>
      <c r="Q82" s="40"/>
      <c r="R82" s="40" t="s">
        <v>377</v>
      </c>
      <c r="S82" s="40" t="e">
        <f>IF(G13=1,2,IF(G13=2,4,IF(G13=3,4,IF(G13=4,8,IF(G13=5,8,"N/A")))))</f>
        <v>#N/A</v>
      </c>
      <c r="T82" s="40"/>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79" ht="18.75" x14ac:dyDescent="0.3">
      <c r="A83" s="2"/>
      <c r="B83" s="436"/>
      <c r="C83" s="193"/>
      <c r="D83" s="854"/>
      <c r="E83" s="855"/>
      <c r="F83" s="193"/>
      <c r="G83" s="193"/>
      <c r="H83" s="436"/>
      <c r="I83" s="854"/>
      <c r="J83" s="854"/>
      <c r="K83" s="193"/>
      <c r="L83" s="193"/>
      <c r="N83" s="41"/>
      <c r="O83" s="435" t="s">
        <v>148</v>
      </c>
      <c r="P83" s="415" t="e">
        <f>P80*P81</f>
        <v>#VALUE!</v>
      </c>
      <c r="Q83" s="40" t="s">
        <v>141</v>
      </c>
      <c r="R83" s="495" t="s">
        <v>254</v>
      </c>
      <c r="S83" s="40" t="e">
        <f>S82*(S80*S81)</f>
        <v>#N/A</v>
      </c>
      <c r="T83" s="40" t="s">
        <v>141</v>
      </c>
      <c r="U83" s="495"/>
      <c r="V83" s="40"/>
      <c r="W83" s="169"/>
      <c r="X83" s="193"/>
      <c r="Y83" s="41"/>
      <c r="Z83" s="40"/>
      <c r="AA83" s="40"/>
      <c r="AB83" s="40"/>
      <c r="AC83" s="40"/>
      <c r="AD83" s="40"/>
      <c r="AE83" s="40"/>
      <c r="AF83" s="40"/>
      <c r="AG83" s="40"/>
      <c r="AH83" s="40"/>
      <c r="AI83" s="40"/>
      <c r="AJ83" s="169"/>
      <c r="BS83" s="2"/>
      <c r="BT83" s="2"/>
      <c r="BU83" s="2"/>
      <c r="BV83" s="2"/>
      <c r="BW83" s="2"/>
      <c r="BX83" s="2"/>
      <c r="BY83" s="2"/>
      <c r="BZ83" s="2"/>
      <c r="CA83" s="2"/>
    </row>
    <row r="84" spans="1:79" ht="18.75" x14ac:dyDescent="0.3">
      <c r="A84" s="2"/>
      <c r="B84" s="436"/>
      <c r="C84" s="193"/>
      <c r="D84" s="854"/>
      <c r="E84" s="855"/>
      <c r="F84" s="193"/>
      <c r="G84" s="193"/>
      <c r="H84" s="436"/>
      <c r="I84" s="854"/>
      <c r="J84" s="854"/>
      <c r="K84" s="193"/>
      <c r="L84" s="193"/>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79" ht="18.75" x14ac:dyDescent="0.3">
      <c r="A85" s="2"/>
      <c r="B85" s="436"/>
      <c r="C85" s="193"/>
      <c r="D85" s="854"/>
      <c r="E85" s="855"/>
      <c r="F85" s="193"/>
      <c r="G85" s="193"/>
      <c r="H85" s="436"/>
      <c r="I85" s="854"/>
      <c r="J85" s="854"/>
      <c r="K85" s="193"/>
      <c r="L85" s="193"/>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79" ht="19.5" thickBot="1" x14ac:dyDescent="0.35">
      <c r="A86" s="2"/>
      <c r="B86" s="193"/>
      <c r="C86" s="857"/>
      <c r="D86" s="193"/>
      <c r="E86" s="193"/>
      <c r="F86" s="193"/>
      <c r="G86" s="193"/>
      <c r="H86" s="436"/>
      <c r="I86" s="858"/>
      <c r="J86" s="855"/>
      <c r="K86" s="193"/>
      <c r="L86" s="193"/>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79" ht="18.75" x14ac:dyDescent="0.3">
      <c r="B87" s="436"/>
      <c r="C87" s="193"/>
      <c r="D87" s="858"/>
      <c r="E87" s="855"/>
      <c r="F87" s="193"/>
      <c r="G87" s="859"/>
      <c r="H87" s="857"/>
      <c r="I87" s="854"/>
      <c r="J87" s="855"/>
      <c r="K87" s="193"/>
      <c r="L87" s="193"/>
      <c r="BS87" s="2"/>
      <c r="BT87" s="2"/>
      <c r="BU87" s="2"/>
      <c r="BV87" s="2"/>
      <c r="BW87" s="2"/>
      <c r="BX87" s="2"/>
      <c r="BY87" s="2"/>
      <c r="BZ87" s="2"/>
      <c r="CA87" s="2"/>
    </row>
    <row r="88" spans="1:79" ht="18.75" x14ac:dyDescent="0.3">
      <c r="B88" s="859"/>
      <c r="C88" s="857"/>
      <c r="D88" s="858"/>
      <c r="E88" s="855"/>
      <c r="F88" s="193"/>
      <c r="G88" s="193"/>
      <c r="H88" s="857"/>
      <c r="I88" s="854"/>
      <c r="J88" s="855"/>
      <c r="K88" s="193"/>
      <c r="L88" s="193"/>
      <c r="Q88" s="193"/>
      <c r="R88" s="193"/>
      <c r="S88" s="193"/>
      <c r="T88" s="193"/>
      <c r="U88" s="193"/>
      <c r="V88" s="193"/>
      <c r="W88" s="193"/>
      <c r="X88" s="193"/>
      <c r="Y88" s="193"/>
      <c r="Z88" s="193"/>
      <c r="AA88" s="193"/>
      <c r="BS88" s="2"/>
      <c r="BT88" s="2"/>
      <c r="BU88" s="2"/>
      <c r="BV88" s="2"/>
      <c r="BW88" s="2"/>
      <c r="BX88" s="2"/>
      <c r="BY88" s="2"/>
      <c r="BZ88" s="2"/>
      <c r="CA88" s="2"/>
    </row>
    <row r="89" spans="1:79" ht="19.5" thickBot="1" x14ac:dyDescent="0.35">
      <c r="B89" s="193"/>
      <c r="C89" s="857"/>
      <c r="D89" s="858"/>
      <c r="E89" s="855"/>
      <c r="F89" s="193"/>
      <c r="G89" s="193"/>
      <c r="H89" s="193"/>
      <c r="I89" s="193"/>
      <c r="J89" s="193"/>
      <c r="K89" s="193"/>
      <c r="L89" s="193"/>
      <c r="O89" s="918" t="s">
        <v>412</v>
      </c>
      <c r="P89" s="919"/>
      <c r="Q89" s="920"/>
      <c r="R89" s="920"/>
      <c r="S89" s="920"/>
      <c r="T89" s="920"/>
      <c r="U89" s="920"/>
      <c r="V89" s="920"/>
      <c r="W89" s="920"/>
      <c r="X89" s="920"/>
      <c r="Y89" s="920"/>
      <c r="Z89" s="920"/>
      <c r="AA89" s="919"/>
      <c r="AB89" s="919"/>
      <c r="AC89" s="919"/>
      <c r="AD89" s="919"/>
      <c r="AE89" s="919"/>
      <c r="AF89" s="919"/>
      <c r="AG89" s="919"/>
      <c r="AH89" s="919"/>
      <c r="AI89" s="919"/>
      <c r="AJ89" s="919"/>
      <c r="AK89" s="919"/>
      <c r="AL89" s="919"/>
      <c r="AM89" s="919"/>
      <c r="AN89" s="921"/>
      <c r="BS89" s="2"/>
      <c r="BT89" s="2"/>
      <c r="BU89" s="2"/>
      <c r="BV89" s="2"/>
      <c r="BW89" s="2"/>
      <c r="BX89" s="2"/>
      <c r="BY89" s="2"/>
      <c r="BZ89" s="2"/>
      <c r="CA89" s="2"/>
    </row>
    <row r="90" spans="1:79" ht="15.75" thickBot="1" x14ac:dyDescent="0.3">
      <c r="A90" s="2"/>
      <c r="B90" s="193"/>
      <c r="C90" s="193"/>
      <c r="D90" s="193"/>
      <c r="E90" s="193"/>
      <c r="F90" s="193"/>
      <c r="G90" s="193"/>
      <c r="H90" s="193"/>
      <c r="I90" s="193"/>
      <c r="J90" s="193"/>
      <c r="K90" s="193"/>
      <c r="L90" s="193"/>
      <c r="O90" s="922"/>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23"/>
      <c r="BS90" s="2"/>
      <c r="BT90" s="2"/>
      <c r="BU90" s="2"/>
      <c r="BV90" s="2"/>
      <c r="BW90" s="2"/>
      <c r="BX90" s="2"/>
      <c r="BY90" s="2"/>
      <c r="BZ90" s="2"/>
      <c r="CA90" s="2"/>
    </row>
    <row r="91" spans="1:79" ht="15.75" thickBot="1" x14ac:dyDescent="0.3">
      <c r="A91" s="2"/>
      <c r="B91" s="193"/>
      <c r="C91" s="193"/>
      <c r="D91" s="193"/>
      <c r="E91" s="193"/>
      <c r="F91" s="193"/>
      <c r="G91" s="193"/>
      <c r="H91" s="193"/>
      <c r="I91" s="193"/>
      <c r="J91" s="193"/>
      <c r="K91" s="193"/>
      <c r="L91" s="193"/>
      <c r="O91" s="935">
        <f>O46</f>
        <v>15.72</v>
      </c>
      <c r="P91" s="913"/>
      <c r="Q91" s="924" t="s">
        <v>414</v>
      </c>
      <c r="R91" s="924" t="s">
        <v>414</v>
      </c>
      <c r="S91" s="925">
        <f t="shared" ref="S91:Z102" si="13">S46-R46</f>
        <v>1.8200000000000003</v>
      </c>
      <c r="T91" s="925">
        <f t="shared" si="13"/>
        <v>1.8199999999999994</v>
      </c>
      <c r="U91" s="925">
        <f t="shared" si="13"/>
        <v>1.8199999999999994</v>
      </c>
      <c r="V91" s="925">
        <f t="shared" si="13"/>
        <v>1.83</v>
      </c>
      <c r="W91" s="925">
        <f t="shared" si="13"/>
        <v>1.8200000000000003</v>
      </c>
      <c r="X91" s="925">
        <f t="shared" si="13"/>
        <v>1.8200000000000003</v>
      </c>
      <c r="Y91" s="925">
        <f t="shared" si="13"/>
        <v>1.8200000000000003</v>
      </c>
      <c r="Z91" s="925">
        <f t="shared" si="13"/>
        <v>1.8299999999999983</v>
      </c>
      <c r="AA91" s="913" t="s">
        <v>415</v>
      </c>
      <c r="AB91" s="932"/>
      <c r="AC91" s="932"/>
      <c r="AD91" s="932"/>
      <c r="AE91" s="932"/>
      <c r="AF91" s="932"/>
      <c r="AG91" s="932"/>
      <c r="AH91" s="932"/>
      <c r="AI91" s="932"/>
      <c r="AJ91" s="932"/>
      <c r="AK91" s="932"/>
      <c r="AL91" s="913"/>
      <c r="AM91" s="913"/>
      <c r="AN91" s="923"/>
      <c r="BS91" s="2"/>
      <c r="BT91" s="2"/>
      <c r="BU91" s="2"/>
      <c r="BV91" s="2"/>
      <c r="BW91" s="2"/>
      <c r="BX91" s="2"/>
      <c r="BY91" s="2"/>
      <c r="BZ91" s="2"/>
      <c r="CA91" s="2"/>
    </row>
    <row r="92" spans="1:79" ht="15.75" thickBot="1" x14ac:dyDescent="0.3">
      <c r="A92" s="2"/>
      <c r="B92" s="193"/>
      <c r="C92" s="193"/>
      <c r="D92" s="193"/>
      <c r="E92" s="193"/>
      <c r="F92" s="193"/>
      <c r="G92" s="193"/>
      <c r="H92" s="193"/>
      <c r="I92" s="193"/>
      <c r="J92" s="193"/>
      <c r="K92" s="193"/>
      <c r="L92" s="193"/>
      <c r="O92" s="935">
        <f t="shared" ref="O92:O102" si="14">O47</f>
        <v>20.72</v>
      </c>
      <c r="P92" s="913"/>
      <c r="Q92" s="925" t="s">
        <v>414</v>
      </c>
      <c r="R92" s="925" t="s">
        <v>414</v>
      </c>
      <c r="S92" s="925">
        <f t="shared" si="13"/>
        <v>2.1999999999999997</v>
      </c>
      <c r="T92" s="925">
        <f t="shared" si="13"/>
        <v>2.2000000000000011</v>
      </c>
      <c r="U92" s="925">
        <f t="shared" si="13"/>
        <v>2.1899999999999995</v>
      </c>
      <c r="V92" s="925">
        <f t="shared" si="13"/>
        <v>2.1999999999999993</v>
      </c>
      <c r="W92" s="925">
        <f t="shared" si="13"/>
        <v>2.1900000000000013</v>
      </c>
      <c r="X92" s="925">
        <f t="shared" si="13"/>
        <v>2.1999999999999975</v>
      </c>
      <c r="Y92" s="925">
        <f t="shared" si="13"/>
        <v>2.2000000000000028</v>
      </c>
      <c r="Z92" s="925">
        <f t="shared" si="13"/>
        <v>2.1899999999999977</v>
      </c>
      <c r="AA92" s="913"/>
      <c r="AB92" s="932"/>
      <c r="AC92" s="932"/>
      <c r="AD92" s="932"/>
      <c r="AE92" s="932"/>
      <c r="AF92" s="932"/>
      <c r="AG92" s="932"/>
      <c r="AH92" s="932"/>
      <c r="AI92" s="932"/>
      <c r="AJ92" s="932"/>
      <c r="AK92" s="932"/>
      <c r="AL92" s="913"/>
      <c r="AM92" s="913"/>
      <c r="AN92" s="923"/>
      <c r="BS92" s="2"/>
      <c r="BT92" s="2"/>
      <c r="BU92" s="2"/>
      <c r="BV92" s="2"/>
      <c r="BW92" s="2"/>
      <c r="BX92" s="2"/>
      <c r="BY92" s="2"/>
      <c r="BZ92" s="2"/>
      <c r="CA92" s="2"/>
    </row>
    <row r="93" spans="1:79" ht="15.75" thickBot="1" x14ac:dyDescent="0.3">
      <c r="A93" s="2"/>
      <c r="B93" s="193"/>
      <c r="C93" s="193"/>
      <c r="D93" s="193"/>
      <c r="E93" s="193"/>
      <c r="F93" s="193"/>
      <c r="G93" s="193"/>
      <c r="H93" s="193"/>
      <c r="I93" s="193"/>
      <c r="J93" s="193"/>
      <c r="K93" s="193"/>
      <c r="L93" s="193"/>
      <c r="O93" s="935">
        <f t="shared" si="14"/>
        <v>25.72</v>
      </c>
      <c r="P93" s="913"/>
      <c r="Q93" s="925" t="s">
        <v>414</v>
      </c>
      <c r="R93" s="925" t="s">
        <v>414</v>
      </c>
      <c r="S93" s="925">
        <f t="shared" si="13"/>
        <v>2.5699999999999994</v>
      </c>
      <c r="T93" s="925">
        <f t="shared" si="13"/>
        <v>2.5699999999999994</v>
      </c>
      <c r="U93" s="925">
        <f t="shared" si="13"/>
        <v>2.5700000000000003</v>
      </c>
      <c r="V93" s="925">
        <f t="shared" si="13"/>
        <v>2.5700000000000003</v>
      </c>
      <c r="W93" s="925">
        <f t="shared" si="13"/>
        <v>2.5700000000000003</v>
      </c>
      <c r="X93" s="925">
        <f t="shared" si="13"/>
        <v>2.5700000000000003</v>
      </c>
      <c r="Y93" s="925">
        <f t="shared" si="13"/>
        <v>2.5700000000000003</v>
      </c>
      <c r="Z93" s="925">
        <f t="shared" si="13"/>
        <v>2.5700000000000003</v>
      </c>
      <c r="AA93" s="913"/>
      <c r="AB93" s="932"/>
      <c r="AC93" s="932"/>
      <c r="AD93" s="932"/>
      <c r="AE93" s="932"/>
      <c r="AF93" s="932"/>
      <c r="AG93" s="932"/>
      <c r="AH93" s="932"/>
      <c r="AI93" s="932"/>
      <c r="AJ93" s="932"/>
      <c r="AK93" s="932"/>
      <c r="AL93" s="913"/>
      <c r="AM93" s="913"/>
      <c r="AN93" s="923"/>
      <c r="BS93" s="2"/>
      <c r="BT93" s="2"/>
      <c r="BU93" s="2"/>
      <c r="BV93" s="2"/>
      <c r="BW93" s="2"/>
      <c r="BX93" s="2"/>
      <c r="BY93" s="2"/>
      <c r="BZ93" s="2"/>
      <c r="CA93" s="2"/>
    </row>
    <row r="94" spans="1:79" ht="18.75" customHeight="1" thickBot="1" x14ac:dyDescent="0.3">
      <c r="A94" s="2"/>
      <c r="B94" s="193"/>
      <c r="C94" s="193"/>
      <c r="D94" s="193"/>
      <c r="E94" s="193"/>
      <c r="F94" s="193"/>
      <c r="G94" s="193"/>
      <c r="H94" s="193"/>
      <c r="I94" s="193"/>
      <c r="J94" s="193"/>
      <c r="K94" s="193"/>
      <c r="L94" s="193"/>
      <c r="O94" s="935">
        <f t="shared" si="14"/>
        <v>30.72</v>
      </c>
      <c r="P94" s="913"/>
      <c r="Q94" s="925" t="s">
        <v>414</v>
      </c>
      <c r="R94" s="925" t="s">
        <v>414</v>
      </c>
      <c r="S94" s="925">
        <f t="shared" si="13"/>
        <v>2.9399999999999995</v>
      </c>
      <c r="T94" s="925">
        <f t="shared" si="13"/>
        <v>2.9399999999999995</v>
      </c>
      <c r="U94" s="925">
        <f t="shared" si="13"/>
        <v>2.9500000000000011</v>
      </c>
      <c r="V94" s="925">
        <f t="shared" si="13"/>
        <v>2.9400000000000013</v>
      </c>
      <c r="W94" s="925">
        <f t="shared" si="13"/>
        <v>2.9399999999999977</v>
      </c>
      <c r="X94" s="925">
        <f t="shared" si="13"/>
        <v>2.9499999999999993</v>
      </c>
      <c r="Y94" s="925">
        <f t="shared" si="13"/>
        <v>2.9400000000000013</v>
      </c>
      <c r="Z94" s="925">
        <f t="shared" si="13"/>
        <v>2.9400000000000013</v>
      </c>
      <c r="AA94" s="913"/>
      <c r="AB94" s="932"/>
      <c r="AC94" s="932"/>
      <c r="AD94" s="932"/>
      <c r="AE94" s="932"/>
      <c r="AF94" s="932"/>
      <c r="AG94" s="932"/>
      <c r="AH94" s="932"/>
      <c r="AI94" s="932"/>
      <c r="AJ94" s="932"/>
      <c r="AK94" s="932"/>
      <c r="AL94" s="913"/>
      <c r="AM94" s="913"/>
      <c r="AN94" s="923"/>
      <c r="BS94" s="2"/>
      <c r="BT94" s="2"/>
      <c r="BU94" s="2"/>
      <c r="BV94" s="2"/>
      <c r="BW94" s="2"/>
      <c r="BX94" s="2"/>
      <c r="BY94" s="2"/>
      <c r="BZ94" s="2"/>
      <c r="CA94" s="2"/>
    </row>
    <row r="95" spans="1:79" ht="18.75" customHeight="1" thickBot="1" x14ac:dyDescent="0.3">
      <c r="A95" s="2"/>
      <c r="O95" s="935">
        <f t="shared" si="14"/>
        <v>35.72</v>
      </c>
      <c r="P95" s="913"/>
      <c r="Q95" s="925" t="s">
        <v>414</v>
      </c>
      <c r="R95" s="925" t="s">
        <v>414</v>
      </c>
      <c r="S95" s="925">
        <f t="shared" si="13"/>
        <v>3.3200000000000012</v>
      </c>
      <c r="T95" s="925">
        <f t="shared" si="13"/>
        <v>3.3199999999999985</v>
      </c>
      <c r="U95" s="925">
        <f t="shared" si="13"/>
        <v>3.3100000000000005</v>
      </c>
      <c r="V95" s="925">
        <f t="shared" si="13"/>
        <v>3.3200000000000003</v>
      </c>
      <c r="W95" s="925">
        <f t="shared" si="13"/>
        <v>3.3200000000000003</v>
      </c>
      <c r="X95" s="925">
        <f t="shared" si="13"/>
        <v>3.3099999999999987</v>
      </c>
      <c r="Y95" s="925">
        <f t="shared" si="13"/>
        <v>3.3200000000000003</v>
      </c>
      <c r="Z95" s="925">
        <f t="shared" si="13"/>
        <v>3.3200000000000003</v>
      </c>
      <c r="AA95" s="913"/>
      <c r="AB95" s="932"/>
      <c r="AC95" s="932"/>
      <c r="AD95" s="932"/>
      <c r="AE95" s="932"/>
      <c r="AF95" s="932"/>
      <c r="AG95" s="932"/>
      <c r="AH95" s="932"/>
      <c r="AI95" s="932"/>
      <c r="AJ95" s="932"/>
      <c r="AK95" s="932"/>
      <c r="AL95" s="913"/>
      <c r="AM95" s="913"/>
      <c r="AN95" s="923"/>
      <c r="BS95" s="2"/>
      <c r="BT95" s="2"/>
      <c r="BU95" s="2"/>
      <c r="BV95" s="2"/>
      <c r="BW95" s="2"/>
      <c r="BX95" s="2"/>
      <c r="BY95" s="2"/>
      <c r="BZ95" s="2"/>
      <c r="CA95" s="2"/>
    </row>
    <row r="96" spans="1:79" ht="15.75" thickBot="1" x14ac:dyDescent="0.3">
      <c r="A96" s="193"/>
      <c r="G96" s="193"/>
      <c r="H96" s="193"/>
      <c r="I96" s="193"/>
      <c r="J96" s="193"/>
      <c r="K96" s="193"/>
      <c r="L96" s="193"/>
      <c r="O96" s="935">
        <f t="shared" si="14"/>
        <v>40.72</v>
      </c>
      <c r="P96" s="913"/>
      <c r="Q96" s="925" t="s">
        <v>414</v>
      </c>
      <c r="R96" s="925" t="s">
        <v>414</v>
      </c>
      <c r="S96" s="925">
        <f t="shared" si="13"/>
        <v>3.6900000000000004</v>
      </c>
      <c r="T96" s="925">
        <f t="shared" si="13"/>
        <v>3.6899999999999995</v>
      </c>
      <c r="U96" s="925">
        <f t="shared" si="13"/>
        <v>3.6900000000000013</v>
      </c>
      <c r="V96" s="925">
        <f t="shared" si="13"/>
        <v>3.6899999999999977</v>
      </c>
      <c r="W96" s="925">
        <f t="shared" si="13"/>
        <v>3.6900000000000013</v>
      </c>
      <c r="X96" s="925">
        <f t="shared" si="13"/>
        <v>3.6900000000000013</v>
      </c>
      <c r="Y96" s="925">
        <f t="shared" si="13"/>
        <v>3.6899999999999977</v>
      </c>
      <c r="Z96" s="925">
        <f t="shared" si="13"/>
        <v>3.6899999999999977</v>
      </c>
      <c r="AA96" s="913"/>
      <c r="AB96" s="932"/>
      <c r="AC96" s="932"/>
      <c r="AD96" s="932"/>
      <c r="AE96" s="932"/>
      <c r="AF96" s="932"/>
      <c r="AG96" s="932"/>
      <c r="AH96" s="932"/>
      <c r="AI96" s="932"/>
      <c r="AJ96" s="932"/>
      <c r="AK96" s="932"/>
      <c r="AL96" s="913"/>
      <c r="AM96" s="913"/>
      <c r="AN96" s="923"/>
      <c r="BS96" s="2"/>
      <c r="BT96" s="2"/>
      <c r="BU96" s="2"/>
      <c r="BV96" s="2"/>
      <c r="BW96" s="2"/>
      <c r="BX96" s="2"/>
      <c r="BY96" s="2"/>
      <c r="BZ96" s="2"/>
      <c r="CA96" s="2"/>
    </row>
    <row r="97" spans="1:79" ht="15.75" thickBot="1" x14ac:dyDescent="0.3">
      <c r="A97" s="193"/>
      <c r="G97" s="193"/>
      <c r="H97" s="193"/>
      <c r="I97" s="193"/>
      <c r="J97" s="193"/>
      <c r="K97" s="193"/>
      <c r="L97" s="193"/>
      <c r="O97" s="935">
        <f t="shared" si="14"/>
        <v>45.72</v>
      </c>
      <c r="P97" s="913"/>
      <c r="Q97" s="925" t="s">
        <v>414</v>
      </c>
      <c r="R97" s="925" t="s">
        <v>414</v>
      </c>
      <c r="S97" s="925">
        <f t="shared" si="13"/>
        <v>4.0599999999999996</v>
      </c>
      <c r="T97" s="925">
        <f t="shared" si="13"/>
        <v>4.07</v>
      </c>
      <c r="U97" s="925">
        <f t="shared" si="13"/>
        <v>4.0599999999999987</v>
      </c>
      <c r="V97" s="925">
        <f t="shared" si="13"/>
        <v>4.0600000000000023</v>
      </c>
      <c r="W97" s="925">
        <f t="shared" si="13"/>
        <v>4.07</v>
      </c>
      <c r="X97" s="925">
        <f t="shared" si="13"/>
        <v>4.0599999999999987</v>
      </c>
      <c r="Y97" s="925">
        <f t="shared" si="13"/>
        <v>4.0599999999999987</v>
      </c>
      <c r="Z97" s="925">
        <f t="shared" si="13"/>
        <v>4.07</v>
      </c>
      <c r="AA97" s="913"/>
      <c r="AB97" s="932"/>
      <c r="AC97" s="932"/>
      <c r="AD97" s="932"/>
      <c r="AE97" s="932"/>
      <c r="AF97" s="932"/>
      <c r="AG97" s="932"/>
      <c r="AH97" s="932"/>
      <c r="AI97" s="932"/>
      <c r="AJ97" s="932"/>
      <c r="AK97" s="932"/>
      <c r="AL97" s="913"/>
      <c r="AM97" s="913"/>
      <c r="AN97" s="923"/>
      <c r="BS97" s="2"/>
      <c r="BT97" s="2"/>
      <c r="BU97" s="2"/>
      <c r="BV97" s="2"/>
      <c r="BW97" s="2"/>
      <c r="BX97" s="2"/>
      <c r="BY97" s="2"/>
      <c r="BZ97" s="2"/>
      <c r="CA97" s="2"/>
    </row>
    <row r="98" spans="1:79" ht="15.75" thickBot="1" x14ac:dyDescent="0.3">
      <c r="A98" s="193"/>
      <c r="G98" s="193"/>
      <c r="H98" s="193"/>
      <c r="I98" s="193"/>
      <c r="J98" s="193"/>
      <c r="K98" s="193"/>
      <c r="L98" s="193"/>
      <c r="O98" s="935">
        <f t="shared" si="14"/>
        <v>50.72</v>
      </c>
      <c r="P98" s="913"/>
      <c r="Q98" s="925" t="s">
        <v>414</v>
      </c>
      <c r="R98" s="925" t="s">
        <v>414</v>
      </c>
      <c r="S98" s="925">
        <f t="shared" si="13"/>
        <v>4.43</v>
      </c>
      <c r="T98" s="925">
        <f t="shared" si="13"/>
        <v>4.4400000000000013</v>
      </c>
      <c r="U98" s="925">
        <f t="shared" si="13"/>
        <v>4.4399999999999977</v>
      </c>
      <c r="V98" s="925">
        <f t="shared" si="13"/>
        <v>4.43</v>
      </c>
      <c r="W98" s="925">
        <f t="shared" si="13"/>
        <v>4.4400000000000013</v>
      </c>
      <c r="X98" s="925">
        <f t="shared" si="13"/>
        <v>4.4399999999999977</v>
      </c>
      <c r="Y98" s="925">
        <f t="shared" si="13"/>
        <v>4.43</v>
      </c>
      <c r="Z98" s="925">
        <f t="shared" si="13"/>
        <v>4.4400000000000048</v>
      </c>
      <c r="AA98" s="913"/>
      <c r="AB98" s="932"/>
      <c r="AC98" s="932"/>
      <c r="AD98" s="932"/>
      <c r="AE98" s="932"/>
      <c r="AF98" s="932"/>
      <c r="AG98" s="932"/>
      <c r="AH98" s="932"/>
      <c r="AI98" s="932"/>
      <c r="AJ98" s="932"/>
      <c r="AK98" s="932"/>
      <c r="AL98" s="913"/>
      <c r="AM98" s="913"/>
      <c r="AN98" s="923"/>
      <c r="BS98" s="2"/>
      <c r="BT98" s="2"/>
      <c r="BU98" s="2"/>
      <c r="BV98" s="2"/>
      <c r="BW98" s="2"/>
      <c r="BX98" s="2"/>
      <c r="BY98" s="2"/>
      <c r="BZ98" s="2"/>
      <c r="CA98" s="2"/>
    </row>
    <row r="99" spans="1:79" ht="15.75" thickBot="1" x14ac:dyDescent="0.3">
      <c r="A99" s="193"/>
      <c r="G99" s="193"/>
      <c r="H99" s="193"/>
      <c r="I99" s="193"/>
      <c r="J99" s="193"/>
      <c r="K99" s="193"/>
      <c r="L99" s="193"/>
      <c r="O99" s="935">
        <f t="shared" si="14"/>
        <v>55.72</v>
      </c>
      <c r="P99" s="913"/>
      <c r="Q99" s="925" t="s">
        <v>414</v>
      </c>
      <c r="R99" s="925" t="s">
        <v>414</v>
      </c>
      <c r="S99" s="925">
        <f t="shared" si="13"/>
        <v>4.8099999999999987</v>
      </c>
      <c r="T99" s="925">
        <f t="shared" si="13"/>
        <v>4.8100000000000005</v>
      </c>
      <c r="U99" s="925">
        <f t="shared" si="13"/>
        <v>4.8099999999999987</v>
      </c>
      <c r="V99" s="925">
        <f t="shared" si="13"/>
        <v>4.8099999999999987</v>
      </c>
      <c r="W99" s="925">
        <f t="shared" si="13"/>
        <v>4.8100000000000023</v>
      </c>
      <c r="X99" s="925">
        <f t="shared" si="13"/>
        <v>4.8100000000000023</v>
      </c>
      <c r="Y99" s="925">
        <f t="shared" si="13"/>
        <v>4.8100000000000023</v>
      </c>
      <c r="Z99" s="925">
        <f t="shared" si="13"/>
        <v>4.8100000000000023</v>
      </c>
      <c r="AA99" s="913"/>
      <c r="AB99" s="932"/>
      <c r="AC99" s="932"/>
      <c r="AD99" s="932"/>
      <c r="AE99" s="932"/>
      <c r="AF99" s="932"/>
      <c r="AG99" s="932"/>
      <c r="AH99" s="932"/>
      <c r="AI99" s="932"/>
      <c r="AJ99" s="932"/>
      <c r="AK99" s="932"/>
      <c r="AL99" s="913"/>
      <c r="AM99" s="913"/>
      <c r="AN99" s="923"/>
      <c r="BS99" s="2"/>
      <c r="BT99" s="2"/>
      <c r="BU99" s="2"/>
      <c r="BV99" s="2"/>
      <c r="BW99" s="2"/>
      <c r="BX99" s="2"/>
      <c r="BY99" s="2"/>
      <c r="BZ99" s="2"/>
      <c r="CA99" s="2"/>
    </row>
    <row r="100" spans="1:79" ht="15.75" thickBot="1" x14ac:dyDescent="0.3">
      <c r="A100" s="193"/>
      <c r="G100" s="193"/>
      <c r="H100" s="193"/>
      <c r="I100" s="193"/>
      <c r="J100" s="193"/>
      <c r="K100" s="193"/>
      <c r="L100" s="193"/>
      <c r="O100" s="935">
        <f t="shared" si="14"/>
        <v>60.72</v>
      </c>
      <c r="P100" s="913"/>
      <c r="Q100" s="925" t="s">
        <v>414</v>
      </c>
      <c r="R100" s="925" t="s">
        <v>414</v>
      </c>
      <c r="S100" s="925">
        <f t="shared" si="13"/>
        <v>5.18</v>
      </c>
      <c r="T100" s="925">
        <f t="shared" si="13"/>
        <v>5.1899999999999995</v>
      </c>
      <c r="U100" s="925">
        <f t="shared" si="13"/>
        <v>5.18</v>
      </c>
      <c r="V100" s="925">
        <f t="shared" si="13"/>
        <v>5.1900000000000013</v>
      </c>
      <c r="W100" s="925">
        <f t="shared" si="13"/>
        <v>5.1799999999999962</v>
      </c>
      <c r="X100" s="925">
        <f t="shared" si="13"/>
        <v>5.18</v>
      </c>
      <c r="Y100" s="925">
        <f t="shared" si="13"/>
        <v>5.1900000000000048</v>
      </c>
      <c r="Z100" s="925">
        <f t="shared" si="13"/>
        <v>5.18</v>
      </c>
      <c r="AA100" s="913"/>
      <c r="AB100" s="932"/>
      <c r="AC100" s="932"/>
      <c r="AD100" s="932"/>
      <c r="AE100" s="932"/>
      <c r="AF100" s="932"/>
      <c r="AG100" s="932"/>
      <c r="AH100" s="932"/>
      <c r="AI100" s="932"/>
      <c r="AJ100" s="932"/>
      <c r="AK100" s="932"/>
      <c r="AL100" s="913"/>
      <c r="AM100" s="913"/>
      <c r="AN100" s="923"/>
      <c r="BS100" s="2"/>
      <c r="BT100" s="2"/>
      <c r="BU100" s="2"/>
      <c r="BV100" s="2"/>
      <c r="BW100" s="2"/>
      <c r="BX100" s="2"/>
      <c r="BY100" s="2"/>
      <c r="BZ100" s="2"/>
      <c r="CA100" s="2"/>
    </row>
    <row r="101" spans="1:79" ht="15.75" thickBot="1" x14ac:dyDescent="0.3">
      <c r="A101" s="193"/>
      <c r="G101" s="436"/>
      <c r="H101" s="436"/>
      <c r="I101" s="436"/>
      <c r="J101" s="193"/>
      <c r="K101" s="193"/>
      <c r="L101" s="193"/>
      <c r="O101" s="935">
        <f t="shared" si="14"/>
        <v>65.72</v>
      </c>
      <c r="P101" s="913"/>
      <c r="Q101" s="925" t="s">
        <v>414</v>
      </c>
      <c r="R101" s="925" t="s">
        <v>414</v>
      </c>
      <c r="S101" s="925">
        <f t="shared" si="13"/>
        <v>5.5499999999999989</v>
      </c>
      <c r="T101" s="925">
        <f t="shared" si="13"/>
        <v>5.5599999999999987</v>
      </c>
      <c r="U101" s="925">
        <f t="shared" si="13"/>
        <v>5.5600000000000023</v>
      </c>
      <c r="V101" s="925">
        <f t="shared" si="13"/>
        <v>5.5599999999999987</v>
      </c>
      <c r="W101" s="925">
        <f t="shared" si="13"/>
        <v>5.5499999999999972</v>
      </c>
      <c r="X101" s="925">
        <f t="shared" si="13"/>
        <v>5.5600000000000023</v>
      </c>
      <c r="Y101" s="925">
        <f t="shared" si="13"/>
        <v>5.5600000000000023</v>
      </c>
      <c r="Z101" s="925">
        <f t="shared" si="13"/>
        <v>5.5600000000000023</v>
      </c>
      <c r="AA101" s="913"/>
      <c r="AB101" s="932"/>
      <c r="AC101" s="932"/>
      <c r="AD101" s="932"/>
      <c r="AE101" s="932"/>
      <c r="AF101" s="932"/>
      <c r="AG101" s="932"/>
      <c r="AH101" s="932"/>
      <c r="AI101" s="932"/>
      <c r="AJ101" s="932"/>
      <c r="AK101" s="932"/>
      <c r="AL101" s="913"/>
      <c r="AM101" s="913"/>
      <c r="AN101" s="923"/>
      <c r="BS101" s="2"/>
      <c r="BT101" s="2"/>
      <c r="BU101" s="2"/>
      <c r="BV101" s="2"/>
      <c r="BW101" s="2"/>
      <c r="BX101" s="2"/>
      <c r="BY101" s="2"/>
      <c r="BZ101" s="2"/>
      <c r="CA101" s="2"/>
    </row>
    <row r="102" spans="1:79" ht="15.75" thickBot="1" x14ac:dyDescent="0.3">
      <c r="A102" s="193"/>
      <c r="G102" s="436"/>
      <c r="H102" s="436"/>
      <c r="I102" s="436"/>
      <c r="J102" s="193"/>
      <c r="K102" s="193"/>
      <c r="L102" s="193"/>
      <c r="O102" s="935">
        <f t="shared" si="14"/>
        <v>70.72</v>
      </c>
      <c r="P102" s="913"/>
      <c r="Q102" s="925" t="s">
        <v>414</v>
      </c>
      <c r="R102" s="925" t="s">
        <v>414</v>
      </c>
      <c r="S102" s="925">
        <f t="shared" si="13"/>
        <v>5.9300000000000015</v>
      </c>
      <c r="T102" s="925">
        <f t="shared" si="13"/>
        <v>5.9399999999999977</v>
      </c>
      <c r="U102" s="925">
        <f t="shared" si="13"/>
        <v>5.9300000000000033</v>
      </c>
      <c r="V102" s="925">
        <f t="shared" si="13"/>
        <v>5.93</v>
      </c>
      <c r="W102" s="925">
        <f t="shared" si="13"/>
        <v>5.93</v>
      </c>
      <c r="X102" s="925">
        <f t="shared" si="13"/>
        <v>5.93</v>
      </c>
      <c r="Y102" s="925">
        <f t="shared" si="13"/>
        <v>5.93</v>
      </c>
      <c r="Z102" s="925">
        <f t="shared" si="13"/>
        <v>5.93</v>
      </c>
      <c r="AA102" s="913"/>
      <c r="AB102" s="932"/>
      <c r="AC102" s="932"/>
      <c r="AD102" s="932"/>
      <c r="AE102" s="932"/>
      <c r="AF102" s="932"/>
      <c r="AG102" s="932"/>
      <c r="AH102" s="932"/>
      <c r="AI102" s="913"/>
      <c r="AJ102" s="913"/>
      <c r="AK102" s="913"/>
      <c r="AL102" s="913"/>
      <c r="AM102" s="913"/>
      <c r="AN102" s="923"/>
      <c r="BS102" s="2"/>
      <c r="BT102" s="2"/>
      <c r="BU102" s="2"/>
      <c r="BV102" s="2"/>
      <c r="BW102" s="2"/>
      <c r="BX102" s="2"/>
      <c r="BY102" s="2"/>
      <c r="BZ102" s="2"/>
      <c r="CA102" s="2"/>
    </row>
    <row r="103" spans="1:79" ht="15.75" thickBot="1" x14ac:dyDescent="0.3">
      <c r="A103" s="193"/>
      <c r="G103" s="436"/>
      <c r="H103" s="436"/>
      <c r="I103" s="436"/>
      <c r="J103" s="193"/>
      <c r="K103" s="193"/>
      <c r="L103" s="193"/>
      <c r="O103" s="935"/>
      <c r="P103" s="913"/>
      <c r="Q103" s="925"/>
      <c r="R103" s="925"/>
      <c r="S103" s="925"/>
      <c r="T103" s="925"/>
      <c r="U103" s="925"/>
      <c r="V103" s="925"/>
      <c r="W103" s="925"/>
      <c r="X103" s="925"/>
      <c r="Y103" s="925"/>
      <c r="Z103" s="925"/>
      <c r="AA103" s="913"/>
      <c r="AB103" s="932"/>
      <c r="AC103" s="932"/>
      <c r="AD103" s="932"/>
      <c r="AE103" s="932"/>
      <c r="AF103" s="932"/>
      <c r="AG103" s="932"/>
      <c r="AH103" s="932"/>
      <c r="AI103" s="913"/>
      <c r="AJ103" s="913"/>
      <c r="AK103" s="913"/>
      <c r="AL103" s="913"/>
      <c r="AM103" s="913"/>
      <c r="AN103" s="923"/>
      <c r="BS103" s="2"/>
      <c r="BT103" s="2"/>
      <c r="BU103" s="2"/>
      <c r="BV103" s="2"/>
      <c r="BW103" s="2"/>
      <c r="BX103" s="2"/>
      <c r="BY103" s="2"/>
      <c r="BZ103" s="2"/>
      <c r="CA103" s="2"/>
    </row>
    <row r="104" spans="1:79" ht="15.75" thickBot="1" x14ac:dyDescent="0.3">
      <c r="A104" s="193"/>
      <c r="G104" s="436"/>
      <c r="H104" s="436"/>
      <c r="I104" s="436"/>
      <c r="J104" s="193"/>
      <c r="K104" s="193"/>
      <c r="L104" s="193"/>
      <c r="O104" s="935"/>
      <c r="P104" s="913"/>
      <c r="Q104" s="925"/>
      <c r="R104" s="925"/>
      <c r="S104" s="925"/>
      <c r="T104" s="925"/>
      <c r="U104" s="925"/>
      <c r="V104" s="925"/>
      <c r="W104" s="925"/>
      <c r="X104" s="925"/>
      <c r="Y104" s="925"/>
      <c r="Z104" s="925"/>
      <c r="AA104" s="913"/>
      <c r="AB104" s="932"/>
      <c r="AC104" s="932"/>
      <c r="AD104" s="932"/>
      <c r="AE104" s="932"/>
      <c r="AF104" s="932"/>
      <c r="AG104" s="932"/>
      <c r="AH104" s="932"/>
      <c r="AI104" s="913"/>
      <c r="AJ104" s="913"/>
      <c r="AK104" s="913"/>
      <c r="AL104" s="913"/>
      <c r="AM104" s="913"/>
      <c r="AN104" s="923"/>
      <c r="BS104" s="2"/>
      <c r="BT104" s="2"/>
      <c r="BU104" s="2"/>
      <c r="BV104" s="2"/>
      <c r="BW104" s="2"/>
      <c r="BX104" s="2"/>
      <c r="BY104" s="2"/>
      <c r="BZ104" s="2"/>
      <c r="CA104" s="2"/>
    </row>
    <row r="105" spans="1:79" ht="15.75" thickBot="1" x14ac:dyDescent="0.3">
      <c r="A105" s="193"/>
      <c r="G105" s="436"/>
      <c r="H105" s="436"/>
      <c r="I105" s="436"/>
      <c r="J105" s="193"/>
      <c r="K105" s="193"/>
      <c r="L105" s="193"/>
      <c r="O105" s="935"/>
      <c r="P105" s="913"/>
      <c r="Q105" s="925"/>
      <c r="R105" s="925"/>
      <c r="S105" s="925"/>
      <c r="T105" s="925"/>
      <c r="U105" s="925"/>
      <c r="V105" s="925"/>
      <c r="W105" s="925"/>
      <c r="X105" s="925"/>
      <c r="Y105" s="925"/>
      <c r="Z105" s="925"/>
      <c r="AA105" s="913"/>
      <c r="AB105" s="932"/>
      <c r="AC105" s="932"/>
      <c r="AD105" s="932"/>
      <c r="AE105" s="932"/>
      <c r="AF105" s="932"/>
      <c r="AG105" s="932"/>
      <c r="AH105" s="932"/>
      <c r="AI105" s="913"/>
      <c r="AJ105" s="913"/>
      <c r="AK105" s="913"/>
      <c r="AL105" s="913"/>
      <c r="AM105" s="913"/>
      <c r="AN105" s="923"/>
      <c r="BS105" s="2"/>
      <c r="BT105" s="2"/>
      <c r="BU105" s="2"/>
      <c r="BV105" s="2"/>
      <c r="BW105" s="2"/>
      <c r="BX105" s="2"/>
      <c r="BY105" s="2"/>
      <c r="BZ105" s="2"/>
      <c r="CA105" s="2"/>
    </row>
    <row r="106" spans="1:79" ht="15.75" thickBot="1" x14ac:dyDescent="0.3">
      <c r="A106" s="193"/>
      <c r="G106" s="193"/>
      <c r="H106" s="193"/>
      <c r="I106" s="193"/>
      <c r="J106" s="193"/>
      <c r="K106" s="193"/>
      <c r="L106" s="193"/>
      <c r="O106" s="935"/>
      <c r="P106" s="913"/>
      <c r="Q106" s="925"/>
      <c r="R106" s="925"/>
      <c r="S106" s="925"/>
      <c r="T106" s="925"/>
      <c r="U106" s="925"/>
      <c r="V106" s="925"/>
      <c r="W106" s="925"/>
      <c r="X106" s="925"/>
      <c r="Y106" s="925"/>
      <c r="Z106" s="925"/>
      <c r="AA106" s="913"/>
      <c r="AB106" s="932"/>
      <c r="AC106" s="932"/>
      <c r="AD106" s="932"/>
      <c r="AE106" s="932"/>
      <c r="AF106" s="932"/>
      <c r="AG106" s="932"/>
      <c r="AH106" s="932"/>
      <c r="AI106" s="913"/>
      <c r="AJ106" s="913"/>
      <c r="AK106" s="913"/>
      <c r="AL106" s="913"/>
      <c r="AM106" s="913"/>
      <c r="AN106" s="923"/>
      <c r="BS106" s="2"/>
      <c r="BT106" s="2"/>
      <c r="BU106" s="2"/>
      <c r="BV106" s="2"/>
      <c r="BW106" s="2"/>
      <c r="BX106" s="2"/>
      <c r="BY106" s="2"/>
      <c r="BZ106" s="2"/>
      <c r="CA106" s="2"/>
    </row>
    <row r="107" spans="1:79" ht="18.75" x14ac:dyDescent="0.3">
      <c r="A107" s="193"/>
      <c r="G107" s="193"/>
      <c r="H107" s="193"/>
      <c r="I107" s="658"/>
      <c r="J107" s="658"/>
      <c r="K107" s="658"/>
      <c r="L107" s="193"/>
      <c r="O107" s="922"/>
      <c r="P107" s="913"/>
      <c r="Q107" s="913"/>
      <c r="R107" s="913"/>
      <c r="S107" s="913"/>
      <c r="T107" s="913"/>
      <c r="U107" s="913"/>
      <c r="V107" s="913"/>
      <c r="W107" s="913"/>
      <c r="X107" s="913"/>
      <c r="Y107" s="913"/>
      <c r="Z107" s="913"/>
      <c r="AA107" s="913"/>
      <c r="AB107" s="932"/>
      <c r="AC107" s="932"/>
      <c r="AD107" s="932"/>
      <c r="AE107" s="932"/>
      <c r="AF107" s="932"/>
      <c r="AG107" s="932"/>
      <c r="AH107" s="932"/>
      <c r="AI107" s="913"/>
      <c r="AJ107" s="913"/>
      <c r="AK107" s="913"/>
      <c r="AL107" s="913"/>
      <c r="AM107" s="913"/>
      <c r="AN107" s="923"/>
    </row>
    <row r="108" spans="1:79" ht="19.5" thickBot="1" x14ac:dyDescent="0.35">
      <c r="A108" s="193"/>
      <c r="G108" s="425"/>
      <c r="H108" s="193"/>
      <c r="I108" s="658"/>
      <c r="J108" s="658"/>
      <c r="K108" s="658"/>
      <c r="L108" s="193"/>
      <c r="O108" s="922" t="s">
        <v>416</v>
      </c>
      <c r="P108" s="913"/>
      <c r="Q108" s="924"/>
      <c r="R108" s="924"/>
      <c r="S108" s="924"/>
      <c r="T108" s="924"/>
      <c r="U108" s="924"/>
      <c r="V108" s="924"/>
      <c r="W108" s="924"/>
      <c r="X108" s="924"/>
      <c r="Y108" s="924"/>
      <c r="Z108" s="924"/>
      <c r="AA108" s="913"/>
      <c r="AB108" s="932"/>
      <c r="AC108" s="932"/>
      <c r="AD108" s="932"/>
      <c r="AE108" s="932"/>
      <c r="AF108" s="932"/>
      <c r="AG108" s="932"/>
      <c r="AH108" s="932"/>
      <c r="AI108" s="913"/>
      <c r="AJ108" s="913"/>
      <c r="AK108" s="913"/>
      <c r="AL108" s="913"/>
      <c r="AM108" s="913"/>
      <c r="AN108" s="923"/>
    </row>
    <row r="109" spans="1:79" ht="19.5" thickBot="1" x14ac:dyDescent="0.35">
      <c r="A109" s="193"/>
      <c r="G109" s="193"/>
      <c r="H109" s="193"/>
      <c r="I109" s="193"/>
      <c r="J109" s="658"/>
      <c r="K109" s="658"/>
      <c r="L109" s="193"/>
      <c r="O109" s="922"/>
      <c r="P109" s="913"/>
      <c r="Q109" s="914">
        <v>9</v>
      </c>
      <c r="R109" s="915">
        <v>12</v>
      </c>
      <c r="S109" s="915">
        <f t="shared" ref="S109:Z109" si="15">R109+6</f>
        <v>18</v>
      </c>
      <c r="T109" s="915">
        <f t="shared" si="15"/>
        <v>24</v>
      </c>
      <c r="U109" s="915">
        <f t="shared" si="15"/>
        <v>30</v>
      </c>
      <c r="V109" s="915">
        <f t="shared" si="15"/>
        <v>36</v>
      </c>
      <c r="W109" s="915">
        <f t="shared" si="15"/>
        <v>42</v>
      </c>
      <c r="X109" s="915">
        <f t="shared" si="15"/>
        <v>48</v>
      </c>
      <c r="Y109" s="915">
        <f t="shared" si="15"/>
        <v>54</v>
      </c>
      <c r="Z109" s="915">
        <f t="shared" si="15"/>
        <v>60</v>
      </c>
      <c r="AA109" s="913" t="s">
        <v>413</v>
      </c>
      <c r="AB109" s="913"/>
      <c r="AC109" s="913"/>
      <c r="AD109" s="913"/>
      <c r="AE109" s="913"/>
      <c r="AF109" s="913"/>
      <c r="AG109" s="913"/>
      <c r="AH109" s="913"/>
      <c r="AI109" s="913"/>
      <c r="AJ109" s="913"/>
      <c r="AK109" s="913"/>
      <c r="AL109" s="913"/>
      <c r="AM109" s="913"/>
      <c r="AN109" s="923"/>
    </row>
    <row r="110" spans="1:79" ht="19.5" thickBot="1" x14ac:dyDescent="0.35">
      <c r="A110" s="193"/>
      <c r="G110" s="193"/>
      <c r="H110" s="193"/>
      <c r="I110" s="193"/>
      <c r="J110" s="658"/>
      <c r="K110" s="658"/>
      <c r="L110" s="193"/>
      <c r="O110" s="935">
        <f>O46</f>
        <v>15.72</v>
      </c>
      <c r="P110" s="913"/>
      <c r="Q110" s="924" t="s">
        <v>414</v>
      </c>
      <c r="R110" s="924" t="s">
        <v>414</v>
      </c>
      <c r="S110" s="924" t="s">
        <v>414</v>
      </c>
      <c r="T110" s="924" t="s">
        <v>414</v>
      </c>
      <c r="U110" s="924" t="s">
        <v>414</v>
      </c>
      <c r="V110" s="924" t="s">
        <v>414</v>
      </c>
      <c r="W110" s="924" t="s">
        <v>414</v>
      </c>
      <c r="X110" s="924" t="s">
        <v>414</v>
      </c>
      <c r="Y110" s="924" t="s">
        <v>414</v>
      </c>
      <c r="Z110" s="924" t="s">
        <v>414</v>
      </c>
      <c r="AA110" s="913" t="s">
        <v>424</v>
      </c>
      <c r="AB110" s="913"/>
      <c r="AC110" s="913"/>
      <c r="AD110" s="913"/>
      <c r="AE110" s="913"/>
      <c r="AF110" s="913"/>
      <c r="AG110" s="913"/>
      <c r="AH110" s="913"/>
      <c r="AI110" s="913"/>
      <c r="AJ110" s="913"/>
      <c r="AK110" s="913"/>
      <c r="AL110" s="913"/>
      <c r="AM110" s="913"/>
      <c r="AN110" s="923"/>
    </row>
    <row r="111" spans="1:79" ht="19.5" thickBot="1" x14ac:dyDescent="0.35">
      <c r="A111" s="193"/>
      <c r="G111" s="193"/>
      <c r="H111" s="193"/>
      <c r="I111" s="193"/>
      <c r="J111" s="658"/>
      <c r="K111" s="658"/>
      <c r="L111" s="193"/>
      <c r="O111" s="935">
        <f t="shared" ref="O111:O121" si="16">O47</f>
        <v>20.72</v>
      </c>
      <c r="P111" s="913"/>
      <c r="Q111" s="925"/>
      <c r="R111" s="932">
        <f t="shared" ref="R111:Z121" si="17">R47-R46</f>
        <v>0.73999999999999977</v>
      </c>
      <c r="S111" s="932">
        <f t="shared" si="17"/>
        <v>1.1199999999999992</v>
      </c>
      <c r="T111" s="932">
        <f t="shared" si="17"/>
        <v>1.5000000000000009</v>
      </c>
      <c r="U111" s="932">
        <f t="shared" si="17"/>
        <v>1.870000000000001</v>
      </c>
      <c r="V111" s="932">
        <f t="shared" si="17"/>
        <v>2.2400000000000002</v>
      </c>
      <c r="W111" s="932">
        <f t="shared" si="17"/>
        <v>2.6100000000000012</v>
      </c>
      <c r="X111" s="932">
        <f t="shared" si="17"/>
        <v>2.9899999999999984</v>
      </c>
      <c r="Y111" s="932">
        <f t="shared" si="17"/>
        <v>3.370000000000001</v>
      </c>
      <c r="Z111" s="932">
        <f t="shared" si="17"/>
        <v>3.7300000000000004</v>
      </c>
      <c r="AA111" s="913"/>
      <c r="AB111" s="913"/>
      <c r="AC111" s="913"/>
      <c r="AD111" s="913"/>
      <c r="AE111" s="913"/>
      <c r="AF111" s="913"/>
      <c r="AG111" s="913"/>
      <c r="AH111" s="913"/>
      <c r="AI111" s="913"/>
      <c r="AJ111" s="913"/>
      <c r="AK111" s="913"/>
      <c r="AL111" s="913"/>
      <c r="AM111" s="913"/>
      <c r="AN111" s="923"/>
    </row>
    <row r="112" spans="1:79" ht="19.5" thickBot="1" x14ac:dyDescent="0.35">
      <c r="A112" s="193"/>
      <c r="G112" s="193"/>
      <c r="H112" s="193"/>
      <c r="I112" s="193"/>
      <c r="J112" s="658"/>
      <c r="K112" s="658"/>
      <c r="L112" s="193"/>
      <c r="O112" s="935">
        <f t="shared" si="16"/>
        <v>25.72</v>
      </c>
      <c r="P112" s="913"/>
      <c r="Q112" s="925"/>
      <c r="R112" s="932">
        <f t="shared" si="17"/>
        <v>0.75000000000000044</v>
      </c>
      <c r="S112" s="932">
        <f t="shared" si="17"/>
        <v>1.1200000000000001</v>
      </c>
      <c r="T112" s="932">
        <f t="shared" si="17"/>
        <v>1.4899999999999984</v>
      </c>
      <c r="U112" s="932">
        <f t="shared" si="17"/>
        <v>1.8699999999999992</v>
      </c>
      <c r="V112" s="932">
        <f t="shared" si="17"/>
        <v>2.2400000000000002</v>
      </c>
      <c r="W112" s="932">
        <f t="shared" si="17"/>
        <v>2.6199999999999992</v>
      </c>
      <c r="X112" s="932">
        <f t="shared" si="17"/>
        <v>2.990000000000002</v>
      </c>
      <c r="Y112" s="932">
        <f t="shared" si="17"/>
        <v>3.3599999999999994</v>
      </c>
      <c r="Z112" s="932">
        <f t="shared" si="17"/>
        <v>3.740000000000002</v>
      </c>
      <c r="AA112" s="913"/>
      <c r="AB112" s="913"/>
      <c r="AC112" s="913"/>
      <c r="AD112" s="913"/>
      <c r="AE112" s="913"/>
      <c r="AF112" s="913"/>
      <c r="AG112" s="913"/>
      <c r="AH112" s="913"/>
      <c r="AI112" s="913"/>
      <c r="AJ112" s="913"/>
      <c r="AK112" s="913"/>
      <c r="AL112" s="913"/>
      <c r="AM112" s="913"/>
      <c r="AN112" s="923"/>
    </row>
    <row r="113" spans="1:40" ht="15.75" thickBot="1" x14ac:dyDescent="0.3">
      <c r="A113" s="193"/>
      <c r="G113" s="436"/>
      <c r="H113" s="436"/>
      <c r="I113" s="436"/>
      <c r="J113" s="193"/>
      <c r="K113" s="193"/>
      <c r="L113" s="193"/>
      <c r="O113" s="935">
        <f t="shared" si="16"/>
        <v>30.72</v>
      </c>
      <c r="P113" s="913"/>
      <c r="Q113" s="925"/>
      <c r="R113" s="932">
        <f t="shared" si="17"/>
        <v>0.75</v>
      </c>
      <c r="S113" s="932">
        <f t="shared" si="17"/>
        <v>1.1200000000000001</v>
      </c>
      <c r="T113" s="932">
        <f t="shared" si="17"/>
        <v>1.4900000000000002</v>
      </c>
      <c r="U113" s="932">
        <f t="shared" si="17"/>
        <v>1.870000000000001</v>
      </c>
      <c r="V113" s="932">
        <f t="shared" si="17"/>
        <v>2.240000000000002</v>
      </c>
      <c r="W113" s="932">
        <f t="shared" si="17"/>
        <v>2.6099999999999994</v>
      </c>
      <c r="X113" s="932">
        <f t="shared" si="17"/>
        <v>2.9899999999999984</v>
      </c>
      <c r="Y113" s="932">
        <f t="shared" si="17"/>
        <v>3.3599999999999994</v>
      </c>
      <c r="Z113" s="932">
        <f t="shared" si="17"/>
        <v>3.7300000000000004</v>
      </c>
      <c r="AA113" s="913"/>
      <c r="AB113" s="913"/>
      <c r="AC113" s="913"/>
      <c r="AD113" s="913"/>
      <c r="AE113" s="913"/>
      <c r="AF113" s="913"/>
      <c r="AG113" s="913"/>
      <c r="AH113" s="913"/>
      <c r="AI113" s="913"/>
      <c r="AJ113" s="913"/>
      <c r="AK113" s="913"/>
      <c r="AL113" s="913"/>
      <c r="AM113" s="913"/>
      <c r="AN113" s="923"/>
    </row>
    <row r="114" spans="1:40" ht="15.75" thickBot="1" x14ac:dyDescent="0.3">
      <c r="A114" s="193"/>
      <c r="G114" s="436"/>
      <c r="H114" s="436"/>
      <c r="I114" s="436"/>
      <c r="J114" s="193"/>
      <c r="K114" s="193"/>
      <c r="L114" s="193"/>
      <c r="O114" s="935">
        <f t="shared" si="16"/>
        <v>35.72</v>
      </c>
      <c r="P114" s="913"/>
      <c r="Q114" s="925"/>
      <c r="R114" s="932">
        <f t="shared" si="17"/>
        <v>0.73999999999999932</v>
      </c>
      <c r="S114" s="932">
        <f t="shared" si="17"/>
        <v>1.120000000000001</v>
      </c>
      <c r="T114" s="932">
        <f t="shared" si="17"/>
        <v>1.5</v>
      </c>
      <c r="U114" s="932">
        <f t="shared" si="17"/>
        <v>1.8599999999999994</v>
      </c>
      <c r="V114" s="932">
        <f t="shared" si="17"/>
        <v>2.2399999999999984</v>
      </c>
      <c r="W114" s="932">
        <f t="shared" si="17"/>
        <v>2.620000000000001</v>
      </c>
      <c r="X114" s="932">
        <f t="shared" si="17"/>
        <v>2.9800000000000004</v>
      </c>
      <c r="Y114" s="932">
        <f t="shared" si="17"/>
        <v>3.3599999999999994</v>
      </c>
      <c r="Z114" s="932">
        <f t="shared" si="17"/>
        <v>3.7399999999999984</v>
      </c>
      <c r="AA114" s="913"/>
      <c r="AB114" s="913"/>
      <c r="AC114" s="913"/>
      <c r="AD114" s="913"/>
      <c r="AE114" s="913"/>
      <c r="AF114" s="913"/>
      <c r="AG114" s="913"/>
      <c r="AH114" s="913"/>
      <c r="AI114" s="913"/>
      <c r="AJ114" s="913"/>
      <c r="AK114" s="913"/>
      <c r="AL114" s="913"/>
      <c r="AM114" s="913"/>
      <c r="AN114" s="923"/>
    </row>
    <row r="115" spans="1:40" ht="15.75" thickBot="1" x14ac:dyDescent="0.3">
      <c r="A115" s="193"/>
      <c r="G115" s="436"/>
      <c r="H115" s="436"/>
      <c r="I115" s="436"/>
      <c r="J115" s="193"/>
      <c r="K115" s="193"/>
      <c r="L115" s="193"/>
      <c r="O115" s="935">
        <f t="shared" si="16"/>
        <v>40.72</v>
      </c>
      <c r="P115" s="913"/>
      <c r="Q115" s="925"/>
      <c r="R115" s="932">
        <f t="shared" si="17"/>
        <v>0.75</v>
      </c>
      <c r="S115" s="932">
        <f t="shared" si="17"/>
        <v>1.1199999999999992</v>
      </c>
      <c r="T115" s="932">
        <f t="shared" si="17"/>
        <v>1.4900000000000002</v>
      </c>
      <c r="U115" s="932">
        <f t="shared" si="17"/>
        <v>1.870000000000001</v>
      </c>
      <c r="V115" s="932">
        <f t="shared" si="17"/>
        <v>2.2399999999999984</v>
      </c>
      <c r="W115" s="932">
        <f t="shared" si="17"/>
        <v>2.6099999999999994</v>
      </c>
      <c r="X115" s="932">
        <f t="shared" si="17"/>
        <v>2.990000000000002</v>
      </c>
      <c r="Y115" s="932">
        <f t="shared" si="17"/>
        <v>3.3599999999999994</v>
      </c>
      <c r="Z115" s="932">
        <f t="shared" si="17"/>
        <v>3.7299999999999969</v>
      </c>
      <c r="AA115" s="913"/>
      <c r="AB115" s="913"/>
      <c r="AC115" s="913"/>
      <c r="AD115" s="913"/>
      <c r="AE115" s="913"/>
      <c r="AF115" s="913"/>
      <c r="AG115" s="913"/>
      <c r="AH115" s="913"/>
      <c r="AI115" s="913"/>
      <c r="AJ115" s="913"/>
      <c r="AK115" s="913"/>
      <c r="AL115" s="913"/>
      <c r="AM115" s="913"/>
      <c r="AN115" s="923"/>
    </row>
    <row r="116" spans="1:40" ht="15.75" thickBot="1" x14ac:dyDescent="0.3">
      <c r="A116" s="193"/>
      <c r="G116" s="436"/>
      <c r="H116" s="436"/>
      <c r="I116" s="436"/>
      <c r="J116" s="193"/>
      <c r="K116" s="193"/>
      <c r="L116" s="193"/>
      <c r="O116" s="935">
        <f t="shared" si="16"/>
        <v>45.72</v>
      </c>
      <c r="P116" s="913"/>
      <c r="Q116" s="925"/>
      <c r="R116" s="932">
        <f t="shared" si="17"/>
        <v>0.75</v>
      </c>
      <c r="S116" s="932">
        <f t="shared" si="17"/>
        <v>1.1199999999999992</v>
      </c>
      <c r="T116" s="932">
        <f t="shared" si="17"/>
        <v>1.5</v>
      </c>
      <c r="U116" s="932">
        <f t="shared" si="17"/>
        <v>1.8699999999999974</v>
      </c>
      <c r="V116" s="932">
        <f t="shared" si="17"/>
        <v>2.240000000000002</v>
      </c>
      <c r="W116" s="932">
        <f t="shared" si="17"/>
        <v>2.620000000000001</v>
      </c>
      <c r="X116" s="932">
        <f t="shared" si="17"/>
        <v>2.9899999999999984</v>
      </c>
      <c r="Y116" s="932">
        <f t="shared" si="17"/>
        <v>3.3599999999999994</v>
      </c>
      <c r="Z116" s="932">
        <f t="shared" si="17"/>
        <v>3.740000000000002</v>
      </c>
      <c r="AA116" s="913"/>
      <c r="AB116" s="913"/>
      <c r="AC116" s="913"/>
      <c r="AD116" s="913"/>
      <c r="AE116" s="913"/>
      <c r="AF116" s="913"/>
      <c r="AG116" s="913"/>
      <c r="AH116" s="913"/>
      <c r="AI116" s="913"/>
      <c r="AJ116" s="913"/>
      <c r="AK116" s="913"/>
      <c r="AL116" s="913"/>
      <c r="AM116" s="913"/>
      <c r="AN116" s="923"/>
    </row>
    <row r="117" spans="1:40" ht="15.75" thickBot="1" x14ac:dyDescent="0.3">
      <c r="A117" s="193"/>
      <c r="G117" s="436"/>
      <c r="H117" s="436"/>
      <c r="I117" s="436"/>
      <c r="J117" s="193"/>
      <c r="K117" s="193"/>
      <c r="L117" s="193"/>
      <c r="O117" s="935">
        <f t="shared" si="16"/>
        <v>50.72</v>
      </c>
      <c r="P117" s="913"/>
      <c r="Q117" s="925"/>
      <c r="R117" s="932">
        <f t="shared" si="17"/>
        <v>0.75000000000000089</v>
      </c>
      <c r="S117" s="932">
        <f t="shared" si="17"/>
        <v>1.120000000000001</v>
      </c>
      <c r="T117" s="932">
        <f t="shared" si="17"/>
        <v>1.490000000000002</v>
      </c>
      <c r="U117" s="932">
        <f t="shared" si="17"/>
        <v>1.870000000000001</v>
      </c>
      <c r="V117" s="932">
        <f t="shared" si="17"/>
        <v>2.2399999999999984</v>
      </c>
      <c r="W117" s="932">
        <f t="shared" si="17"/>
        <v>2.6099999999999994</v>
      </c>
      <c r="X117" s="932">
        <f t="shared" si="17"/>
        <v>2.9899999999999984</v>
      </c>
      <c r="Y117" s="932">
        <f t="shared" si="17"/>
        <v>3.3599999999999994</v>
      </c>
      <c r="Z117" s="932">
        <f t="shared" si="17"/>
        <v>3.730000000000004</v>
      </c>
      <c r="AA117" s="913"/>
      <c r="AB117" s="913"/>
      <c r="AC117" s="913"/>
      <c r="AD117" s="913"/>
      <c r="AE117" s="913"/>
      <c r="AF117" s="913"/>
      <c r="AG117" s="913"/>
      <c r="AH117" s="913"/>
      <c r="AI117" s="913"/>
      <c r="AJ117" s="913"/>
      <c r="AK117" s="913"/>
      <c r="AL117" s="913"/>
      <c r="AM117" s="913"/>
      <c r="AN117" s="923"/>
    </row>
    <row r="118" spans="1:40" ht="15.75" thickBot="1" x14ac:dyDescent="0.3">
      <c r="A118" s="193"/>
      <c r="G118" s="193"/>
      <c r="H118" s="193"/>
      <c r="I118" s="193"/>
      <c r="J118" s="193"/>
      <c r="K118" s="193"/>
      <c r="L118" s="193"/>
      <c r="O118" s="935">
        <f t="shared" si="16"/>
        <v>55.72</v>
      </c>
      <c r="P118" s="913"/>
      <c r="Q118" s="925"/>
      <c r="R118" s="932">
        <f t="shared" si="17"/>
        <v>0.74000000000000021</v>
      </c>
      <c r="S118" s="932">
        <f t="shared" si="17"/>
        <v>1.1199999999999992</v>
      </c>
      <c r="T118" s="932">
        <f t="shared" si="17"/>
        <v>1.4899999999999984</v>
      </c>
      <c r="U118" s="932">
        <f t="shared" si="17"/>
        <v>1.8599999999999994</v>
      </c>
      <c r="V118" s="932">
        <f t="shared" si="17"/>
        <v>2.2399999999999984</v>
      </c>
      <c r="W118" s="932">
        <f t="shared" si="17"/>
        <v>2.6099999999999994</v>
      </c>
      <c r="X118" s="932">
        <f t="shared" si="17"/>
        <v>2.980000000000004</v>
      </c>
      <c r="Y118" s="932">
        <f t="shared" si="17"/>
        <v>3.3600000000000065</v>
      </c>
      <c r="Z118" s="932">
        <f t="shared" si="17"/>
        <v>3.730000000000004</v>
      </c>
      <c r="AA118" s="913"/>
      <c r="AB118" s="913"/>
      <c r="AC118" s="913"/>
      <c r="AD118" s="913"/>
      <c r="AE118" s="913"/>
      <c r="AF118" s="913"/>
      <c r="AG118" s="913"/>
      <c r="AH118" s="913"/>
      <c r="AI118" s="913"/>
      <c r="AJ118" s="913"/>
      <c r="AK118" s="913"/>
      <c r="AL118" s="913"/>
      <c r="AM118" s="913"/>
      <c r="AN118" s="923"/>
    </row>
    <row r="119" spans="1:40" ht="15.75" thickBot="1" x14ac:dyDescent="0.3">
      <c r="A119" s="193"/>
      <c r="B119" s="193"/>
      <c r="C119" s="193"/>
      <c r="D119" s="193"/>
      <c r="E119" s="193"/>
      <c r="F119" s="193"/>
      <c r="G119" s="193"/>
      <c r="H119" s="193"/>
      <c r="I119" s="193"/>
      <c r="J119" s="193"/>
      <c r="K119" s="193"/>
      <c r="L119" s="193"/>
      <c r="O119" s="935">
        <f t="shared" si="16"/>
        <v>60.72</v>
      </c>
      <c r="P119" s="913"/>
      <c r="Q119" s="925"/>
      <c r="R119" s="932">
        <f t="shared" si="17"/>
        <v>0.75</v>
      </c>
      <c r="S119" s="932">
        <f t="shared" si="17"/>
        <v>1.120000000000001</v>
      </c>
      <c r="T119" s="932">
        <f t="shared" si="17"/>
        <v>1.5</v>
      </c>
      <c r="U119" s="932">
        <f t="shared" si="17"/>
        <v>1.870000000000001</v>
      </c>
      <c r="V119" s="932">
        <f t="shared" si="17"/>
        <v>2.2500000000000036</v>
      </c>
      <c r="W119" s="932">
        <f t="shared" si="17"/>
        <v>2.6199999999999974</v>
      </c>
      <c r="X119" s="932">
        <f t="shared" si="17"/>
        <v>2.9899999999999949</v>
      </c>
      <c r="Y119" s="932">
        <f t="shared" si="17"/>
        <v>3.3699999999999974</v>
      </c>
      <c r="Z119" s="932">
        <f t="shared" si="17"/>
        <v>3.7399999999999949</v>
      </c>
      <c r="AA119" s="913"/>
      <c r="AB119" s="913"/>
      <c r="AC119" s="913"/>
      <c r="AD119" s="913"/>
      <c r="AE119" s="913"/>
      <c r="AF119" s="913"/>
      <c r="AG119" s="913"/>
      <c r="AH119" s="913"/>
      <c r="AI119" s="913"/>
      <c r="AJ119" s="913"/>
      <c r="AK119" s="913"/>
      <c r="AL119" s="913"/>
      <c r="AM119" s="913"/>
      <c r="AN119" s="923"/>
    </row>
    <row r="120" spans="1:40" ht="15.75" thickBot="1" x14ac:dyDescent="0.3">
      <c r="A120" s="193"/>
      <c r="B120" s="193"/>
      <c r="C120" s="193"/>
      <c r="D120" s="193"/>
      <c r="E120" s="193"/>
      <c r="F120" s="193"/>
      <c r="G120" s="193"/>
      <c r="H120" s="193"/>
      <c r="I120" s="193"/>
      <c r="J120" s="193"/>
      <c r="K120" s="193"/>
      <c r="L120" s="193"/>
      <c r="O120" s="935">
        <f t="shared" si="16"/>
        <v>65.72</v>
      </c>
      <c r="P120" s="913"/>
      <c r="Q120" s="925"/>
      <c r="R120" s="932">
        <f t="shared" si="17"/>
        <v>0.75</v>
      </c>
      <c r="S120" s="932">
        <f t="shared" si="17"/>
        <v>1.1199999999999992</v>
      </c>
      <c r="T120" s="932">
        <f t="shared" si="17"/>
        <v>1.4899999999999984</v>
      </c>
      <c r="U120" s="932">
        <f t="shared" si="17"/>
        <v>1.870000000000001</v>
      </c>
      <c r="V120" s="932">
        <f t="shared" si="17"/>
        <v>2.2399999999999984</v>
      </c>
      <c r="W120" s="932">
        <f t="shared" si="17"/>
        <v>2.6099999999999994</v>
      </c>
      <c r="X120" s="932">
        <f t="shared" si="17"/>
        <v>2.990000000000002</v>
      </c>
      <c r="Y120" s="932">
        <f t="shared" si="17"/>
        <v>3.3599999999999994</v>
      </c>
      <c r="Z120" s="932">
        <f t="shared" si="17"/>
        <v>3.740000000000002</v>
      </c>
      <c r="AA120" s="913"/>
      <c r="AB120" s="913"/>
      <c r="AC120" s="913"/>
      <c r="AD120" s="913"/>
      <c r="AE120" s="913"/>
      <c r="AF120" s="913"/>
      <c r="AG120" s="913"/>
      <c r="AH120" s="913"/>
      <c r="AI120" s="913"/>
      <c r="AJ120" s="913"/>
      <c r="AK120" s="913"/>
      <c r="AL120" s="913"/>
      <c r="AM120" s="913"/>
      <c r="AN120" s="923"/>
    </row>
    <row r="121" spans="1:40" x14ac:dyDescent="0.25">
      <c r="A121" s="193"/>
      <c r="B121" s="193"/>
      <c r="C121" s="193"/>
      <c r="D121" s="193"/>
      <c r="E121" s="193"/>
      <c r="F121" s="193"/>
      <c r="G121" s="193"/>
      <c r="H121" s="193"/>
      <c r="I121" s="193"/>
      <c r="J121" s="193"/>
      <c r="K121" s="193"/>
      <c r="L121" s="193"/>
      <c r="O121" s="936">
        <f t="shared" si="16"/>
        <v>70.72</v>
      </c>
      <c r="P121" s="929"/>
      <c r="Q121" s="937"/>
      <c r="R121" s="938">
        <f t="shared" si="17"/>
        <v>0.73999999999999844</v>
      </c>
      <c r="S121" s="938">
        <f t="shared" si="17"/>
        <v>1.120000000000001</v>
      </c>
      <c r="T121" s="938">
        <f t="shared" si="17"/>
        <v>1.5</v>
      </c>
      <c r="U121" s="938">
        <f t="shared" si="17"/>
        <v>1.870000000000001</v>
      </c>
      <c r="V121" s="938">
        <f t="shared" si="17"/>
        <v>2.240000000000002</v>
      </c>
      <c r="W121" s="938">
        <f t="shared" si="17"/>
        <v>2.6200000000000045</v>
      </c>
      <c r="X121" s="938">
        <f t="shared" si="17"/>
        <v>2.990000000000002</v>
      </c>
      <c r="Y121" s="938">
        <f t="shared" si="17"/>
        <v>3.3599999999999994</v>
      </c>
      <c r="Z121" s="938">
        <f t="shared" si="17"/>
        <v>3.7299999999999969</v>
      </c>
      <c r="AA121" s="929"/>
      <c r="AB121" s="929"/>
      <c r="AC121" s="929"/>
      <c r="AD121" s="929"/>
      <c r="AE121" s="929"/>
      <c r="AF121" s="929"/>
      <c r="AG121" s="929"/>
      <c r="AH121" s="929"/>
      <c r="AI121" s="929"/>
      <c r="AJ121" s="929"/>
      <c r="AK121" s="929"/>
      <c r="AL121" s="929"/>
      <c r="AM121" s="929"/>
      <c r="AN121" s="930"/>
    </row>
    <row r="122" spans="1:40" x14ac:dyDescent="0.25">
      <c r="A122" s="193"/>
      <c r="B122" s="193"/>
      <c r="C122" s="193"/>
      <c r="D122" s="193"/>
      <c r="E122" s="193"/>
      <c r="F122" s="193"/>
      <c r="G122" s="193"/>
      <c r="H122" s="193"/>
      <c r="I122" s="193"/>
      <c r="J122" s="193"/>
      <c r="K122" s="193"/>
      <c r="L122" s="193"/>
    </row>
    <row r="123" spans="1:40" x14ac:dyDescent="0.25">
      <c r="A123" s="193"/>
      <c r="B123" s="193"/>
      <c r="C123" s="193"/>
      <c r="D123" s="193"/>
      <c r="E123" s="193"/>
      <c r="F123" s="193"/>
      <c r="G123" s="193"/>
      <c r="H123" s="193"/>
      <c r="I123" s="193"/>
      <c r="J123" s="193"/>
      <c r="K123" s="193"/>
      <c r="L123" s="193"/>
    </row>
    <row r="124" spans="1:40" x14ac:dyDescent="0.25">
      <c r="A124" s="193"/>
      <c r="B124" s="193"/>
      <c r="C124" s="193"/>
      <c r="D124" s="193"/>
      <c r="E124" s="193"/>
      <c r="F124" s="193"/>
      <c r="G124" s="193"/>
      <c r="H124" s="193"/>
      <c r="I124" s="193"/>
      <c r="J124" s="193"/>
      <c r="K124" s="193"/>
      <c r="L124" s="193"/>
    </row>
    <row r="125" spans="1:40" x14ac:dyDescent="0.25">
      <c r="A125" s="193"/>
      <c r="B125" s="193"/>
      <c r="C125" s="193"/>
      <c r="D125" s="193"/>
      <c r="E125" s="193"/>
      <c r="F125" s="193"/>
      <c r="G125" s="193"/>
      <c r="H125" s="193"/>
      <c r="I125" s="193"/>
      <c r="J125" s="193"/>
      <c r="K125" s="193"/>
      <c r="L125" s="193"/>
    </row>
    <row r="126" spans="1:40" x14ac:dyDescent="0.25">
      <c r="A126" s="193"/>
      <c r="B126" s="193"/>
      <c r="C126" s="193"/>
      <c r="D126" s="193"/>
      <c r="E126" s="193"/>
      <c r="F126" s="193"/>
      <c r="G126" s="193"/>
      <c r="H126" s="193"/>
      <c r="I126" s="193"/>
      <c r="J126" s="193"/>
      <c r="K126" s="193"/>
      <c r="L126" s="193"/>
    </row>
    <row r="127" spans="1:40" x14ac:dyDescent="0.25">
      <c r="A127" s="193"/>
      <c r="B127" s="193"/>
      <c r="C127" s="193"/>
      <c r="D127" s="193"/>
      <c r="E127" s="193"/>
      <c r="F127" s="193"/>
      <c r="G127" s="193"/>
      <c r="H127" s="193"/>
      <c r="I127" s="193"/>
      <c r="J127" s="193"/>
      <c r="K127" s="193"/>
      <c r="L127" s="193"/>
    </row>
    <row r="128" spans="1:40" x14ac:dyDescent="0.25">
      <c r="A128" s="193"/>
      <c r="B128" s="193"/>
      <c r="C128" s="193"/>
      <c r="D128" s="193"/>
      <c r="E128" s="193"/>
      <c r="F128" s="193"/>
      <c r="G128" s="193"/>
      <c r="H128" s="193"/>
      <c r="I128" s="193"/>
      <c r="J128" s="193"/>
      <c r="K128" s="193"/>
      <c r="L128" s="193"/>
    </row>
    <row r="141" ht="150.75" customHeight="1" x14ac:dyDescent="0.25"/>
    <row r="150" spans="3:3" x14ac:dyDescent="0.25">
      <c r="C150" s="138"/>
    </row>
    <row r="151" spans="3:3" x14ac:dyDescent="0.25">
      <c r="C151" s="138"/>
    </row>
    <row r="282" spans="24:25" x14ac:dyDescent="0.25">
      <c r="X282" s="110"/>
      <c r="Y282" s="109"/>
    </row>
  </sheetData>
  <sheetProtection algorithmName="SHA-512" hashValue="6TJgvGVNiCbK3AnI43ZsDHt7FCtOaVpklMcFdAS7B05jXB1lZsLKslEe5oGBXWC8EnOJ/1e4VTMywemqSKMiPQ==" saltValue="t4QSuK4yIItB5FtkD8XTVg==" spinCount="100000" sheet="1" objects="1" scenarios="1"/>
  <mergeCells count="6">
    <mergeCell ref="N71:N72"/>
    <mergeCell ref="N44:N45"/>
    <mergeCell ref="D17:D18"/>
    <mergeCell ref="E17:E18"/>
    <mergeCell ref="F17:F18"/>
    <mergeCell ref="G17:G18"/>
  </mergeCells>
  <conditionalFormatting sqref="R54:AJ54 R48:AJ48">
    <cfRule type="colorScale" priority="21">
      <colorScale>
        <cfvo type="min"/>
        <cfvo type="percentile" val="50"/>
        <cfvo type="max"/>
        <color rgb="FF63BE7B"/>
        <color rgb="FFFFEB84"/>
        <color rgb="FFF8696B"/>
      </colorScale>
    </cfRule>
  </conditionalFormatting>
  <conditionalFormatting sqref="R54:AJ54 R48:AJ48">
    <cfRule type="colorScale" priority="19">
      <colorScale>
        <cfvo type="min"/>
        <cfvo type="percentile" val="50"/>
        <cfvo type="max"/>
        <color rgb="FF63BE7B"/>
        <color rgb="FFFFEB84"/>
        <color rgb="FFF8696B"/>
      </colorScale>
    </cfRule>
  </conditionalFormatting>
  <conditionalFormatting sqref="R55:Z57">
    <cfRule type="colorScale" priority="18">
      <colorScale>
        <cfvo type="min"/>
        <cfvo type="percentile" val="50"/>
        <cfvo type="max"/>
        <color rgb="FF63BE7B"/>
        <color rgb="FFFFEB84"/>
        <color rgb="FFF8696B"/>
      </colorScale>
    </cfRule>
  </conditionalFormatting>
  <conditionalFormatting sqref="R55:AA57">
    <cfRule type="colorScale" priority="17">
      <colorScale>
        <cfvo type="min"/>
        <cfvo type="percentile" val="50"/>
        <cfvo type="max"/>
        <color rgb="FF63BE7B"/>
        <color rgb="FFFFEB84"/>
        <color rgb="FFF8696B"/>
      </colorScale>
    </cfRule>
  </conditionalFormatting>
  <conditionalFormatting sqref="R46:Z46">
    <cfRule type="colorScale" priority="16">
      <colorScale>
        <cfvo type="min"/>
        <cfvo type="percentile" val="50"/>
        <cfvo type="max"/>
        <color rgb="FF63BE7B"/>
        <color rgb="FFFFEB84"/>
        <color rgb="FFF8696B"/>
      </colorScale>
    </cfRule>
  </conditionalFormatting>
  <conditionalFormatting sqref="R46:AA46">
    <cfRule type="colorScale" priority="15">
      <colorScale>
        <cfvo type="min"/>
        <cfvo type="percentile" val="50"/>
        <cfvo type="max"/>
        <color rgb="FF63BE7B"/>
        <color rgb="FFFFEB84"/>
        <color rgb="FFF8696B"/>
      </colorScale>
    </cfRule>
  </conditionalFormatting>
  <conditionalFormatting sqref="R47:Z47">
    <cfRule type="colorScale" priority="14">
      <colorScale>
        <cfvo type="min"/>
        <cfvo type="percentile" val="50"/>
        <cfvo type="max"/>
        <color rgb="FF63BE7B"/>
        <color rgb="FFFFEB84"/>
        <color rgb="FFF8696B"/>
      </colorScale>
    </cfRule>
  </conditionalFormatting>
  <conditionalFormatting sqref="R47:AA47">
    <cfRule type="colorScale" priority="13">
      <colorScale>
        <cfvo type="min"/>
        <cfvo type="percentile" val="50"/>
        <cfvo type="max"/>
        <color rgb="FF63BE7B"/>
        <color rgb="FFFFEB84"/>
        <color rgb="FFF8696B"/>
      </colorScale>
    </cfRule>
  </conditionalFormatting>
  <conditionalFormatting sqref="R49:Z49">
    <cfRule type="colorScale" priority="12">
      <colorScale>
        <cfvo type="min"/>
        <cfvo type="percentile" val="50"/>
        <cfvo type="max"/>
        <color rgb="FF63BE7B"/>
        <color rgb="FFFFEB84"/>
        <color rgb="FFF8696B"/>
      </colorScale>
    </cfRule>
  </conditionalFormatting>
  <conditionalFormatting sqref="R49:AA49">
    <cfRule type="colorScale" priority="11">
      <colorScale>
        <cfvo type="min"/>
        <cfvo type="percentile" val="50"/>
        <cfvo type="max"/>
        <color rgb="FF63BE7B"/>
        <color rgb="FFFFEB84"/>
        <color rgb="FFF8696B"/>
      </colorScale>
    </cfRule>
  </conditionalFormatting>
  <conditionalFormatting sqref="R50:Z50">
    <cfRule type="colorScale" priority="10">
      <colorScale>
        <cfvo type="min"/>
        <cfvo type="percentile" val="50"/>
        <cfvo type="max"/>
        <color rgb="FF63BE7B"/>
        <color rgb="FFFFEB84"/>
        <color rgb="FFF8696B"/>
      </colorScale>
    </cfRule>
  </conditionalFormatting>
  <conditionalFormatting sqref="R50:AA50">
    <cfRule type="colorScale" priority="9">
      <colorScale>
        <cfvo type="min"/>
        <cfvo type="percentile" val="50"/>
        <cfvo type="max"/>
        <color rgb="FF63BE7B"/>
        <color rgb="FFFFEB84"/>
        <color rgb="FFF8696B"/>
      </colorScale>
    </cfRule>
  </conditionalFormatting>
  <conditionalFormatting sqref="R51:Z53">
    <cfRule type="colorScale" priority="8">
      <colorScale>
        <cfvo type="min"/>
        <cfvo type="percentile" val="50"/>
        <cfvo type="max"/>
        <color rgb="FF63BE7B"/>
        <color rgb="FFFFEB84"/>
        <color rgb="FFF8696B"/>
      </colorScale>
    </cfRule>
  </conditionalFormatting>
  <conditionalFormatting sqref="R51:AA53">
    <cfRule type="colorScale" priority="7">
      <colorScale>
        <cfvo type="min"/>
        <cfvo type="percentile" val="50"/>
        <cfvo type="max"/>
        <color rgb="FF63BE7B"/>
        <color rgb="FFFFEB84"/>
        <color rgb="FFF8696B"/>
      </colorScale>
    </cfRule>
  </conditionalFormatting>
  <conditionalFormatting sqref="R46:AJ57">
    <cfRule type="colorScale" priority="6">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6">
    <cfRule type="colorScale" priority="3">
      <colorScale>
        <cfvo type="min"/>
        <cfvo type="percentile" val="50"/>
        <cfvo type="max"/>
        <color rgb="FF63BE7B"/>
        <color rgb="FFFFEB84"/>
        <color rgb="FFF8696B"/>
      </colorScale>
    </cfRule>
  </conditionalFormatting>
  <conditionalFormatting sqref="S91:Z10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282"/>
  <sheetViews>
    <sheetView zoomScale="55" zoomScaleNormal="55" workbookViewId="0">
      <selection activeCell="T39" sqref="T39"/>
    </sheetView>
  </sheetViews>
  <sheetFormatPr defaultRowHeight="15" x14ac:dyDescent="0.25"/>
  <cols>
    <col min="1" max="1" width="12.85546875" customWidth="1"/>
    <col min="2" max="2" width="20.28515625" customWidth="1"/>
    <col min="3" max="3" width="17.140625" customWidth="1"/>
    <col min="4" max="4" width="15.7109375" customWidth="1"/>
    <col min="5" max="5" width="17.85546875" customWidth="1"/>
    <col min="6" max="6" width="12.7109375" customWidth="1"/>
    <col min="7" max="7" width="16" customWidth="1"/>
    <col min="8"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20.140625" customWidth="1"/>
    <col min="19" max="19" width="13.42578125" customWidth="1"/>
    <col min="20" max="20" width="10.28515625" customWidth="1"/>
    <col min="21" max="21" width="23.570312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7" max="37" width="14.42578125"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9" ht="21.75" thickBot="1" x14ac:dyDescent="0.4">
      <c r="B1" s="188" t="s">
        <v>36</v>
      </c>
      <c r="C1" s="213" t="s">
        <v>214</v>
      </c>
      <c r="D1" s="189"/>
      <c r="E1" s="189"/>
      <c r="F1" s="189"/>
      <c r="G1" s="189"/>
      <c r="H1" s="189"/>
      <c r="I1" s="190"/>
    </row>
    <row r="2" spans="2:259"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9" ht="18.75" x14ac:dyDescent="0.3">
      <c r="B3" s="214" t="s">
        <v>181</v>
      </c>
      <c r="C3" s="187" t="str">
        <f>IF(AND('DATA ENTRY'!B22="mm",'DATA ENTRY'!B23&gt;=406,'DATA ENTRY'!B23&lt;=406.4),16,IF('DATA ENTRY'!B22="mm",'DATA ENTRY'!B23/25.4,'DATA ENTRY'!B23))</f>
        <v>ENTER LENGTH</v>
      </c>
      <c r="D3" s="179"/>
      <c r="E3" s="40"/>
      <c r="F3" s="40"/>
      <c r="G3" s="215" t="s">
        <v>229</v>
      </c>
      <c r="H3" s="187">
        <v>16</v>
      </c>
      <c r="I3" s="191">
        <v>108</v>
      </c>
      <c r="N3" s="41"/>
      <c r="O3" s="40"/>
      <c r="P3" s="40"/>
      <c r="Q3" s="40"/>
      <c r="R3" s="40"/>
      <c r="S3" s="40"/>
      <c r="T3" s="40"/>
      <c r="U3" s="40"/>
      <c r="V3" s="40"/>
      <c r="W3" s="169"/>
    </row>
    <row r="4" spans="2:259" ht="18.75" x14ac:dyDescent="0.3">
      <c r="B4" s="214" t="s">
        <v>38</v>
      </c>
      <c r="C4" s="187" t="str">
        <f>IF(AND('DATA ENTRY'!B22="mm",'DATA ENTRY'!B24&gt;=406,'DATA ENTRY'!B24&lt;=406.4),16,IF('DATA ENTRY'!B22="mm",'DATA ENTRY'!B24/25.4,'DATA ENTRY'!B24))</f>
        <v>ENTER WIDTH</v>
      </c>
      <c r="D4" s="179"/>
      <c r="E4" s="40"/>
      <c r="F4" s="40"/>
      <c r="G4" s="215" t="s">
        <v>230</v>
      </c>
      <c r="H4" s="187">
        <v>16</v>
      </c>
      <c r="I4" s="191">
        <v>108</v>
      </c>
      <c r="N4" s="41"/>
      <c r="O4" s="173" t="str">
        <f>C1&amp;"_MODEL"</f>
        <v>MCJE443_MODEL</v>
      </c>
      <c r="P4" s="173" t="s">
        <v>238</v>
      </c>
      <c r="Q4" s="173"/>
      <c r="R4" s="173"/>
      <c r="S4" s="173"/>
      <c r="T4" s="40"/>
      <c r="U4" s="40"/>
      <c r="V4" s="179" t="s">
        <v>93</v>
      </c>
      <c r="W4" s="169"/>
    </row>
    <row r="5" spans="2:259" ht="18.75" x14ac:dyDescent="0.3">
      <c r="B5" s="214" t="s">
        <v>39</v>
      </c>
      <c r="C5" s="483" t="e">
        <f>IF('DATA ENTRY'!B22="mm",VALUE(FIXED('DATA ENTRY'!B25/25.4,2)),VALUE(FIXED('DATA ENTRY'!B25,2)))</f>
        <v>#VALUE!</v>
      </c>
      <c r="D5" s="179"/>
      <c r="E5" s="40"/>
      <c r="F5" s="40"/>
      <c r="G5" s="215" t="s">
        <v>231</v>
      </c>
      <c r="H5" s="187">
        <v>15.65</v>
      </c>
      <c r="I5" s="191">
        <v>70.72</v>
      </c>
      <c r="N5" s="171" t="s">
        <v>79</v>
      </c>
      <c r="O5" s="173" t="str">
        <f>C1&amp;"_FA"</f>
        <v>MCJE443_FA</v>
      </c>
      <c r="P5" s="175" t="e">
        <f>P22</f>
        <v>#VALUE!</v>
      </c>
      <c r="Q5" s="173" t="s">
        <v>42</v>
      </c>
      <c r="R5" s="40"/>
      <c r="S5" s="40"/>
      <c r="T5" s="40"/>
      <c r="U5" s="40"/>
      <c r="V5" s="173" t="str">
        <f>C1&amp;"_W"</f>
        <v>MCJE443_W</v>
      </c>
      <c r="W5" s="178" t="str">
        <f>C3</f>
        <v>ENTER LENGTH</v>
      </c>
    </row>
    <row r="6" spans="2:259" ht="18.75" x14ac:dyDescent="0.3">
      <c r="B6" s="214" t="s">
        <v>40</v>
      </c>
      <c r="C6" s="483" t="str">
        <f>IF('DATA ENTRY'!B22="mm",'DATA ENTRY'!B26*2.1188799727597,'DATA ENTRY'!B26)</f>
        <v>ENTER AIR VOLUME</v>
      </c>
      <c r="D6" s="215"/>
      <c r="E6" s="215"/>
      <c r="F6" s="40"/>
      <c r="G6" s="40"/>
      <c r="H6" s="40"/>
      <c r="I6" s="169"/>
      <c r="N6" s="171" t="s">
        <v>56</v>
      </c>
      <c r="O6" s="173" t="str">
        <f>C1&amp;"_FA%"</f>
        <v>MCJE443_FA%</v>
      </c>
      <c r="P6" s="176" t="e">
        <f>P24</f>
        <v>#VALUE!</v>
      </c>
      <c r="Q6" s="173" t="s">
        <v>13</v>
      </c>
      <c r="R6" s="40"/>
      <c r="S6" s="40"/>
      <c r="T6" s="40"/>
      <c r="U6" s="40"/>
      <c r="V6" s="173" t="str">
        <f>C1&amp;"_H"</f>
        <v>MCJE443_H</v>
      </c>
      <c r="W6" s="178" t="str">
        <f>C4</f>
        <v>ENTER WIDTH</v>
      </c>
    </row>
    <row r="7" spans="2:259" ht="18.75" x14ac:dyDescent="0.3">
      <c r="B7" s="214" t="s">
        <v>41</v>
      </c>
      <c r="C7" s="215" t="str">
        <f>'DATA ENTRY'!B27</f>
        <v>SELECT AIR DIRECTION</v>
      </c>
      <c r="D7" s="215"/>
      <c r="E7" s="215"/>
      <c r="F7" s="40"/>
      <c r="G7" s="40"/>
      <c r="H7" s="40"/>
      <c r="I7" s="169"/>
      <c r="N7" s="171" t="s">
        <v>82</v>
      </c>
      <c r="O7" s="173" t="str">
        <f>C1&amp;"_VEL"</f>
        <v>MCJE443_VEL</v>
      </c>
      <c r="P7" s="176" t="e">
        <f>P26</f>
        <v>#VALUE!</v>
      </c>
      <c r="Q7" s="173" t="s">
        <v>0</v>
      </c>
      <c r="R7" s="40"/>
      <c r="S7" s="40"/>
      <c r="T7" s="40"/>
      <c r="U7" s="40"/>
      <c r="V7" s="173" t="str">
        <f>C1&amp;"_SL"</f>
        <v>MCJE443_SL</v>
      </c>
      <c r="W7" s="178" t="e">
        <f>C9</f>
        <v>#VALUE!</v>
      </c>
    </row>
    <row r="8" spans="2:259" ht="18.75" x14ac:dyDescent="0.3">
      <c r="B8" s="214"/>
      <c r="C8" s="215"/>
      <c r="D8" s="215"/>
      <c r="E8" s="215"/>
      <c r="F8" s="40"/>
      <c r="G8" s="40"/>
      <c r="H8" s="40"/>
      <c r="I8" s="169"/>
      <c r="N8" s="171" t="s">
        <v>80</v>
      </c>
      <c r="O8" s="173" t="str">
        <f>C1&amp;"_Intake"</f>
        <v>MCJE443_Intake</v>
      </c>
      <c r="P8" s="177" t="e">
        <f>P27</f>
        <v>#VALUE!</v>
      </c>
      <c r="Q8" s="173" t="s">
        <v>85</v>
      </c>
      <c r="R8" s="40"/>
      <c r="S8" s="40"/>
      <c r="T8" s="40"/>
      <c r="U8" s="40"/>
      <c r="V8" s="173" t="str">
        <f>C1&amp;"_SW"</f>
        <v>MCJE443_SW</v>
      </c>
      <c r="W8" s="178" t="e">
        <f>F9</f>
        <v>#VALUE!</v>
      </c>
    </row>
    <row r="9" spans="2:259" ht="18.75" x14ac:dyDescent="0.3">
      <c r="B9" s="214" t="s">
        <v>183</v>
      </c>
      <c r="C9" s="462" t="e">
        <f>CEILING(C3/60,1)</f>
        <v>#VALUE!</v>
      </c>
      <c r="D9" s="215"/>
      <c r="E9" s="215" t="s">
        <v>60</v>
      </c>
      <c r="F9" s="462" t="e">
        <f>CEILING(C4/60,1)</f>
        <v>#VALUE!</v>
      </c>
      <c r="G9" s="40"/>
      <c r="H9" s="215" t="s">
        <v>61</v>
      </c>
      <c r="I9" s="463" t="e">
        <f>CEILING(C5/I5,1)</f>
        <v>#VALUE!</v>
      </c>
      <c r="N9" s="171" t="s">
        <v>81</v>
      </c>
      <c r="O9" s="173" t="str">
        <f>C1&amp;"_Exhaust"</f>
        <v>MCJE443_Exhaust</v>
      </c>
      <c r="P9" s="177" t="e">
        <f>P28</f>
        <v>#VALUE!</v>
      </c>
      <c r="Q9" s="173" t="s">
        <v>85</v>
      </c>
      <c r="R9" s="40"/>
      <c r="S9" s="40"/>
      <c r="T9" s="40"/>
      <c r="U9" s="40"/>
      <c r="V9" s="173" t="str">
        <f>C1&amp;"_TA"</f>
        <v>MCJE443_TA</v>
      </c>
      <c r="W9" s="178" t="e">
        <f>IF(OR(C3&lt;H3,C4&lt;H4,C5&lt;H5,C3&gt;I3,C4&gt;I4,C5&gt;I5),0,(C3*C4)/144)</f>
        <v>#VALUE!</v>
      </c>
    </row>
    <row r="10" spans="2:259" ht="18.75" x14ac:dyDescent="0.3">
      <c r="B10" s="214" t="s">
        <v>184</v>
      </c>
      <c r="C10" s="462" t="e">
        <f>(C3/C9)</f>
        <v>#VALUE!</v>
      </c>
      <c r="D10" s="215"/>
      <c r="E10" s="215" t="s">
        <v>58</v>
      </c>
      <c r="F10" s="462" t="e">
        <f>(C4/F9)</f>
        <v>#VALUE!</v>
      </c>
      <c r="G10" s="40"/>
      <c r="H10" s="215" t="s">
        <v>51</v>
      </c>
      <c r="I10" s="463" t="e">
        <f>(C5/I9)</f>
        <v>#VALUE!</v>
      </c>
      <c r="N10" s="171" t="s">
        <v>86</v>
      </c>
      <c r="O10" s="173" t="str">
        <f>C1&amp;"_SEC"</f>
        <v>MCJE443_SEC</v>
      </c>
      <c r="P10" s="173" t="e">
        <f>IF(OR(C3&lt;H3,C4&lt;H4,C5&lt;H5,C3&gt;I3,C4&gt;I4,C5&gt;I5),0,D13)</f>
        <v>#VALUE!</v>
      </c>
      <c r="Q10" s="173"/>
      <c r="R10" s="40"/>
      <c r="S10" s="40"/>
      <c r="T10" s="40"/>
      <c r="U10" s="40"/>
      <c r="V10" s="40"/>
      <c r="W10" s="169"/>
    </row>
    <row r="11" spans="2:259" ht="18.75" x14ac:dyDescent="0.3">
      <c r="B11" s="214"/>
      <c r="C11" s="215"/>
      <c r="D11" s="215"/>
      <c r="E11" s="215"/>
      <c r="F11" s="215"/>
      <c r="G11" s="40"/>
      <c r="H11" s="40"/>
      <c r="I11" s="169"/>
      <c r="N11" s="171" t="s">
        <v>83</v>
      </c>
      <c r="O11" s="173" t="str">
        <f>C1&amp;"_SECW"</f>
        <v>MCJE443_SECW</v>
      </c>
      <c r="P11" s="194" t="e">
        <f>IF(OR(D3&gt;I3,D4&gt;I4,D5&gt;I5),0,AB81)</f>
        <v>#VALUE!</v>
      </c>
      <c r="Q11" s="173" t="s">
        <v>72</v>
      </c>
      <c r="R11" s="40"/>
      <c r="S11" s="40"/>
      <c r="T11" s="40"/>
      <c r="U11" s="40"/>
      <c r="V11" s="40"/>
      <c r="W11" s="169"/>
    </row>
    <row r="12" spans="2:259" ht="19.5" thickBot="1" x14ac:dyDescent="0.35">
      <c r="B12" s="41"/>
      <c r="C12" s="214" t="s">
        <v>185</v>
      </c>
      <c r="D12" s="462" t="e">
        <f>C9*I9</f>
        <v>#VALUE!</v>
      </c>
      <c r="E12" s="215"/>
      <c r="F12" s="215" t="s">
        <v>186</v>
      </c>
      <c r="G12" s="462" t="e">
        <f>F9*I9</f>
        <v>#VALUE!</v>
      </c>
      <c r="H12" s="40"/>
      <c r="I12" s="169"/>
      <c r="N12" s="172" t="s">
        <v>84</v>
      </c>
      <c r="O12" s="174" t="str">
        <f>C1&amp;"_TW"</f>
        <v>MCJE443_TW</v>
      </c>
      <c r="P12" s="416" t="e">
        <f>IF(OR(C3&lt;H3,C4&lt;H4,C5&lt;H5,C3&gt;I3,C4&gt;I4,C5&gt;I5),0,AB80)</f>
        <v>#VALUE!</v>
      </c>
      <c r="Q12" s="174" t="s">
        <v>72</v>
      </c>
      <c r="R12" s="43"/>
      <c r="S12" s="43"/>
      <c r="T12" s="43"/>
      <c r="U12" s="43"/>
      <c r="V12" s="43"/>
      <c r="W12" s="170"/>
    </row>
    <row r="13" spans="2:259" ht="18.75" x14ac:dyDescent="0.3">
      <c r="B13" s="41"/>
      <c r="C13" s="215" t="s">
        <v>187</v>
      </c>
      <c r="D13" s="462" t="e">
        <f>IF(OR(C10=0,F10=0,I10=0),0,((2*D12)+(2*G12)))</f>
        <v>#VALUE!</v>
      </c>
      <c r="E13" s="187"/>
      <c r="F13" s="215" t="s">
        <v>337</v>
      </c>
      <c r="G13" s="462" t="e">
        <f>VALUE(RIGHT('FOR ENGINEERS'!F21,1))</f>
        <v>#N/A</v>
      </c>
      <c r="H13" s="40"/>
      <c r="I13" s="169"/>
      <c r="L13" s="71"/>
      <c r="M13" s="71"/>
      <c r="N13" s="425"/>
      <c r="O13" s="425"/>
      <c r="P13" s="425"/>
      <c r="Q13" s="425"/>
      <c r="R13" s="193"/>
      <c r="S13" s="193"/>
      <c r="T13" s="193"/>
      <c r="U13" s="193"/>
      <c r="V13" s="193"/>
      <c r="W13" s="193"/>
      <c r="X13" s="71"/>
    </row>
    <row r="14" spans="2:259" ht="15.75" thickBot="1" x14ac:dyDescent="0.3">
      <c r="B14" s="42"/>
      <c r="C14" s="43"/>
      <c r="D14" s="43"/>
      <c r="E14" s="43"/>
      <c r="F14" s="43"/>
      <c r="G14" s="43"/>
      <c r="H14" s="43"/>
      <c r="I14" s="170"/>
      <c r="L14" s="71"/>
      <c r="M14" s="71"/>
      <c r="N14" s="71"/>
      <c r="O14" s="71"/>
      <c r="P14" s="71"/>
      <c r="Q14" s="71"/>
      <c r="R14" s="71"/>
      <c r="S14" s="71"/>
      <c r="T14" s="71"/>
      <c r="U14" s="71"/>
      <c r="V14" s="71"/>
      <c r="W14" s="71"/>
      <c r="X14" s="71"/>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row>
    <row r="15" spans="2:259" ht="27" thickBot="1" x14ac:dyDescent="0.45">
      <c r="B15" s="166" t="s">
        <v>364</v>
      </c>
      <c r="C15" s="122"/>
      <c r="D15" s="812"/>
      <c r="E15" s="813"/>
      <c r="F15" s="813"/>
      <c r="G15" s="813"/>
      <c r="H15" s="813"/>
      <c r="I15" s="813"/>
      <c r="J15" s="813"/>
      <c r="K15" s="813"/>
      <c r="L15" s="813"/>
      <c r="M15" s="813"/>
      <c r="N15" s="813"/>
      <c r="O15" s="813"/>
      <c r="P15" s="813"/>
      <c r="Q15" s="813"/>
      <c r="R15" s="813"/>
      <c r="S15" s="813"/>
      <c r="T15" s="813"/>
      <c r="U15" s="813"/>
      <c r="V15" s="813"/>
      <c r="W15" s="814"/>
      <c r="X15" s="815"/>
      <c r="Y15" s="816"/>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c r="IW15" s="800"/>
      <c r="IX15" s="800"/>
      <c r="IY15" s="193"/>
    </row>
    <row r="16" spans="2:259" ht="15.75" customHeight="1" thickBot="1" x14ac:dyDescent="0.3">
      <c r="B16" s="810"/>
      <c r="C16" s="811"/>
      <c r="D16" s="811"/>
      <c r="E16" s="811"/>
      <c r="F16" s="811"/>
      <c r="G16" s="811"/>
      <c r="H16" s="811"/>
      <c r="I16" s="811"/>
      <c r="J16" s="811"/>
      <c r="K16" s="811"/>
      <c r="L16" s="811"/>
      <c r="M16" s="811"/>
      <c r="N16" s="811"/>
      <c r="O16" s="811"/>
      <c r="P16" s="811"/>
      <c r="Q16" s="811"/>
      <c r="R16" s="811"/>
      <c r="S16" s="811"/>
      <c r="T16" s="811"/>
      <c r="U16" s="811"/>
      <c r="V16" s="811"/>
      <c r="W16" s="811"/>
      <c r="X16" s="114"/>
      <c r="Y16" s="120"/>
      <c r="AT16" s="507"/>
      <c r="AU16" s="507"/>
      <c r="AV16" s="507"/>
      <c r="AW16" s="507"/>
      <c r="AX16" s="507"/>
      <c r="AY16" s="507"/>
      <c r="AZ16" s="507"/>
      <c r="BA16" s="507"/>
      <c r="BB16" s="507"/>
      <c r="BC16" s="507"/>
      <c r="BD16" s="507"/>
      <c r="BE16" s="507"/>
      <c r="BF16" s="507"/>
      <c r="BG16" s="507"/>
      <c r="BH16" s="786"/>
      <c r="BI16" s="787"/>
      <c r="BJ16" s="787"/>
      <c r="BK16" s="787"/>
      <c r="BL16" s="787"/>
      <c r="BM16" s="787"/>
      <c r="BN16" s="787"/>
      <c r="BO16" s="787"/>
      <c r="BP16" s="787"/>
      <c r="BQ16" s="787"/>
      <c r="BR16" s="786"/>
      <c r="BS16" s="787"/>
      <c r="BT16" s="787"/>
      <c r="BU16" s="787"/>
      <c r="BV16" s="787"/>
      <c r="BW16" s="787"/>
      <c r="BX16" s="787"/>
      <c r="BY16" s="787"/>
      <c r="BZ16" s="787"/>
      <c r="CA16" s="787"/>
      <c r="CB16" s="786"/>
      <c r="CC16" s="787"/>
      <c r="CD16" s="787"/>
      <c r="CE16" s="787"/>
      <c r="CF16" s="787"/>
      <c r="CG16" s="787"/>
      <c r="CH16" s="787"/>
      <c r="CI16" s="787"/>
      <c r="CJ16" s="787"/>
      <c r="CK16" s="787"/>
      <c r="CL16" s="786"/>
      <c r="CM16" s="787"/>
      <c r="CN16" s="787"/>
      <c r="CO16" s="787"/>
      <c r="CP16" s="787"/>
      <c r="CQ16" s="787"/>
      <c r="CR16" s="787"/>
      <c r="CS16" s="787"/>
      <c r="CT16" s="787"/>
      <c r="CU16" s="787"/>
      <c r="CV16" s="786"/>
      <c r="CW16" s="787"/>
      <c r="CX16" s="787"/>
      <c r="CY16" s="787"/>
      <c r="CZ16" s="787"/>
      <c r="DA16" s="787"/>
      <c r="DB16" s="787"/>
      <c r="DC16" s="787"/>
      <c r="DD16" s="787"/>
      <c r="DE16" s="787"/>
      <c r="DF16" s="786"/>
      <c r="DG16" s="787"/>
      <c r="DH16" s="787"/>
      <c r="DI16" s="787"/>
      <c r="DJ16" s="787"/>
      <c r="DK16" s="787"/>
      <c r="DL16" s="787"/>
      <c r="DM16" s="787"/>
      <c r="DN16" s="787"/>
      <c r="DO16" s="787"/>
      <c r="DP16" s="786"/>
      <c r="DQ16" s="787"/>
      <c r="DR16" s="787"/>
      <c r="DS16" s="787"/>
      <c r="DT16" s="787"/>
      <c r="DU16" s="787"/>
      <c r="DV16" s="787"/>
      <c r="DW16" s="787"/>
      <c r="DX16" s="787"/>
      <c r="DY16" s="787"/>
      <c r="DZ16" s="786"/>
      <c r="EA16" s="787"/>
      <c r="EB16" s="787"/>
      <c r="EC16" s="787"/>
      <c r="ED16" s="787"/>
      <c r="EE16" s="787"/>
      <c r="EF16" s="787"/>
      <c r="EG16" s="787"/>
      <c r="EH16" s="787"/>
      <c r="EI16" s="787"/>
      <c r="EJ16" s="786"/>
      <c r="EK16" s="787"/>
      <c r="EL16" s="787"/>
      <c r="EM16" s="787"/>
      <c r="EN16" s="787"/>
      <c r="EO16" s="787"/>
      <c r="EP16" s="787"/>
      <c r="EQ16" s="787"/>
      <c r="ER16" s="787"/>
      <c r="ES16" s="787"/>
      <c r="ET16" s="786"/>
      <c r="EU16" s="787"/>
      <c r="EV16" s="787"/>
      <c r="EW16" s="787"/>
      <c r="EX16" s="787"/>
      <c r="EY16" s="787"/>
      <c r="EZ16" s="787"/>
      <c r="FA16" s="787"/>
      <c r="FB16" s="787"/>
      <c r="FC16" s="787"/>
      <c r="FD16" s="786"/>
      <c r="FE16" s="787"/>
      <c r="FF16" s="787"/>
      <c r="FG16" s="787"/>
      <c r="FH16" s="787"/>
      <c r="FI16" s="787"/>
      <c r="FJ16" s="787"/>
      <c r="FK16" s="787"/>
      <c r="FL16" s="787"/>
      <c r="FM16" s="787"/>
      <c r="FN16" s="786"/>
      <c r="FO16" s="787"/>
      <c r="FP16" s="787"/>
      <c r="FQ16" s="787"/>
      <c r="FR16" s="787"/>
      <c r="FS16" s="787"/>
      <c r="FT16" s="787"/>
      <c r="FU16" s="787"/>
      <c r="FV16" s="787"/>
      <c r="FW16" s="787"/>
      <c r="FX16" s="786"/>
      <c r="FY16" s="787"/>
      <c r="FZ16" s="787"/>
      <c r="GA16" s="787"/>
      <c r="GB16" s="787"/>
      <c r="GC16" s="787"/>
      <c r="GD16" s="787"/>
      <c r="GE16" s="787"/>
      <c r="GF16" s="787"/>
      <c r="GG16" s="787"/>
      <c r="GH16" s="786"/>
      <c r="GI16" s="787"/>
      <c r="GJ16" s="787"/>
      <c r="GK16" s="787"/>
      <c r="GL16" s="787"/>
      <c r="GM16" s="787"/>
      <c r="GN16" s="787"/>
      <c r="GO16" s="787"/>
      <c r="GP16" s="787"/>
      <c r="GQ16" s="787"/>
      <c r="GR16" s="786"/>
      <c r="GS16" s="787"/>
      <c r="GT16" s="787"/>
      <c r="GU16" s="787"/>
      <c r="GV16" s="787"/>
      <c r="GW16" s="787"/>
      <c r="GX16" s="787"/>
      <c r="GY16" s="787"/>
      <c r="GZ16" s="787"/>
      <c r="HA16" s="787"/>
      <c r="HB16" s="786"/>
      <c r="HC16" s="787"/>
      <c r="HD16" s="787"/>
      <c r="HE16" s="787"/>
      <c r="HF16" s="787"/>
      <c r="HG16" s="787"/>
      <c r="HH16" s="787"/>
      <c r="HI16" s="787"/>
      <c r="HJ16" s="787"/>
      <c r="HK16" s="787"/>
      <c r="HL16" s="786"/>
      <c r="HM16" s="787"/>
      <c r="HN16" s="787"/>
      <c r="HO16" s="787"/>
      <c r="HP16" s="787"/>
      <c r="HQ16" s="787"/>
      <c r="HR16" s="787"/>
      <c r="HS16" s="787"/>
      <c r="HT16" s="787"/>
      <c r="HU16" s="787"/>
      <c r="HV16" s="786"/>
      <c r="HW16" s="787"/>
      <c r="HX16" s="787"/>
      <c r="HY16" s="787"/>
      <c r="HZ16" s="787"/>
      <c r="IA16" s="787"/>
      <c r="IB16" s="787"/>
      <c r="IC16" s="787"/>
      <c r="ID16" s="787"/>
      <c r="IE16" s="787"/>
      <c r="IF16" s="786"/>
      <c r="IG16" s="787"/>
      <c r="IH16" s="787"/>
      <c r="II16" s="787"/>
      <c r="IJ16" s="787"/>
      <c r="IK16" s="787"/>
      <c r="IL16" s="787"/>
      <c r="IM16" s="787"/>
      <c r="IN16" s="507"/>
      <c r="IO16" s="507"/>
      <c r="IP16" s="507"/>
      <c r="IQ16" s="507"/>
      <c r="IR16" s="507"/>
      <c r="IS16" s="507"/>
      <c r="IT16" s="507"/>
      <c r="IU16" s="507"/>
      <c r="IV16" s="507"/>
      <c r="IW16" s="507"/>
      <c r="IX16" s="507"/>
      <c r="IY16" s="193"/>
    </row>
    <row r="17" spans="2:259" ht="19.5" thickBot="1" x14ac:dyDescent="0.35">
      <c r="B17" s="214"/>
      <c r="C17" s="809"/>
      <c r="D17" s="1001" t="s">
        <v>365</v>
      </c>
      <c r="E17" s="1001" t="s">
        <v>361</v>
      </c>
      <c r="F17" s="1002" t="s">
        <v>362</v>
      </c>
      <c r="G17" s="1002" t="s">
        <v>363</v>
      </c>
      <c r="H17" s="40"/>
      <c r="I17" s="40"/>
      <c r="J17" s="40"/>
      <c r="K17" s="40"/>
      <c r="L17" s="40"/>
      <c r="M17" s="40"/>
      <c r="N17" s="40"/>
      <c r="O17" s="40"/>
      <c r="P17" s="40"/>
      <c r="Q17" s="40"/>
      <c r="R17" s="40"/>
      <c r="S17" s="40"/>
      <c r="T17" s="40"/>
      <c r="U17" s="40"/>
      <c r="V17" s="40"/>
      <c r="W17" s="40"/>
      <c r="X17" s="113"/>
      <c r="Y17" s="46"/>
      <c r="AT17" s="507"/>
      <c r="AU17" s="801"/>
      <c r="AV17" s="801"/>
      <c r="AW17" s="802"/>
      <c r="AX17" s="802"/>
      <c r="AY17" s="802"/>
      <c r="AZ17" s="802"/>
      <c r="BA17" s="802"/>
      <c r="BB17" s="802"/>
      <c r="BC17" s="802"/>
      <c r="BD17" s="802"/>
      <c r="BE17" s="802"/>
      <c r="BF17" s="802"/>
      <c r="BG17" s="802"/>
      <c r="BH17" s="802"/>
      <c r="BI17" s="802"/>
      <c r="BJ17" s="802"/>
      <c r="BK17" s="802"/>
      <c r="BL17" s="802"/>
      <c r="BM17" s="802"/>
      <c r="BN17" s="802"/>
      <c r="BO17" s="802"/>
      <c r="BP17" s="802"/>
      <c r="BQ17" s="802"/>
      <c r="BR17" s="802"/>
      <c r="BS17" s="802"/>
      <c r="BT17" s="802"/>
      <c r="BU17" s="802"/>
      <c r="BV17" s="802"/>
      <c r="BW17" s="802"/>
      <c r="BX17" s="802"/>
      <c r="BY17" s="802"/>
      <c r="BZ17" s="802"/>
      <c r="CA17" s="802"/>
      <c r="CB17" s="802"/>
      <c r="CC17" s="802"/>
      <c r="CD17" s="802"/>
      <c r="CE17" s="802"/>
      <c r="CF17" s="802"/>
      <c r="CG17" s="802"/>
      <c r="CH17" s="802"/>
      <c r="CI17" s="802"/>
      <c r="CJ17" s="802"/>
      <c r="CK17" s="802"/>
      <c r="CL17" s="802"/>
      <c r="CM17" s="802"/>
      <c r="CN17" s="802"/>
      <c r="CO17" s="802"/>
      <c r="CP17" s="802"/>
      <c r="CQ17" s="802"/>
      <c r="CR17" s="802"/>
      <c r="CS17" s="802"/>
      <c r="CT17" s="802"/>
      <c r="CU17" s="802"/>
      <c r="CV17" s="802"/>
      <c r="CW17" s="802"/>
      <c r="CX17" s="802"/>
      <c r="CY17" s="802"/>
      <c r="CZ17" s="802"/>
      <c r="DA17" s="802"/>
      <c r="DB17" s="802"/>
      <c r="DC17" s="802"/>
      <c r="DD17" s="802"/>
      <c r="DE17" s="802"/>
      <c r="DF17" s="802"/>
      <c r="DG17" s="802"/>
      <c r="DH17" s="802"/>
      <c r="DI17" s="802"/>
      <c r="DJ17" s="802"/>
      <c r="DK17" s="802"/>
      <c r="DL17" s="802"/>
      <c r="DM17" s="802"/>
      <c r="DN17" s="802"/>
      <c r="DO17" s="802"/>
      <c r="DP17" s="802"/>
      <c r="DQ17" s="802"/>
      <c r="DR17" s="802"/>
      <c r="DS17" s="802"/>
      <c r="DT17" s="802"/>
      <c r="DU17" s="802"/>
      <c r="DV17" s="802"/>
      <c r="DW17" s="802"/>
      <c r="DX17" s="802"/>
      <c r="DY17" s="802"/>
      <c r="DZ17" s="802"/>
      <c r="EA17" s="802"/>
      <c r="EB17" s="802"/>
      <c r="EC17" s="802"/>
      <c r="ED17" s="802"/>
      <c r="EE17" s="802"/>
      <c r="EF17" s="802"/>
      <c r="EG17" s="802"/>
      <c r="EH17" s="802"/>
      <c r="EI17" s="802"/>
      <c r="EJ17" s="802"/>
      <c r="EK17" s="802"/>
      <c r="EL17" s="802"/>
      <c r="EM17" s="802"/>
      <c r="EN17" s="802"/>
      <c r="EO17" s="802"/>
      <c r="EP17" s="802"/>
      <c r="EQ17" s="802"/>
      <c r="ER17" s="802"/>
      <c r="ES17" s="802"/>
      <c r="ET17" s="802"/>
      <c r="EU17" s="802"/>
      <c r="EV17" s="802"/>
      <c r="EW17" s="802"/>
      <c r="EX17" s="802"/>
      <c r="EY17" s="802"/>
      <c r="EZ17" s="802"/>
      <c r="FA17" s="802"/>
      <c r="FB17" s="802"/>
      <c r="FC17" s="802"/>
      <c r="FD17" s="802"/>
      <c r="FE17" s="802"/>
      <c r="FF17" s="802"/>
      <c r="FG17" s="802"/>
      <c r="FH17" s="802"/>
      <c r="FI17" s="802"/>
      <c r="FJ17" s="802"/>
      <c r="FK17" s="802"/>
      <c r="FL17" s="802"/>
      <c r="FM17" s="802"/>
      <c r="FN17" s="802"/>
      <c r="FO17" s="802"/>
      <c r="FP17" s="802"/>
      <c r="FQ17" s="802"/>
      <c r="FR17" s="802"/>
      <c r="FS17" s="802"/>
      <c r="FT17" s="802"/>
      <c r="FU17" s="802"/>
      <c r="FV17" s="802"/>
      <c r="FW17" s="802"/>
      <c r="FX17" s="802"/>
      <c r="FY17" s="802"/>
      <c r="FZ17" s="802"/>
      <c r="GA17" s="802"/>
      <c r="GB17" s="802"/>
      <c r="GC17" s="802"/>
      <c r="GD17" s="802"/>
      <c r="GE17" s="802"/>
      <c r="GF17" s="802"/>
      <c r="GG17" s="802"/>
      <c r="GH17" s="802"/>
      <c r="GI17" s="802"/>
      <c r="GJ17" s="802"/>
      <c r="GK17" s="802"/>
      <c r="GL17" s="802"/>
      <c r="GM17" s="802"/>
      <c r="GN17" s="802"/>
      <c r="GO17" s="802"/>
      <c r="GP17" s="802"/>
      <c r="GQ17" s="802"/>
      <c r="GR17" s="802"/>
      <c r="GS17" s="802"/>
      <c r="GT17" s="802"/>
      <c r="GU17" s="802"/>
      <c r="GV17" s="802"/>
      <c r="GW17" s="802"/>
      <c r="GX17" s="802"/>
      <c r="GY17" s="802"/>
      <c r="GZ17" s="802"/>
      <c r="HA17" s="802"/>
      <c r="HB17" s="802"/>
      <c r="HC17" s="802"/>
      <c r="HD17" s="802"/>
      <c r="HE17" s="802"/>
      <c r="HF17" s="802"/>
      <c r="HG17" s="802"/>
      <c r="HH17" s="802"/>
      <c r="HI17" s="802"/>
      <c r="HJ17" s="802"/>
      <c r="HK17" s="802"/>
      <c r="HL17" s="802"/>
      <c r="HM17" s="802"/>
      <c r="HN17" s="802"/>
      <c r="HO17" s="802"/>
      <c r="HP17" s="802"/>
      <c r="HQ17" s="802"/>
      <c r="HR17" s="802"/>
      <c r="HS17" s="802"/>
      <c r="HT17" s="802"/>
      <c r="HU17" s="802"/>
      <c r="HV17" s="802"/>
      <c r="HW17" s="802"/>
      <c r="HX17" s="802"/>
      <c r="HY17" s="802"/>
      <c r="HZ17" s="802"/>
      <c r="IA17" s="802"/>
      <c r="IB17" s="802"/>
      <c r="IC17" s="802"/>
      <c r="ID17" s="802"/>
      <c r="IE17" s="802"/>
      <c r="IF17" s="802"/>
      <c r="IG17" s="802"/>
      <c r="IH17" s="793"/>
      <c r="II17" s="793"/>
      <c r="IJ17" s="793"/>
      <c r="IK17" s="793"/>
      <c r="IL17" s="793"/>
      <c r="IM17" s="793"/>
      <c r="IN17" s="507"/>
      <c r="IO17" s="507"/>
      <c r="IP17" s="507"/>
      <c r="IQ17" s="788"/>
      <c r="IR17" s="788"/>
      <c r="IS17" s="788"/>
      <c r="IT17" s="788"/>
      <c r="IU17" s="788"/>
      <c r="IV17" s="788"/>
      <c r="IW17" s="788"/>
      <c r="IX17" s="507"/>
      <c r="IY17" s="193"/>
    </row>
    <row r="18" spans="2:259" ht="27.75" customHeight="1" thickBot="1" x14ac:dyDescent="0.4">
      <c r="B18" s="805"/>
      <c r="C18" s="818" t="s">
        <v>39</v>
      </c>
      <c r="D18" s="1001"/>
      <c r="E18" s="1001"/>
      <c r="F18" s="1002"/>
      <c r="G18" s="1002"/>
      <c r="H18" s="817"/>
      <c r="I18" s="823" t="s">
        <v>372</v>
      </c>
      <c r="J18" s="824"/>
      <c r="K18" s="825"/>
      <c r="L18" s="825"/>
      <c r="M18" s="825"/>
      <c r="N18" s="825"/>
      <c r="O18" s="825"/>
      <c r="P18" s="825"/>
      <c r="Q18" s="825"/>
      <c r="R18" s="825"/>
      <c r="S18" s="826"/>
      <c r="T18" s="692"/>
      <c r="U18" s="692"/>
      <c r="V18" s="692"/>
      <c r="W18" s="692"/>
      <c r="X18" s="841"/>
      <c r="Y18" s="77"/>
      <c r="Z18" s="61"/>
      <c r="AA18" s="61"/>
      <c r="AE18" s="72" t="s">
        <v>360</v>
      </c>
      <c r="AT18" s="507"/>
      <c r="AU18" s="801"/>
      <c r="AV18" s="801"/>
      <c r="AW18" s="802"/>
      <c r="AX18" s="802"/>
      <c r="AY18" s="802"/>
      <c r="AZ18" s="802"/>
      <c r="BA18" s="802"/>
      <c r="BB18" s="802"/>
      <c r="BC18" s="802"/>
      <c r="BD18" s="802"/>
      <c r="BE18" s="802"/>
      <c r="BF18" s="802"/>
      <c r="BG18" s="802"/>
      <c r="BH18" s="802"/>
      <c r="BI18" s="802"/>
      <c r="BJ18" s="802"/>
      <c r="BK18" s="802"/>
      <c r="BL18" s="802"/>
      <c r="BM18" s="802"/>
      <c r="BN18" s="802"/>
      <c r="BO18" s="802"/>
      <c r="BP18" s="802"/>
      <c r="BQ18" s="802"/>
      <c r="BR18" s="802"/>
      <c r="BS18" s="802"/>
      <c r="BT18" s="802"/>
      <c r="BU18" s="802"/>
      <c r="BV18" s="802"/>
      <c r="BW18" s="802"/>
      <c r="BX18" s="802"/>
      <c r="BY18" s="802"/>
      <c r="BZ18" s="802"/>
      <c r="CA18" s="802"/>
      <c r="CB18" s="802"/>
      <c r="CC18" s="802"/>
      <c r="CD18" s="802"/>
      <c r="CE18" s="802"/>
      <c r="CF18" s="802"/>
      <c r="CG18" s="802"/>
      <c r="CH18" s="802"/>
      <c r="CI18" s="802"/>
      <c r="CJ18" s="802"/>
      <c r="CK18" s="802"/>
      <c r="CL18" s="802"/>
      <c r="CM18" s="802"/>
      <c r="CN18" s="802"/>
      <c r="CO18" s="802"/>
      <c r="CP18" s="802"/>
      <c r="CQ18" s="802"/>
      <c r="CR18" s="802"/>
      <c r="CS18" s="802"/>
      <c r="CT18" s="802"/>
      <c r="CU18" s="802"/>
      <c r="CV18" s="802"/>
      <c r="CW18" s="802"/>
      <c r="CX18" s="802"/>
      <c r="CY18" s="802"/>
      <c r="CZ18" s="802"/>
      <c r="DA18" s="802"/>
      <c r="DB18" s="802"/>
      <c r="DC18" s="802"/>
      <c r="DD18" s="802"/>
      <c r="DE18" s="802"/>
      <c r="DF18" s="802"/>
      <c r="DG18" s="802"/>
      <c r="DH18" s="802"/>
      <c r="DI18" s="802"/>
      <c r="DJ18" s="802"/>
      <c r="DK18" s="802"/>
      <c r="DL18" s="802"/>
      <c r="DM18" s="802"/>
      <c r="DN18" s="802"/>
      <c r="DO18" s="802"/>
      <c r="DP18" s="802"/>
      <c r="DQ18" s="802"/>
      <c r="DR18" s="802"/>
      <c r="DS18" s="802"/>
      <c r="DT18" s="802"/>
      <c r="DU18" s="802"/>
      <c r="DV18" s="802"/>
      <c r="DW18" s="802"/>
      <c r="DX18" s="802"/>
      <c r="DY18" s="802"/>
      <c r="DZ18" s="802"/>
      <c r="EA18" s="802"/>
      <c r="EB18" s="802"/>
      <c r="EC18" s="802"/>
      <c r="ED18" s="802"/>
      <c r="EE18" s="802"/>
      <c r="EF18" s="802"/>
      <c r="EG18" s="802"/>
      <c r="EH18" s="802"/>
      <c r="EI18" s="802"/>
      <c r="EJ18" s="802"/>
      <c r="EK18" s="802"/>
      <c r="EL18" s="802"/>
      <c r="EM18" s="802"/>
      <c r="EN18" s="802"/>
      <c r="EO18" s="802"/>
      <c r="EP18" s="802"/>
      <c r="EQ18" s="802"/>
      <c r="ER18" s="802"/>
      <c r="ES18" s="802"/>
      <c r="ET18" s="802"/>
      <c r="EU18" s="802"/>
      <c r="EV18" s="802"/>
      <c r="EW18" s="802"/>
      <c r="EX18" s="802"/>
      <c r="EY18" s="802"/>
      <c r="EZ18" s="802"/>
      <c r="FA18" s="802"/>
      <c r="FB18" s="802"/>
      <c r="FC18" s="802"/>
      <c r="FD18" s="802"/>
      <c r="FE18" s="802"/>
      <c r="FF18" s="802"/>
      <c r="FG18" s="802"/>
      <c r="FH18" s="802"/>
      <c r="FI18" s="802"/>
      <c r="FJ18" s="802"/>
      <c r="FK18" s="802"/>
      <c r="FL18" s="802"/>
      <c r="FM18" s="802"/>
      <c r="FN18" s="802"/>
      <c r="FO18" s="802"/>
      <c r="FP18" s="802"/>
      <c r="FQ18" s="802"/>
      <c r="FR18" s="802"/>
      <c r="FS18" s="802"/>
      <c r="FT18" s="802"/>
      <c r="FU18" s="802"/>
      <c r="FV18" s="802"/>
      <c r="FW18" s="802"/>
      <c r="FX18" s="802"/>
      <c r="FY18" s="802"/>
      <c r="FZ18" s="802"/>
      <c r="GA18" s="802"/>
      <c r="GB18" s="802"/>
      <c r="GC18" s="802"/>
      <c r="GD18" s="802"/>
      <c r="GE18" s="802"/>
      <c r="GF18" s="802"/>
      <c r="GG18" s="802"/>
      <c r="GH18" s="802"/>
      <c r="GI18" s="802"/>
      <c r="GJ18" s="802"/>
      <c r="GK18" s="802"/>
      <c r="GL18" s="802"/>
      <c r="GM18" s="802"/>
      <c r="GN18" s="802"/>
      <c r="GO18" s="802"/>
      <c r="GP18" s="802"/>
      <c r="GQ18" s="802"/>
      <c r="GR18" s="802"/>
      <c r="GS18" s="802"/>
      <c r="GT18" s="802"/>
      <c r="GU18" s="802"/>
      <c r="GV18" s="802"/>
      <c r="GW18" s="802"/>
      <c r="GX18" s="802"/>
      <c r="GY18" s="802"/>
      <c r="GZ18" s="802"/>
      <c r="HA18" s="802"/>
      <c r="HB18" s="802"/>
      <c r="HC18" s="802"/>
      <c r="HD18" s="802"/>
      <c r="HE18" s="802"/>
      <c r="HF18" s="802"/>
      <c r="HG18" s="802"/>
      <c r="HH18" s="802"/>
      <c r="HI18" s="802"/>
      <c r="HJ18" s="802"/>
      <c r="HK18" s="802"/>
      <c r="HL18" s="802"/>
      <c r="HM18" s="802"/>
      <c r="HN18" s="802"/>
      <c r="HO18" s="802"/>
      <c r="HP18" s="802"/>
      <c r="HQ18" s="802"/>
      <c r="HR18" s="802"/>
      <c r="HS18" s="802"/>
      <c r="HT18" s="802"/>
      <c r="HU18" s="802"/>
      <c r="HV18" s="802"/>
      <c r="HW18" s="802"/>
      <c r="HX18" s="802"/>
      <c r="HY18" s="802"/>
      <c r="HZ18" s="802"/>
      <c r="IA18" s="802"/>
      <c r="IB18" s="802"/>
      <c r="IC18" s="802"/>
      <c r="ID18" s="802"/>
      <c r="IE18" s="802"/>
      <c r="IF18" s="802"/>
      <c r="IG18" s="802"/>
      <c r="IH18" s="793"/>
      <c r="II18" s="793"/>
      <c r="IJ18" s="793"/>
      <c r="IK18" s="793"/>
      <c r="IL18" s="793"/>
      <c r="IM18" s="793"/>
      <c r="IN18" s="507"/>
      <c r="IO18" s="507"/>
      <c r="IP18" s="507"/>
      <c r="IQ18" s="803"/>
      <c r="IR18" s="803"/>
      <c r="IS18" s="803"/>
      <c r="IT18" s="803"/>
      <c r="IU18" s="803"/>
      <c r="IV18" s="803"/>
      <c r="IW18" s="803"/>
      <c r="IX18" s="507"/>
      <c r="IY18" s="193"/>
    </row>
    <row r="19" spans="2:259" ht="19.5" thickBot="1" x14ac:dyDescent="0.35">
      <c r="B19" s="805"/>
      <c r="C19" s="423">
        <v>15.65</v>
      </c>
      <c r="D19" s="821">
        <v>1</v>
      </c>
      <c r="E19" s="821">
        <v>2.8780000000000001</v>
      </c>
      <c r="F19" s="821">
        <v>1.179</v>
      </c>
      <c r="G19" s="821">
        <v>2.2789999999999999</v>
      </c>
      <c r="H19" s="192"/>
      <c r="I19" s="832"/>
      <c r="J19" s="198" t="s">
        <v>366</v>
      </c>
      <c r="K19" s="692" t="e">
        <f>(C3*2)+(C4*2)</f>
        <v>#VALUE!</v>
      </c>
      <c r="L19" s="692" t="s">
        <v>151</v>
      </c>
      <c r="M19" s="692"/>
      <c r="N19" s="692"/>
      <c r="O19" s="692"/>
      <c r="P19" s="692"/>
      <c r="Q19" s="692"/>
      <c r="R19" s="692"/>
      <c r="S19" s="827"/>
      <c r="T19" s="692"/>
      <c r="U19" s="845"/>
      <c r="V19" s="846" t="s">
        <v>270</v>
      </c>
      <c r="W19" s="847"/>
      <c r="X19" s="848"/>
      <c r="Y19" s="840"/>
      <c r="AA19" s="61"/>
      <c r="AD19" s="423">
        <v>15.651</v>
      </c>
      <c r="AE19">
        <v>1</v>
      </c>
      <c r="AT19" s="507"/>
      <c r="AU19" s="801"/>
      <c r="AV19" s="801"/>
      <c r="AW19" s="794"/>
      <c r="AX19" s="795"/>
      <c r="AY19" s="789"/>
      <c r="AZ19" s="789"/>
      <c r="BA19" s="789"/>
      <c r="BB19" s="789"/>
      <c r="BC19" s="789"/>
      <c r="BD19" s="789"/>
      <c r="BE19" s="789"/>
      <c r="BF19" s="789"/>
      <c r="BG19" s="789"/>
      <c r="BH19" s="796"/>
      <c r="BI19" s="789"/>
      <c r="BJ19" s="789"/>
      <c r="BK19" s="789"/>
      <c r="BL19" s="789"/>
      <c r="BM19" s="789"/>
      <c r="BN19" s="789"/>
      <c r="BO19" s="789"/>
      <c r="BP19" s="789"/>
      <c r="BQ19" s="789"/>
      <c r="BR19" s="796"/>
      <c r="BS19" s="789"/>
      <c r="BT19" s="789"/>
      <c r="BU19" s="789"/>
      <c r="BV19" s="789"/>
      <c r="BW19" s="789"/>
      <c r="BX19" s="789"/>
      <c r="BY19" s="789"/>
      <c r="BZ19" s="789"/>
      <c r="CA19" s="789"/>
      <c r="CB19" s="796"/>
      <c r="CC19" s="789"/>
      <c r="CD19" s="789"/>
      <c r="CE19" s="789"/>
      <c r="CF19" s="789"/>
      <c r="CG19" s="789"/>
      <c r="CH19" s="789"/>
      <c r="CI19" s="789"/>
      <c r="CJ19" s="789"/>
      <c r="CK19" s="789"/>
      <c r="CL19" s="796"/>
      <c r="CM19" s="789"/>
      <c r="CN19" s="789"/>
      <c r="CO19" s="789"/>
      <c r="CP19" s="789"/>
      <c r="CQ19" s="789"/>
      <c r="CR19" s="789"/>
      <c r="CS19" s="789"/>
      <c r="CT19" s="789"/>
      <c r="CU19" s="789"/>
      <c r="CV19" s="796"/>
      <c r="CW19" s="789"/>
      <c r="CX19" s="789"/>
      <c r="CY19" s="789"/>
      <c r="CZ19" s="789"/>
      <c r="DA19" s="789"/>
      <c r="DB19" s="789"/>
      <c r="DC19" s="789"/>
      <c r="DD19" s="789"/>
      <c r="DE19" s="789"/>
      <c r="DF19" s="796"/>
      <c r="DG19" s="789"/>
      <c r="DH19" s="789"/>
      <c r="DI19" s="789"/>
      <c r="DJ19" s="789"/>
      <c r="DK19" s="789"/>
      <c r="DL19" s="789"/>
      <c r="DM19" s="789"/>
      <c r="DN19" s="789"/>
      <c r="DO19" s="789"/>
      <c r="DP19" s="796"/>
      <c r="DQ19" s="789"/>
      <c r="DR19" s="789"/>
      <c r="DS19" s="789"/>
      <c r="DT19" s="789"/>
      <c r="DU19" s="789"/>
      <c r="DV19" s="789"/>
      <c r="DW19" s="789"/>
      <c r="DX19" s="789"/>
      <c r="DY19" s="789"/>
      <c r="DZ19" s="796"/>
      <c r="EA19" s="789"/>
      <c r="EB19" s="789"/>
      <c r="EC19" s="789"/>
      <c r="ED19" s="789"/>
      <c r="EE19" s="789"/>
      <c r="EF19" s="789"/>
      <c r="EG19" s="789"/>
      <c r="EH19" s="789"/>
      <c r="EI19" s="789"/>
      <c r="EJ19" s="796"/>
      <c r="EK19" s="789"/>
      <c r="EL19" s="789"/>
      <c r="EM19" s="789"/>
      <c r="EN19" s="789"/>
      <c r="EO19" s="789"/>
      <c r="EP19" s="789"/>
      <c r="EQ19" s="789"/>
      <c r="ER19" s="789"/>
      <c r="ES19" s="789"/>
      <c r="ET19" s="796"/>
      <c r="EU19" s="789"/>
      <c r="EV19" s="789"/>
      <c r="EW19" s="789"/>
      <c r="EX19" s="789"/>
      <c r="EY19" s="789"/>
      <c r="EZ19" s="789"/>
      <c r="FA19" s="789"/>
      <c r="FB19" s="789"/>
      <c r="FC19" s="789"/>
      <c r="FD19" s="796"/>
      <c r="FE19" s="789"/>
      <c r="FF19" s="789"/>
      <c r="FG19" s="789"/>
      <c r="FH19" s="789"/>
      <c r="FI19" s="789"/>
      <c r="FJ19" s="789"/>
      <c r="FK19" s="789"/>
      <c r="FL19" s="789"/>
      <c r="FM19" s="789"/>
      <c r="FN19" s="796"/>
      <c r="FO19" s="789"/>
      <c r="FP19" s="789"/>
      <c r="FQ19" s="789"/>
      <c r="FR19" s="789"/>
      <c r="FS19" s="789"/>
      <c r="FT19" s="789"/>
      <c r="FU19" s="789"/>
      <c r="FV19" s="789"/>
      <c r="FW19" s="789"/>
      <c r="FX19" s="796"/>
      <c r="FY19" s="789"/>
      <c r="FZ19" s="789"/>
      <c r="GA19" s="789"/>
      <c r="GB19" s="789"/>
      <c r="GC19" s="789"/>
      <c r="GD19" s="789"/>
      <c r="GE19" s="789"/>
      <c r="GF19" s="789"/>
      <c r="GG19" s="789"/>
      <c r="GH19" s="796"/>
      <c r="GI19" s="789"/>
      <c r="GJ19" s="789"/>
      <c r="GK19" s="789"/>
      <c r="GL19" s="789"/>
      <c r="GM19" s="789"/>
      <c r="GN19" s="789"/>
      <c r="GO19" s="789"/>
      <c r="GP19" s="789"/>
      <c r="GQ19" s="789"/>
      <c r="GR19" s="796"/>
      <c r="GS19" s="789"/>
      <c r="GT19" s="789"/>
      <c r="GU19" s="789"/>
      <c r="GV19" s="789"/>
      <c r="GW19" s="789"/>
      <c r="GX19" s="789"/>
      <c r="GY19" s="789"/>
      <c r="GZ19" s="789"/>
      <c r="HA19" s="789"/>
      <c r="HB19" s="796"/>
      <c r="HC19" s="789"/>
      <c r="HD19" s="789"/>
      <c r="HE19" s="789"/>
      <c r="HF19" s="789"/>
      <c r="HG19" s="789"/>
      <c r="HH19" s="789"/>
      <c r="HI19" s="789"/>
      <c r="HJ19" s="789"/>
      <c r="HK19" s="789"/>
      <c r="HL19" s="796"/>
      <c r="HM19" s="789"/>
      <c r="HN19" s="789"/>
      <c r="HO19" s="789"/>
      <c r="HP19" s="789"/>
      <c r="HQ19" s="789"/>
      <c r="HR19" s="789"/>
      <c r="HS19" s="789"/>
      <c r="HT19" s="789"/>
      <c r="HU19" s="789"/>
      <c r="HV19" s="796"/>
      <c r="HW19" s="789"/>
      <c r="HX19" s="789"/>
      <c r="HY19" s="789"/>
      <c r="HZ19" s="789"/>
      <c r="IA19" s="789"/>
      <c r="IB19" s="789"/>
      <c r="IC19" s="789"/>
      <c r="ID19" s="789"/>
      <c r="IE19" s="789"/>
      <c r="IF19" s="796"/>
      <c r="IG19" s="789"/>
      <c r="IH19" s="789"/>
      <c r="II19" s="789"/>
      <c r="IJ19" s="789"/>
      <c r="IK19" s="789"/>
      <c r="IL19" s="789"/>
      <c r="IM19" s="789"/>
      <c r="IN19" s="789"/>
      <c r="IO19" s="789"/>
      <c r="IP19" s="789"/>
      <c r="IQ19" s="797"/>
      <c r="IR19" s="797"/>
      <c r="IS19" s="797"/>
      <c r="IT19" s="797"/>
      <c r="IU19" s="797"/>
      <c r="IV19" s="797"/>
      <c r="IW19" s="797"/>
      <c r="IX19" s="507"/>
      <c r="IY19" s="193"/>
    </row>
    <row r="20" spans="2:259" ht="21.75" thickBot="1" x14ac:dyDescent="0.4">
      <c r="B20" s="805"/>
      <c r="C20" s="423">
        <v>20.65</v>
      </c>
      <c r="D20" s="821">
        <v>2</v>
      </c>
      <c r="E20" s="821">
        <v>2.8780000000000001</v>
      </c>
      <c r="F20" s="821">
        <v>1.179</v>
      </c>
      <c r="G20" s="821">
        <v>2.2789999999999999</v>
      </c>
      <c r="H20" s="192"/>
      <c r="I20" s="547"/>
      <c r="J20" s="40"/>
      <c r="K20" s="692"/>
      <c r="L20" s="692"/>
      <c r="M20" s="692"/>
      <c r="N20" s="835" t="s">
        <v>66</v>
      </c>
      <c r="O20" s="51"/>
      <c r="P20" s="51"/>
      <c r="Q20" s="51"/>
      <c r="R20" s="692"/>
      <c r="S20" s="827"/>
      <c r="T20" s="692"/>
      <c r="U20" s="849"/>
      <c r="V20" s="198" t="str">
        <f>C1&amp;"_ENG_FA"</f>
        <v>MCJE443_ENG_FA</v>
      </c>
      <c r="W20" s="850" t="e">
        <f>K30/144</f>
        <v>#VALUE!</v>
      </c>
      <c r="X20" s="851" t="s">
        <v>42</v>
      </c>
      <c r="Y20" s="840"/>
      <c r="AA20" s="61"/>
      <c r="AD20" s="423">
        <v>20.651</v>
      </c>
      <c r="AE20">
        <v>2</v>
      </c>
      <c r="AT20" s="507"/>
      <c r="AU20" s="794"/>
      <c r="AV20" s="794"/>
      <c r="AW20" s="794"/>
      <c r="AX20" s="794"/>
      <c r="AY20" s="794"/>
      <c r="AZ20" s="789"/>
      <c r="BA20" s="789"/>
      <c r="BB20" s="789"/>
      <c r="BC20" s="789"/>
      <c r="BD20" s="789"/>
      <c r="BE20" s="789"/>
      <c r="BF20" s="789"/>
      <c r="BG20" s="789"/>
      <c r="BH20" s="796"/>
      <c r="BI20" s="789"/>
      <c r="BJ20" s="789"/>
      <c r="BK20" s="789"/>
      <c r="BL20" s="789"/>
      <c r="BM20" s="789"/>
      <c r="BN20" s="789"/>
      <c r="BO20" s="789"/>
      <c r="BP20" s="789"/>
      <c r="BQ20" s="789"/>
      <c r="BR20" s="789"/>
      <c r="BS20" s="789"/>
      <c r="BT20" s="789"/>
      <c r="BU20" s="789"/>
      <c r="BV20" s="789"/>
      <c r="BW20" s="789"/>
      <c r="BX20" s="789"/>
      <c r="BY20" s="789"/>
      <c r="BZ20" s="789"/>
      <c r="CA20" s="789"/>
      <c r="CB20" s="789"/>
      <c r="CC20" s="789"/>
      <c r="CD20" s="789"/>
      <c r="CE20" s="789"/>
      <c r="CF20" s="789"/>
      <c r="CG20" s="789"/>
      <c r="CH20" s="789"/>
      <c r="CI20" s="789"/>
      <c r="CJ20" s="789"/>
      <c r="CK20" s="789"/>
      <c r="CL20" s="789"/>
      <c r="CM20" s="789"/>
      <c r="CN20" s="789"/>
      <c r="CO20" s="789"/>
      <c r="CP20" s="789"/>
      <c r="CQ20" s="789"/>
      <c r="CR20" s="789"/>
      <c r="CS20" s="789"/>
      <c r="CT20" s="789"/>
      <c r="CU20" s="789"/>
      <c r="CV20" s="789"/>
      <c r="CW20" s="789"/>
      <c r="CX20" s="789"/>
      <c r="CY20" s="789"/>
      <c r="CZ20" s="789"/>
      <c r="DA20" s="789"/>
      <c r="DB20" s="789"/>
      <c r="DC20" s="789"/>
      <c r="DD20" s="789"/>
      <c r="DE20" s="789"/>
      <c r="DF20" s="789"/>
      <c r="DG20" s="789"/>
      <c r="DH20" s="789"/>
      <c r="DI20" s="789"/>
      <c r="DJ20" s="789"/>
      <c r="DK20" s="789"/>
      <c r="DL20" s="789"/>
      <c r="DM20" s="789"/>
      <c r="DN20" s="789"/>
      <c r="DO20" s="789"/>
      <c r="DP20" s="789"/>
      <c r="DQ20" s="789"/>
      <c r="DR20" s="789"/>
      <c r="DS20" s="789"/>
      <c r="DT20" s="789"/>
      <c r="DU20" s="789"/>
      <c r="DV20" s="789"/>
      <c r="DW20" s="789"/>
      <c r="DX20" s="789"/>
      <c r="DY20" s="789"/>
      <c r="DZ20" s="789"/>
      <c r="EA20" s="789"/>
      <c r="EB20" s="789"/>
      <c r="EC20" s="789"/>
      <c r="ED20" s="789"/>
      <c r="EE20" s="789"/>
      <c r="EF20" s="789"/>
      <c r="EG20" s="789"/>
      <c r="EH20" s="789"/>
      <c r="EI20" s="789"/>
      <c r="EJ20" s="789"/>
      <c r="EK20" s="789"/>
      <c r="EL20" s="789"/>
      <c r="EM20" s="789"/>
      <c r="EN20" s="789"/>
      <c r="EO20" s="789"/>
      <c r="EP20" s="789"/>
      <c r="EQ20" s="789"/>
      <c r="ER20" s="789"/>
      <c r="ES20" s="789"/>
      <c r="ET20" s="789"/>
      <c r="EU20" s="789"/>
      <c r="EV20" s="789"/>
      <c r="EW20" s="789"/>
      <c r="EX20" s="789"/>
      <c r="EY20" s="789"/>
      <c r="EZ20" s="789"/>
      <c r="FA20" s="789"/>
      <c r="FB20" s="789"/>
      <c r="FC20" s="789"/>
      <c r="FD20" s="789"/>
      <c r="FE20" s="789"/>
      <c r="FF20" s="789"/>
      <c r="FG20" s="789"/>
      <c r="FH20" s="789"/>
      <c r="FI20" s="789"/>
      <c r="FJ20" s="789"/>
      <c r="FK20" s="789"/>
      <c r="FL20" s="789"/>
      <c r="FM20" s="789"/>
      <c r="FN20" s="789"/>
      <c r="FO20" s="789"/>
      <c r="FP20" s="789"/>
      <c r="FQ20" s="789"/>
      <c r="FR20" s="789"/>
      <c r="FS20" s="789"/>
      <c r="FT20" s="789"/>
      <c r="FU20" s="789"/>
      <c r="FV20" s="789"/>
      <c r="FW20" s="789"/>
      <c r="FX20" s="789"/>
      <c r="FY20" s="789"/>
      <c r="FZ20" s="789"/>
      <c r="GA20" s="789"/>
      <c r="GB20" s="789"/>
      <c r="GC20" s="789"/>
      <c r="GD20" s="789"/>
      <c r="GE20" s="789"/>
      <c r="GF20" s="789"/>
      <c r="GG20" s="789"/>
      <c r="GH20" s="789"/>
      <c r="GI20" s="789"/>
      <c r="GJ20" s="789"/>
      <c r="GK20" s="789"/>
      <c r="GL20" s="789"/>
      <c r="GM20" s="789"/>
      <c r="GN20" s="789"/>
      <c r="GO20" s="789"/>
      <c r="GP20" s="789"/>
      <c r="GQ20" s="789"/>
      <c r="GR20" s="789"/>
      <c r="GS20" s="789"/>
      <c r="GT20" s="789"/>
      <c r="GU20" s="789"/>
      <c r="GV20" s="789"/>
      <c r="GW20" s="789"/>
      <c r="GX20" s="789"/>
      <c r="GY20" s="789"/>
      <c r="GZ20" s="789"/>
      <c r="HA20" s="789"/>
      <c r="HB20" s="789"/>
      <c r="HC20" s="789"/>
      <c r="HD20" s="789"/>
      <c r="HE20" s="789"/>
      <c r="HF20" s="789"/>
      <c r="HG20" s="789"/>
      <c r="HH20" s="789"/>
      <c r="HI20" s="789"/>
      <c r="HJ20" s="789"/>
      <c r="HK20" s="789"/>
      <c r="HL20" s="789"/>
      <c r="HM20" s="789"/>
      <c r="HN20" s="789"/>
      <c r="HO20" s="789"/>
      <c r="HP20" s="789"/>
      <c r="HQ20" s="789"/>
      <c r="HR20" s="789"/>
      <c r="HS20" s="789"/>
      <c r="HT20" s="789"/>
      <c r="HU20" s="789"/>
      <c r="HV20" s="789"/>
      <c r="HW20" s="789"/>
      <c r="HX20" s="789"/>
      <c r="HY20" s="789"/>
      <c r="HZ20" s="789"/>
      <c r="IA20" s="789"/>
      <c r="IB20" s="789"/>
      <c r="IC20" s="789"/>
      <c r="ID20" s="789"/>
      <c r="IE20" s="789"/>
      <c r="IF20" s="789"/>
      <c r="IG20" s="789"/>
      <c r="IH20" s="789"/>
      <c r="II20" s="789"/>
      <c r="IJ20" s="789"/>
      <c r="IK20" s="789"/>
      <c r="IL20" s="789"/>
      <c r="IM20" s="789"/>
      <c r="IN20" s="789"/>
      <c r="IO20" s="789"/>
      <c r="IP20" s="789"/>
      <c r="IQ20" s="797"/>
      <c r="IR20" s="797"/>
      <c r="IS20" s="797"/>
      <c r="IT20" s="797"/>
      <c r="IU20" s="797"/>
      <c r="IV20" s="797"/>
      <c r="IW20" s="797"/>
      <c r="IX20" s="507"/>
      <c r="IY20" s="193"/>
    </row>
    <row r="21" spans="2:259" ht="18" customHeight="1" thickBot="1" x14ac:dyDescent="0.35">
      <c r="B21" s="805"/>
      <c r="C21" s="423">
        <v>25.65</v>
      </c>
      <c r="D21" s="821">
        <v>3</v>
      </c>
      <c r="E21" s="821">
        <v>2.8780000000000001</v>
      </c>
      <c r="F21" s="821">
        <v>1.179</v>
      </c>
      <c r="G21" s="821">
        <v>2.2789999999999999</v>
      </c>
      <c r="H21" s="192"/>
      <c r="I21" s="831"/>
      <c r="J21" s="198" t="s">
        <v>367</v>
      </c>
      <c r="K21" s="692" t="e">
        <f>VLOOKUP(C5,C19:D34,2,FALSE)-1</f>
        <v>#VALUE!</v>
      </c>
      <c r="L21" s="692"/>
      <c r="M21" s="692"/>
      <c r="N21" s="836"/>
      <c r="O21" s="51"/>
      <c r="P21" s="107"/>
      <c r="Q21" s="159"/>
      <c r="R21" s="692"/>
      <c r="S21" s="827"/>
      <c r="T21" s="692"/>
      <c r="U21" s="520"/>
      <c r="V21" s="198" t="str">
        <f>C1&amp;"_ENG_FACE_AREA"</f>
        <v>MCJE443_ENG_FACE_AREA</v>
      </c>
      <c r="W21" s="852" t="e">
        <f>((C3*C5*2)+(C4*C5*2))/144</f>
        <v>#VALUE!</v>
      </c>
      <c r="X21" s="851" t="s">
        <v>42</v>
      </c>
      <c r="Y21" s="840"/>
      <c r="AA21" s="61"/>
      <c r="AD21" s="423">
        <v>25.651</v>
      </c>
      <c r="AE21">
        <v>3</v>
      </c>
      <c r="AT21" s="507"/>
      <c r="AU21" s="795"/>
      <c r="AV21" s="789"/>
      <c r="AW21" s="795"/>
      <c r="AX21" s="791"/>
      <c r="AY21" s="33"/>
      <c r="AZ21" s="33"/>
      <c r="BA21" s="33"/>
      <c r="BB21" s="33"/>
      <c r="BC21" s="33"/>
      <c r="BD21" s="33"/>
      <c r="BE21" s="33"/>
      <c r="BF21" s="33"/>
      <c r="BG21" s="790"/>
      <c r="BH21" s="791"/>
      <c r="BI21" s="33"/>
      <c r="BJ21" s="33"/>
      <c r="BK21" s="33"/>
      <c r="BL21" s="33"/>
      <c r="BM21" s="33"/>
      <c r="BN21" s="33"/>
      <c r="BO21" s="33"/>
      <c r="BP21" s="33"/>
      <c r="BQ21" s="790"/>
      <c r="BR21" s="791"/>
      <c r="BS21" s="33"/>
      <c r="BT21" s="33"/>
      <c r="BU21" s="33"/>
      <c r="BV21" s="33"/>
      <c r="BW21" s="33"/>
      <c r="BX21" s="33"/>
      <c r="BY21" s="33"/>
      <c r="BZ21" s="33"/>
      <c r="CA21" s="790"/>
      <c r="CB21" s="791"/>
      <c r="CC21" s="33"/>
      <c r="CD21" s="33"/>
      <c r="CE21" s="33"/>
      <c r="CF21" s="33"/>
      <c r="CG21" s="33"/>
      <c r="CH21" s="33"/>
      <c r="CI21" s="33"/>
      <c r="CJ21" s="33"/>
      <c r="CK21" s="790"/>
      <c r="CL21" s="791"/>
      <c r="CM21" s="33"/>
      <c r="CN21" s="33"/>
      <c r="CO21" s="33"/>
      <c r="CP21" s="33"/>
      <c r="CQ21" s="33"/>
      <c r="CR21" s="33"/>
      <c r="CS21" s="33"/>
      <c r="CT21" s="33"/>
      <c r="CU21" s="790"/>
      <c r="CV21" s="791"/>
      <c r="CW21" s="33"/>
      <c r="CX21" s="33"/>
      <c r="CY21" s="33"/>
      <c r="CZ21" s="33"/>
      <c r="DA21" s="33"/>
      <c r="DB21" s="33"/>
      <c r="DC21" s="33"/>
      <c r="DD21" s="33"/>
      <c r="DE21" s="790"/>
      <c r="DF21" s="791"/>
      <c r="DG21" s="33"/>
      <c r="DH21" s="33"/>
      <c r="DI21" s="33"/>
      <c r="DJ21" s="33"/>
      <c r="DK21" s="33"/>
      <c r="DL21" s="33"/>
      <c r="DM21" s="33"/>
      <c r="DN21" s="33"/>
      <c r="DO21" s="790"/>
      <c r="DP21" s="791"/>
      <c r="DQ21" s="33"/>
      <c r="DR21" s="33"/>
      <c r="DS21" s="33"/>
      <c r="DT21" s="33"/>
      <c r="DU21" s="33"/>
      <c r="DV21" s="33"/>
      <c r="DW21" s="33"/>
      <c r="DX21" s="33"/>
      <c r="DY21" s="790"/>
      <c r="DZ21" s="791"/>
      <c r="EA21" s="33"/>
      <c r="EB21" s="33"/>
      <c r="EC21" s="33"/>
      <c r="ED21" s="33"/>
      <c r="EE21" s="33"/>
      <c r="EF21" s="33"/>
      <c r="EG21" s="33"/>
      <c r="EH21" s="33"/>
      <c r="EI21" s="790"/>
      <c r="EJ21" s="791"/>
      <c r="EK21" s="33"/>
      <c r="EL21" s="33"/>
      <c r="EM21" s="33"/>
      <c r="EN21" s="33"/>
      <c r="EO21" s="33"/>
      <c r="EP21" s="33"/>
      <c r="EQ21" s="33"/>
      <c r="ER21" s="33"/>
      <c r="ES21" s="790"/>
      <c r="ET21" s="791"/>
      <c r="EU21" s="33"/>
      <c r="EV21" s="33"/>
      <c r="EW21" s="33"/>
      <c r="EX21" s="33"/>
      <c r="EY21" s="33"/>
      <c r="EZ21" s="33"/>
      <c r="FA21" s="33"/>
      <c r="FB21" s="33"/>
      <c r="FC21" s="790"/>
      <c r="FD21" s="791"/>
      <c r="FE21" s="33"/>
      <c r="FF21" s="33"/>
      <c r="FG21" s="33"/>
      <c r="FH21" s="33"/>
      <c r="FI21" s="33"/>
      <c r="FJ21" s="33"/>
      <c r="FK21" s="33"/>
      <c r="FL21" s="33"/>
      <c r="FM21" s="790"/>
      <c r="FN21" s="791"/>
      <c r="FO21" s="33"/>
      <c r="FP21" s="33"/>
      <c r="FQ21" s="33"/>
      <c r="FR21" s="33"/>
      <c r="FS21" s="33"/>
      <c r="FT21" s="33"/>
      <c r="FU21" s="33"/>
      <c r="FV21" s="33"/>
      <c r="FW21" s="790"/>
      <c r="FX21" s="791"/>
      <c r="FY21" s="33"/>
      <c r="FZ21" s="33"/>
      <c r="GA21" s="33"/>
      <c r="GB21" s="33"/>
      <c r="GC21" s="33"/>
      <c r="GD21" s="33"/>
      <c r="GE21" s="33"/>
      <c r="GF21" s="33"/>
      <c r="GG21" s="790"/>
      <c r="GH21" s="791"/>
      <c r="GI21" s="33"/>
      <c r="GJ21" s="33"/>
      <c r="GK21" s="33"/>
      <c r="GL21" s="33"/>
      <c r="GM21" s="33"/>
      <c r="GN21" s="33"/>
      <c r="GO21" s="33"/>
      <c r="GP21" s="33"/>
      <c r="GQ21" s="790"/>
      <c r="GR21" s="791"/>
      <c r="GS21" s="33"/>
      <c r="GT21" s="33"/>
      <c r="GU21" s="33"/>
      <c r="GV21" s="33"/>
      <c r="GW21" s="33"/>
      <c r="GX21" s="33"/>
      <c r="GY21" s="33"/>
      <c r="GZ21" s="33"/>
      <c r="HA21" s="790"/>
      <c r="HB21" s="791"/>
      <c r="HC21" s="33"/>
      <c r="HD21" s="33"/>
      <c r="HE21" s="33"/>
      <c r="HF21" s="33"/>
      <c r="HG21" s="33"/>
      <c r="HH21" s="33"/>
      <c r="HI21" s="33"/>
      <c r="HJ21" s="33"/>
      <c r="HK21" s="790"/>
      <c r="HL21" s="791"/>
      <c r="HM21" s="33"/>
      <c r="HN21" s="33"/>
      <c r="HO21" s="33"/>
      <c r="HP21" s="33"/>
      <c r="HQ21" s="33"/>
      <c r="HR21" s="33"/>
      <c r="HS21" s="33"/>
      <c r="HT21" s="33"/>
      <c r="HU21" s="790"/>
      <c r="HV21" s="791"/>
      <c r="HW21" s="33"/>
      <c r="HX21" s="33"/>
      <c r="HY21" s="33"/>
      <c r="HZ21" s="33"/>
      <c r="IA21" s="33"/>
      <c r="IB21" s="33"/>
      <c r="IC21" s="33"/>
      <c r="ID21" s="33"/>
      <c r="IE21" s="790"/>
      <c r="IF21" s="791"/>
      <c r="IG21" s="33"/>
      <c r="IH21" s="33"/>
      <c r="II21" s="33"/>
      <c r="IJ21" s="33"/>
      <c r="IK21" s="33"/>
      <c r="IL21" s="33"/>
      <c r="IM21" s="33"/>
      <c r="IN21" s="33"/>
      <c r="IO21" s="790"/>
      <c r="IP21" s="789"/>
      <c r="IQ21" s="788"/>
      <c r="IR21" s="792"/>
      <c r="IS21" s="792"/>
      <c r="IT21" s="792"/>
      <c r="IU21" s="792"/>
      <c r="IV21" s="792"/>
      <c r="IW21" s="792"/>
      <c r="IX21" s="507"/>
      <c r="IY21" s="193"/>
    </row>
    <row r="22" spans="2:259" ht="19.5" thickBot="1" x14ac:dyDescent="0.35">
      <c r="B22" s="805"/>
      <c r="C22" s="423">
        <v>30.65</v>
      </c>
      <c r="D22" s="821">
        <v>4</v>
      </c>
      <c r="E22" s="821">
        <v>2.8780000000000001</v>
      </c>
      <c r="F22" s="821">
        <v>1.179</v>
      </c>
      <c r="G22" s="821">
        <v>2.2789999999999999</v>
      </c>
      <c r="H22" s="192"/>
      <c r="I22" s="547"/>
      <c r="J22" s="198" t="s">
        <v>368</v>
      </c>
      <c r="K22" s="692" t="e">
        <f>VLOOKUP(C5,C19:G34,3,FALSE)</f>
        <v>#VALUE!</v>
      </c>
      <c r="L22" s="692" t="s">
        <v>151</v>
      </c>
      <c r="M22" s="692"/>
      <c r="N22" s="836" t="s">
        <v>189</v>
      </c>
      <c r="O22" s="51"/>
      <c r="P22" s="107" t="e">
        <f>IF(OR(C3&lt;H3,C4&lt;H4,C5&lt;H5,C3&gt;I3,C4&gt;I4,C5&gt;I5),"",K30/144)</f>
        <v>#VALUE!</v>
      </c>
      <c r="Q22" s="159" t="s">
        <v>42</v>
      </c>
      <c r="R22" s="692"/>
      <c r="S22" s="827"/>
      <c r="T22" s="692"/>
      <c r="U22" s="520"/>
      <c r="V22" s="198" t="str">
        <f>C1&amp;"_ENG_FA%"</f>
        <v>MCJE443_ENG_FA%</v>
      </c>
      <c r="W22" s="852" t="e">
        <f>(W20/W21)*100</f>
        <v>#VALUE!</v>
      </c>
      <c r="X22" s="851" t="s">
        <v>13</v>
      </c>
      <c r="Y22" s="840"/>
      <c r="AA22" s="61"/>
      <c r="AD22" s="423">
        <v>30.651</v>
      </c>
      <c r="AE22">
        <v>4</v>
      </c>
      <c r="AT22" s="507"/>
      <c r="AU22" s="789"/>
      <c r="AV22" s="789"/>
      <c r="AW22" s="789"/>
      <c r="AX22" s="791"/>
      <c r="AY22" s="33"/>
      <c r="AZ22" s="33"/>
      <c r="BA22" s="33"/>
      <c r="BB22" s="33"/>
      <c r="BC22" s="33"/>
      <c r="BD22" s="33"/>
      <c r="BE22" s="33"/>
      <c r="BF22" s="33"/>
      <c r="BG22" s="790"/>
      <c r="BH22" s="791"/>
      <c r="BI22" s="33"/>
      <c r="BJ22" s="33"/>
      <c r="BK22" s="33"/>
      <c r="BL22" s="33"/>
      <c r="BM22" s="33"/>
      <c r="BN22" s="33"/>
      <c r="BO22" s="33"/>
      <c r="BP22" s="33"/>
      <c r="BQ22" s="790"/>
      <c r="BR22" s="791"/>
      <c r="BS22" s="33"/>
      <c r="BT22" s="33"/>
      <c r="BU22" s="33"/>
      <c r="BV22" s="33"/>
      <c r="BW22" s="33"/>
      <c r="BX22" s="33"/>
      <c r="BY22" s="33"/>
      <c r="BZ22" s="33"/>
      <c r="CA22" s="790"/>
      <c r="CB22" s="791"/>
      <c r="CC22" s="33"/>
      <c r="CD22" s="33"/>
      <c r="CE22" s="33"/>
      <c r="CF22" s="33"/>
      <c r="CG22" s="33"/>
      <c r="CH22" s="33"/>
      <c r="CI22" s="33"/>
      <c r="CJ22" s="33"/>
      <c r="CK22" s="790"/>
      <c r="CL22" s="791"/>
      <c r="CM22" s="33"/>
      <c r="CN22" s="33"/>
      <c r="CO22" s="33"/>
      <c r="CP22" s="33"/>
      <c r="CQ22" s="33"/>
      <c r="CR22" s="33"/>
      <c r="CS22" s="33"/>
      <c r="CT22" s="33"/>
      <c r="CU22" s="790"/>
      <c r="CV22" s="791"/>
      <c r="CW22" s="33"/>
      <c r="CX22" s="33"/>
      <c r="CY22" s="33"/>
      <c r="CZ22" s="33"/>
      <c r="DA22" s="33"/>
      <c r="DB22" s="33"/>
      <c r="DC22" s="33"/>
      <c r="DD22" s="33"/>
      <c r="DE22" s="790"/>
      <c r="DF22" s="791"/>
      <c r="DG22" s="33"/>
      <c r="DH22" s="33"/>
      <c r="DI22" s="33"/>
      <c r="DJ22" s="33"/>
      <c r="DK22" s="33"/>
      <c r="DL22" s="33"/>
      <c r="DM22" s="33"/>
      <c r="DN22" s="33"/>
      <c r="DO22" s="790"/>
      <c r="DP22" s="791"/>
      <c r="DQ22" s="33"/>
      <c r="DR22" s="33"/>
      <c r="DS22" s="33"/>
      <c r="DT22" s="33"/>
      <c r="DU22" s="33"/>
      <c r="DV22" s="33"/>
      <c r="DW22" s="33"/>
      <c r="DX22" s="33"/>
      <c r="DY22" s="790"/>
      <c r="DZ22" s="791"/>
      <c r="EA22" s="33"/>
      <c r="EB22" s="33"/>
      <c r="EC22" s="33"/>
      <c r="ED22" s="33"/>
      <c r="EE22" s="33"/>
      <c r="EF22" s="33"/>
      <c r="EG22" s="33"/>
      <c r="EH22" s="33"/>
      <c r="EI22" s="790"/>
      <c r="EJ22" s="791"/>
      <c r="EK22" s="33"/>
      <c r="EL22" s="33"/>
      <c r="EM22" s="33"/>
      <c r="EN22" s="33"/>
      <c r="EO22" s="33"/>
      <c r="EP22" s="33"/>
      <c r="EQ22" s="33"/>
      <c r="ER22" s="33"/>
      <c r="ES22" s="790"/>
      <c r="ET22" s="791"/>
      <c r="EU22" s="33"/>
      <c r="EV22" s="33"/>
      <c r="EW22" s="33"/>
      <c r="EX22" s="33"/>
      <c r="EY22" s="33"/>
      <c r="EZ22" s="33"/>
      <c r="FA22" s="33"/>
      <c r="FB22" s="33"/>
      <c r="FC22" s="790"/>
      <c r="FD22" s="791"/>
      <c r="FE22" s="33"/>
      <c r="FF22" s="33"/>
      <c r="FG22" s="33"/>
      <c r="FH22" s="33"/>
      <c r="FI22" s="33"/>
      <c r="FJ22" s="33"/>
      <c r="FK22" s="33"/>
      <c r="FL22" s="33"/>
      <c r="FM22" s="790"/>
      <c r="FN22" s="791"/>
      <c r="FO22" s="33"/>
      <c r="FP22" s="33"/>
      <c r="FQ22" s="33"/>
      <c r="FR22" s="33"/>
      <c r="FS22" s="33"/>
      <c r="FT22" s="33"/>
      <c r="FU22" s="33"/>
      <c r="FV22" s="33"/>
      <c r="FW22" s="790"/>
      <c r="FX22" s="791"/>
      <c r="FY22" s="33"/>
      <c r="FZ22" s="33"/>
      <c r="GA22" s="33"/>
      <c r="GB22" s="33"/>
      <c r="GC22" s="33"/>
      <c r="GD22" s="33"/>
      <c r="GE22" s="33"/>
      <c r="GF22" s="33"/>
      <c r="GG22" s="790"/>
      <c r="GH22" s="791"/>
      <c r="GI22" s="33"/>
      <c r="GJ22" s="33"/>
      <c r="GK22" s="33"/>
      <c r="GL22" s="33"/>
      <c r="GM22" s="33"/>
      <c r="GN22" s="33"/>
      <c r="GO22" s="33"/>
      <c r="GP22" s="33"/>
      <c r="GQ22" s="790"/>
      <c r="GR22" s="791"/>
      <c r="GS22" s="33"/>
      <c r="GT22" s="33"/>
      <c r="GU22" s="33"/>
      <c r="GV22" s="33"/>
      <c r="GW22" s="33"/>
      <c r="GX22" s="33"/>
      <c r="GY22" s="33"/>
      <c r="GZ22" s="33"/>
      <c r="HA22" s="790"/>
      <c r="HB22" s="791"/>
      <c r="HC22" s="33"/>
      <c r="HD22" s="33"/>
      <c r="HE22" s="33"/>
      <c r="HF22" s="33"/>
      <c r="HG22" s="33"/>
      <c r="HH22" s="33"/>
      <c r="HI22" s="33"/>
      <c r="HJ22" s="33"/>
      <c r="HK22" s="790"/>
      <c r="HL22" s="791"/>
      <c r="HM22" s="33"/>
      <c r="HN22" s="33"/>
      <c r="HO22" s="33"/>
      <c r="HP22" s="33"/>
      <c r="HQ22" s="33"/>
      <c r="HR22" s="33"/>
      <c r="HS22" s="33"/>
      <c r="HT22" s="33"/>
      <c r="HU22" s="790"/>
      <c r="HV22" s="791"/>
      <c r="HW22" s="33"/>
      <c r="HX22" s="33"/>
      <c r="HY22" s="33"/>
      <c r="HZ22" s="33"/>
      <c r="IA22" s="33"/>
      <c r="IB22" s="33"/>
      <c r="IC22" s="33"/>
      <c r="ID22" s="33"/>
      <c r="IE22" s="790"/>
      <c r="IF22" s="791"/>
      <c r="IG22" s="33"/>
      <c r="IH22" s="33"/>
      <c r="II22" s="33"/>
      <c r="IJ22" s="33"/>
      <c r="IK22" s="33"/>
      <c r="IL22" s="33"/>
      <c r="IM22" s="33"/>
      <c r="IN22" s="33"/>
      <c r="IO22" s="790"/>
      <c r="IP22" s="790"/>
      <c r="IQ22" s="788"/>
      <c r="IR22" s="792"/>
      <c r="IS22" s="792"/>
      <c r="IT22" s="792"/>
      <c r="IU22" s="792"/>
      <c r="IV22" s="792"/>
      <c r="IW22" s="792"/>
      <c r="IX22" s="507"/>
      <c r="IY22" s="193"/>
    </row>
    <row r="23" spans="2:259" ht="19.5" thickBot="1" x14ac:dyDescent="0.35">
      <c r="B23" s="805"/>
      <c r="C23" s="423">
        <v>35.65</v>
      </c>
      <c r="D23" s="821">
        <v>5</v>
      </c>
      <c r="E23" s="821">
        <v>2.8780000000000001</v>
      </c>
      <c r="F23" s="821">
        <v>1.179</v>
      </c>
      <c r="G23" s="821">
        <v>2.2789999999999999</v>
      </c>
      <c r="H23" s="192"/>
      <c r="I23" s="828"/>
      <c r="J23" s="833" t="s">
        <v>369</v>
      </c>
      <c r="K23" s="692" t="e">
        <f>VLOOKUP(C5,C19:G34,4,FALSE)</f>
        <v>#VALUE!</v>
      </c>
      <c r="L23" s="692" t="s">
        <v>151</v>
      </c>
      <c r="M23" s="692"/>
      <c r="N23" s="836" t="s">
        <v>190</v>
      </c>
      <c r="O23" s="51"/>
      <c r="P23" s="107" t="e">
        <f>((C3*C5*2)+(C4*C5*2))/144</f>
        <v>#VALUE!</v>
      </c>
      <c r="Q23" s="159" t="s">
        <v>42</v>
      </c>
      <c r="R23" s="692"/>
      <c r="S23" s="827"/>
      <c r="T23" s="692"/>
      <c r="U23" s="520"/>
      <c r="V23" s="198" t="str">
        <f>C1&amp;"_ENG_VEL"</f>
        <v>MCJE443_ENG_VEL</v>
      </c>
      <c r="W23" s="494" t="e">
        <f>C6/W20</f>
        <v>#VALUE!</v>
      </c>
      <c r="X23" s="843" t="s">
        <v>45</v>
      </c>
      <c r="Y23" s="840"/>
      <c r="AA23" s="61"/>
      <c r="AD23" s="423">
        <v>35.651000000000003</v>
      </c>
      <c r="AE23">
        <v>5</v>
      </c>
      <c r="AT23" s="507"/>
      <c r="AU23" s="789"/>
      <c r="AV23" s="789"/>
      <c r="AW23" s="789"/>
      <c r="AX23" s="791"/>
      <c r="AY23" s="33"/>
      <c r="AZ23" s="33"/>
      <c r="BA23" s="33"/>
      <c r="BB23" s="33"/>
      <c r="BC23" s="33"/>
      <c r="BD23" s="33"/>
      <c r="BE23" s="33"/>
      <c r="BF23" s="33"/>
      <c r="BG23" s="790"/>
      <c r="BH23" s="791"/>
      <c r="BI23" s="33"/>
      <c r="BJ23" s="33"/>
      <c r="BK23" s="33"/>
      <c r="BL23" s="33"/>
      <c r="BM23" s="33"/>
      <c r="BN23" s="33"/>
      <c r="BO23" s="33"/>
      <c r="BP23" s="33"/>
      <c r="BQ23" s="790"/>
      <c r="BR23" s="791"/>
      <c r="BS23" s="33"/>
      <c r="BT23" s="33"/>
      <c r="BU23" s="33"/>
      <c r="BV23" s="33"/>
      <c r="BW23" s="33"/>
      <c r="BX23" s="33"/>
      <c r="BY23" s="33"/>
      <c r="BZ23" s="33"/>
      <c r="CA23" s="790"/>
      <c r="CB23" s="791"/>
      <c r="CC23" s="33"/>
      <c r="CD23" s="33"/>
      <c r="CE23" s="33"/>
      <c r="CF23" s="33"/>
      <c r="CG23" s="33"/>
      <c r="CH23" s="33"/>
      <c r="CI23" s="33"/>
      <c r="CJ23" s="33"/>
      <c r="CK23" s="790"/>
      <c r="CL23" s="791"/>
      <c r="CM23" s="33"/>
      <c r="CN23" s="33"/>
      <c r="CO23" s="33"/>
      <c r="CP23" s="33"/>
      <c r="CQ23" s="33"/>
      <c r="CR23" s="33"/>
      <c r="CS23" s="33"/>
      <c r="CT23" s="33"/>
      <c r="CU23" s="790"/>
      <c r="CV23" s="791"/>
      <c r="CW23" s="33"/>
      <c r="CX23" s="33"/>
      <c r="CY23" s="33"/>
      <c r="CZ23" s="33"/>
      <c r="DA23" s="33"/>
      <c r="DB23" s="33"/>
      <c r="DC23" s="33"/>
      <c r="DD23" s="33"/>
      <c r="DE23" s="790"/>
      <c r="DF23" s="791"/>
      <c r="DG23" s="33"/>
      <c r="DH23" s="33"/>
      <c r="DI23" s="33"/>
      <c r="DJ23" s="33"/>
      <c r="DK23" s="33"/>
      <c r="DL23" s="33"/>
      <c r="DM23" s="33"/>
      <c r="DN23" s="33"/>
      <c r="DO23" s="790"/>
      <c r="DP23" s="791"/>
      <c r="DQ23" s="33"/>
      <c r="DR23" s="33"/>
      <c r="DS23" s="33"/>
      <c r="DT23" s="33"/>
      <c r="DU23" s="33"/>
      <c r="DV23" s="33"/>
      <c r="DW23" s="33"/>
      <c r="DX23" s="33"/>
      <c r="DY23" s="790"/>
      <c r="DZ23" s="791"/>
      <c r="EA23" s="33"/>
      <c r="EB23" s="33"/>
      <c r="EC23" s="33"/>
      <c r="ED23" s="33"/>
      <c r="EE23" s="33"/>
      <c r="EF23" s="33"/>
      <c r="EG23" s="33"/>
      <c r="EH23" s="33"/>
      <c r="EI23" s="790"/>
      <c r="EJ23" s="791"/>
      <c r="EK23" s="33"/>
      <c r="EL23" s="33"/>
      <c r="EM23" s="33"/>
      <c r="EN23" s="33"/>
      <c r="EO23" s="33"/>
      <c r="EP23" s="33"/>
      <c r="EQ23" s="33"/>
      <c r="ER23" s="33"/>
      <c r="ES23" s="790"/>
      <c r="ET23" s="791"/>
      <c r="EU23" s="33"/>
      <c r="EV23" s="33"/>
      <c r="EW23" s="33"/>
      <c r="EX23" s="33"/>
      <c r="EY23" s="33"/>
      <c r="EZ23" s="33"/>
      <c r="FA23" s="33"/>
      <c r="FB23" s="33"/>
      <c r="FC23" s="790"/>
      <c r="FD23" s="791"/>
      <c r="FE23" s="33"/>
      <c r="FF23" s="33"/>
      <c r="FG23" s="33"/>
      <c r="FH23" s="33"/>
      <c r="FI23" s="33"/>
      <c r="FJ23" s="33"/>
      <c r="FK23" s="33"/>
      <c r="FL23" s="33"/>
      <c r="FM23" s="790"/>
      <c r="FN23" s="791"/>
      <c r="FO23" s="33"/>
      <c r="FP23" s="33"/>
      <c r="FQ23" s="33"/>
      <c r="FR23" s="33"/>
      <c r="FS23" s="33"/>
      <c r="FT23" s="33"/>
      <c r="FU23" s="33"/>
      <c r="FV23" s="33"/>
      <c r="FW23" s="790"/>
      <c r="FX23" s="791"/>
      <c r="FY23" s="33"/>
      <c r="FZ23" s="33"/>
      <c r="GA23" s="33"/>
      <c r="GB23" s="33"/>
      <c r="GC23" s="33"/>
      <c r="GD23" s="33"/>
      <c r="GE23" s="33"/>
      <c r="GF23" s="33"/>
      <c r="GG23" s="790"/>
      <c r="GH23" s="791"/>
      <c r="GI23" s="33"/>
      <c r="GJ23" s="33"/>
      <c r="GK23" s="33"/>
      <c r="GL23" s="33"/>
      <c r="GM23" s="33"/>
      <c r="GN23" s="33"/>
      <c r="GO23" s="33"/>
      <c r="GP23" s="33"/>
      <c r="GQ23" s="790"/>
      <c r="GR23" s="791"/>
      <c r="GS23" s="33"/>
      <c r="GT23" s="33"/>
      <c r="GU23" s="33"/>
      <c r="GV23" s="33"/>
      <c r="GW23" s="33"/>
      <c r="GX23" s="33"/>
      <c r="GY23" s="33"/>
      <c r="GZ23" s="33"/>
      <c r="HA23" s="790"/>
      <c r="HB23" s="791"/>
      <c r="HC23" s="33"/>
      <c r="HD23" s="33"/>
      <c r="HE23" s="33"/>
      <c r="HF23" s="33"/>
      <c r="HG23" s="33"/>
      <c r="HH23" s="33"/>
      <c r="HI23" s="33"/>
      <c r="HJ23" s="33"/>
      <c r="HK23" s="790"/>
      <c r="HL23" s="791"/>
      <c r="HM23" s="33"/>
      <c r="HN23" s="33"/>
      <c r="HO23" s="33"/>
      <c r="HP23" s="33"/>
      <c r="HQ23" s="33"/>
      <c r="HR23" s="33"/>
      <c r="HS23" s="33"/>
      <c r="HT23" s="33"/>
      <c r="HU23" s="790"/>
      <c r="HV23" s="791"/>
      <c r="HW23" s="33"/>
      <c r="HX23" s="33"/>
      <c r="HY23" s="33"/>
      <c r="HZ23" s="33"/>
      <c r="IA23" s="33"/>
      <c r="IB23" s="33"/>
      <c r="IC23" s="33"/>
      <c r="ID23" s="33"/>
      <c r="IE23" s="790"/>
      <c r="IF23" s="791"/>
      <c r="IG23" s="33"/>
      <c r="IH23" s="33"/>
      <c r="II23" s="33"/>
      <c r="IJ23" s="33"/>
      <c r="IK23" s="33"/>
      <c r="IL23" s="33"/>
      <c r="IM23" s="33"/>
      <c r="IN23" s="33"/>
      <c r="IO23" s="790"/>
      <c r="IP23" s="790"/>
      <c r="IQ23" s="788"/>
      <c r="IR23" s="792"/>
      <c r="IS23" s="792"/>
      <c r="IT23" s="792"/>
      <c r="IU23" s="792"/>
      <c r="IV23" s="792"/>
      <c r="IW23" s="792"/>
      <c r="IX23" s="507"/>
      <c r="IY23" s="193"/>
    </row>
    <row r="24" spans="2:259" ht="19.5" thickBot="1" x14ac:dyDescent="0.35">
      <c r="B24" s="805"/>
      <c r="C24" s="423">
        <v>40.65</v>
      </c>
      <c r="D24" s="821">
        <v>6</v>
      </c>
      <c r="E24" s="821">
        <v>2.8780000000000001</v>
      </c>
      <c r="F24" s="821">
        <v>1.179</v>
      </c>
      <c r="G24" s="821">
        <v>2.2789999999999999</v>
      </c>
      <c r="H24" s="192"/>
      <c r="I24" s="828"/>
      <c r="J24" s="198" t="s">
        <v>370</v>
      </c>
      <c r="K24" s="692" t="e">
        <f>VLOOKUP(C5,C19:G34,5,FALSE)</f>
        <v>#VALUE!</v>
      </c>
      <c r="L24" s="692" t="s">
        <v>151</v>
      </c>
      <c r="M24" s="692"/>
      <c r="N24" s="836" t="s">
        <v>191</v>
      </c>
      <c r="O24" s="51"/>
      <c r="P24" s="107" t="e">
        <f>(P22/P23)*100</f>
        <v>#VALUE!</v>
      </c>
      <c r="Q24" s="159" t="s">
        <v>13</v>
      </c>
      <c r="R24" s="692"/>
      <c r="S24" s="827"/>
      <c r="T24" s="692"/>
      <c r="U24" s="528" t="s">
        <v>69</v>
      </c>
      <c r="V24" s="516" t="str">
        <f>C1&amp;"_ENG_P_IN"</f>
        <v>MCJE443_ENG_P_IN</v>
      </c>
      <c r="W24" s="852" t="e">
        <f>1.70654844438105E-07*W23^2 + 7.72494047896E-19* - 2.15105711021124E-16</f>
        <v>#VALUE!</v>
      </c>
      <c r="X24" s="843" t="s">
        <v>85</v>
      </c>
      <c r="Y24" s="840"/>
      <c r="AA24" s="61"/>
      <c r="AD24" s="423">
        <v>40.651000000000003</v>
      </c>
      <c r="AE24">
        <v>6</v>
      </c>
      <c r="AT24" s="507"/>
      <c r="AU24" s="789"/>
      <c r="AV24" s="789"/>
      <c r="AW24" s="789"/>
      <c r="AX24" s="791"/>
      <c r="AY24" s="33"/>
      <c r="AZ24" s="33"/>
      <c r="BA24" s="33"/>
      <c r="BB24" s="33"/>
      <c r="BC24" s="33"/>
      <c r="BD24" s="33"/>
      <c r="BE24" s="33"/>
      <c r="BF24" s="33"/>
      <c r="BG24" s="790"/>
      <c r="BH24" s="791"/>
      <c r="BI24" s="33"/>
      <c r="BJ24" s="33"/>
      <c r="BK24" s="33"/>
      <c r="BL24" s="33"/>
      <c r="BM24" s="33"/>
      <c r="BN24" s="33"/>
      <c r="BO24" s="33"/>
      <c r="BP24" s="33"/>
      <c r="BQ24" s="790"/>
      <c r="BR24" s="791"/>
      <c r="BS24" s="33"/>
      <c r="BT24" s="33"/>
      <c r="BU24" s="33"/>
      <c r="BV24" s="33"/>
      <c r="BW24" s="33"/>
      <c r="BX24" s="33"/>
      <c r="BY24" s="33"/>
      <c r="BZ24" s="33"/>
      <c r="CA24" s="790"/>
      <c r="CB24" s="791"/>
      <c r="CC24" s="33"/>
      <c r="CD24" s="33"/>
      <c r="CE24" s="33"/>
      <c r="CF24" s="33"/>
      <c r="CG24" s="33"/>
      <c r="CH24" s="33"/>
      <c r="CI24" s="33"/>
      <c r="CJ24" s="33"/>
      <c r="CK24" s="790"/>
      <c r="CL24" s="791"/>
      <c r="CM24" s="33"/>
      <c r="CN24" s="33"/>
      <c r="CO24" s="33"/>
      <c r="CP24" s="33"/>
      <c r="CQ24" s="33"/>
      <c r="CR24" s="33"/>
      <c r="CS24" s="33"/>
      <c r="CT24" s="33"/>
      <c r="CU24" s="790"/>
      <c r="CV24" s="791"/>
      <c r="CW24" s="33"/>
      <c r="CX24" s="33"/>
      <c r="CY24" s="33"/>
      <c r="CZ24" s="33"/>
      <c r="DA24" s="33"/>
      <c r="DB24" s="33"/>
      <c r="DC24" s="33"/>
      <c r="DD24" s="33"/>
      <c r="DE24" s="790"/>
      <c r="DF24" s="791"/>
      <c r="DG24" s="33"/>
      <c r="DH24" s="33"/>
      <c r="DI24" s="33"/>
      <c r="DJ24" s="33"/>
      <c r="DK24" s="33"/>
      <c r="DL24" s="33"/>
      <c r="DM24" s="33"/>
      <c r="DN24" s="33"/>
      <c r="DO24" s="790"/>
      <c r="DP24" s="791"/>
      <c r="DQ24" s="33"/>
      <c r="DR24" s="33"/>
      <c r="DS24" s="33"/>
      <c r="DT24" s="33"/>
      <c r="DU24" s="33"/>
      <c r="DV24" s="33"/>
      <c r="DW24" s="33"/>
      <c r="DX24" s="33"/>
      <c r="DY24" s="790"/>
      <c r="DZ24" s="791"/>
      <c r="EA24" s="33"/>
      <c r="EB24" s="33"/>
      <c r="EC24" s="33"/>
      <c r="ED24" s="33"/>
      <c r="EE24" s="33"/>
      <c r="EF24" s="33"/>
      <c r="EG24" s="33"/>
      <c r="EH24" s="33"/>
      <c r="EI24" s="790"/>
      <c r="EJ24" s="791"/>
      <c r="EK24" s="33"/>
      <c r="EL24" s="33"/>
      <c r="EM24" s="33"/>
      <c r="EN24" s="33"/>
      <c r="EO24" s="33"/>
      <c r="EP24" s="33"/>
      <c r="EQ24" s="33"/>
      <c r="ER24" s="33"/>
      <c r="ES24" s="790"/>
      <c r="ET24" s="791"/>
      <c r="EU24" s="33"/>
      <c r="EV24" s="33"/>
      <c r="EW24" s="33"/>
      <c r="EX24" s="33"/>
      <c r="EY24" s="33"/>
      <c r="EZ24" s="33"/>
      <c r="FA24" s="33"/>
      <c r="FB24" s="33"/>
      <c r="FC24" s="790"/>
      <c r="FD24" s="791"/>
      <c r="FE24" s="33"/>
      <c r="FF24" s="33"/>
      <c r="FG24" s="33"/>
      <c r="FH24" s="33"/>
      <c r="FI24" s="33"/>
      <c r="FJ24" s="33"/>
      <c r="FK24" s="33"/>
      <c r="FL24" s="33"/>
      <c r="FM24" s="790"/>
      <c r="FN24" s="791"/>
      <c r="FO24" s="33"/>
      <c r="FP24" s="33"/>
      <c r="FQ24" s="33"/>
      <c r="FR24" s="33"/>
      <c r="FS24" s="33"/>
      <c r="FT24" s="33"/>
      <c r="FU24" s="33"/>
      <c r="FV24" s="33"/>
      <c r="FW24" s="790"/>
      <c r="FX24" s="791"/>
      <c r="FY24" s="33"/>
      <c r="FZ24" s="33"/>
      <c r="GA24" s="33"/>
      <c r="GB24" s="33"/>
      <c r="GC24" s="33"/>
      <c r="GD24" s="33"/>
      <c r="GE24" s="33"/>
      <c r="GF24" s="33"/>
      <c r="GG24" s="790"/>
      <c r="GH24" s="791"/>
      <c r="GI24" s="33"/>
      <c r="GJ24" s="33"/>
      <c r="GK24" s="33"/>
      <c r="GL24" s="33"/>
      <c r="GM24" s="33"/>
      <c r="GN24" s="33"/>
      <c r="GO24" s="33"/>
      <c r="GP24" s="33"/>
      <c r="GQ24" s="790"/>
      <c r="GR24" s="791"/>
      <c r="GS24" s="33"/>
      <c r="GT24" s="33"/>
      <c r="GU24" s="33"/>
      <c r="GV24" s="33"/>
      <c r="GW24" s="33"/>
      <c r="GX24" s="33"/>
      <c r="GY24" s="33"/>
      <c r="GZ24" s="33"/>
      <c r="HA24" s="790"/>
      <c r="HB24" s="791"/>
      <c r="HC24" s="33"/>
      <c r="HD24" s="33"/>
      <c r="HE24" s="33"/>
      <c r="HF24" s="33"/>
      <c r="HG24" s="33"/>
      <c r="HH24" s="33"/>
      <c r="HI24" s="33"/>
      <c r="HJ24" s="33"/>
      <c r="HK24" s="790"/>
      <c r="HL24" s="791"/>
      <c r="HM24" s="33"/>
      <c r="HN24" s="33"/>
      <c r="HO24" s="33"/>
      <c r="HP24" s="33"/>
      <c r="HQ24" s="33"/>
      <c r="HR24" s="33"/>
      <c r="HS24" s="33"/>
      <c r="HT24" s="33"/>
      <c r="HU24" s="790"/>
      <c r="HV24" s="791"/>
      <c r="HW24" s="33"/>
      <c r="HX24" s="33"/>
      <c r="HY24" s="33"/>
      <c r="HZ24" s="33"/>
      <c r="IA24" s="33"/>
      <c r="IB24" s="33"/>
      <c r="IC24" s="33"/>
      <c r="ID24" s="33"/>
      <c r="IE24" s="790"/>
      <c r="IF24" s="791"/>
      <c r="IG24" s="33"/>
      <c r="IH24" s="33"/>
      <c r="II24" s="33"/>
      <c r="IJ24" s="33"/>
      <c r="IK24" s="33"/>
      <c r="IL24" s="33"/>
      <c r="IM24" s="33"/>
      <c r="IN24" s="33"/>
      <c r="IO24" s="790"/>
      <c r="IP24" s="790"/>
      <c r="IQ24" s="788"/>
      <c r="IR24" s="792"/>
      <c r="IS24" s="792"/>
      <c r="IT24" s="792"/>
      <c r="IU24" s="792"/>
      <c r="IV24" s="792"/>
      <c r="IW24" s="792"/>
      <c r="IX24" s="507"/>
      <c r="IY24" s="193"/>
    </row>
    <row r="25" spans="2:259" ht="19.5" thickBot="1" x14ac:dyDescent="0.35">
      <c r="B25" s="806"/>
      <c r="C25" s="423">
        <v>45.65</v>
      </c>
      <c r="D25" s="821">
        <v>7</v>
      </c>
      <c r="E25" s="821">
        <v>2.8780000000000001</v>
      </c>
      <c r="F25" s="821">
        <v>1.179</v>
      </c>
      <c r="G25" s="821">
        <v>2.2789999999999999</v>
      </c>
      <c r="H25" s="192"/>
      <c r="I25" s="828"/>
      <c r="J25" s="40"/>
      <c r="K25" s="692"/>
      <c r="L25" s="692"/>
      <c r="M25" s="692"/>
      <c r="N25" s="514"/>
      <c r="O25" s="82"/>
      <c r="P25" s="51"/>
      <c r="Q25" s="51"/>
      <c r="R25" s="692"/>
      <c r="S25" s="827"/>
      <c r="T25" s="692"/>
      <c r="U25" s="521"/>
      <c r="V25" s="529" t="str">
        <f>C1&amp;"_ENG_P_EX"</f>
        <v>MCJE443_ENG_P_EX</v>
      </c>
      <c r="W25" s="853" t="e">
        <f>1.45002333746652E-07*W23^2 + 7.99599102208E-19*+ 5.27355936696949E-16</f>
        <v>#VALUE!</v>
      </c>
      <c r="X25" s="844" t="s">
        <v>85</v>
      </c>
      <c r="Y25" s="840"/>
      <c r="AA25" s="61"/>
      <c r="AD25" s="423">
        <v>45.651000000000003</v>
      </c>
      <c r="AE25">
        <v>7</v>
      </c>
      <c r="AT25" s="507"/>
      <c r="AU25" s="789"/>
      <c r="AV25" s="789"/>
      <c r="AW25" s="789"/>
      <c r="AX25" s="791"/>
      <c r="AY25" s="33"/>
      <c r="AZ25" s="33"/>
      <c r="BA25" s="33"/>
      <c r="BB25" s="33"/>
      <c r="BC25" s="33"/>
      <c r="BD25" s="33"/>
      <c r="BE25" s="33"/>
      <c r="BF25" s="33"/>
      <c r="BG25" s="790"/>
      <c r="BH25" s="791"/>
      <c r="BI25" s="33"/>
      <c r="BJ25" s="33"/>
      <c r="BK25" s="33"/>
      <c r="BL25" s="33"/>
      <c r="BM25" s="33"/>
      <c r="BN25" s="33"/>
      <c r="BO25" s="33"/>
      <c r="BP25" s="33"/>
      <c r="BQ25" s="790"/>
      <c r="BR25" s="791"/>
      <c r="BS25" s="33"/>
      <c r="BT25" s="33"/>
      <c r="BU25" s="33"/>
      <c r="BV25" s="33"/>
      <c r="BW25" s="33"/>
      <c r="BX25" s="33"/>
      <c r="BY25" s="33"/>
      <c r="BZ25" s="33"/>
      <c r="CA25" s="790"/>
      <c r="CB25" s="791"/>
      <c r="CC25" s="33"/>
      <c r="CD25" s="33"/>
      <c r="CE25" s="33"/>
      <c r="CF25" s="33"/>
      <c r="CG25" s="33"/>
      <c r="CH25" s="33"/>
      <c r="CI25" s="33"/>
      <c r="CJ25" s="33"/>
      <c r="CK25" s="790"/>
      <c r="CL25" s="791"/>
      <c r="CM25" s="33"/>
      <c r="CN25" s="33"/>
      <c r="CO25" s="33"/>
      <c r="CP25" s="33"/>
      <c r="CQ25" s="33"/>
      <c r="CR25" s="33"/>
      <c r="CS25" s="33"/>
      <c r="CT25" s="33"/>
      <c r="CU25" s="790"/>
      <c r="CV25" s="791"/>
      <c r="CW25" s="33"/>
      <c r="CX25" s="33"/>
      <c r="CY25" s="33"/>
      <c r="CZ25" s="33"/>
      <c r="DA25" s="33"/>
      <c r="DB25" s="33"/>
      <c r="DC25" s="33"/>
      <c r="DD25" s="33"/>
      <c r="DE25" s="790"/>
      <c r="DF25" s="791"/>
      <c r="DG25" s="33"/>
      <c r="DH25" s="33"/>
      <c r="DI25" s="33"/>
      <c r="DJ25" s="33"/>
      <c r="DK25" s="33"/>
      <c r="DL25" s="33"/>
      <c r="DM25" s="33"/>
      <c r="DN25" s="33"/>
      <c r="DO25" s="790"/>
      <c r="DP25" s="791"/>
      <c r="DQ25" s="33"/>
      <c r="DR25" s="33"/>
      <c r="DS25" s="33"/>
      <c r="DT25" s="33"/>
      <c r="DU25" s="33"/>
      <c r="DV25" s="33"/>
      <c r="DW25" s="33"/>
      <c r="DX25" s="33"/>
      <c r="DY25" s="790"/>
      <c r="DZ25" s="791"/>
      <c r="EA25" s="33"/>
      <c r="EB25" s="33"/>
      <c r="EC25" s="33"/>
      <c r="ED25" s="33"/>
      <c r="EE25" s="33"/>
      <c r="EF25" s="33"/>
      <c r="EG25" s="33"/>
      <c r="EH25" s="33"/>
      <c r="EI25" s="790"/>
      <c r="EJ25" s="791"/>
      <c r="EK25" s="33"/>
      <c r="EL25" s="33"/>
      <c r="EM25" s="33"/>
      <c r="EN25" s="33"/>
      <c r="EO25" s="33"/>
      <c r="EP25" s="33"/>
      <c r="EQ25" s="33"/>
      <c r="ER25" s="33"/>
      <c r="ES25" s="790"/>
      <c r="ET25" s="791"/>
      <c r="EU25" s="33"/>
      <c r="EV25" s="33"/>
      <c r="EW25" s="33"/>
      <c r="EX25" s="33"/>
      <c r="EY25" s="33"/>
      <c r="EZ25" s="33"/>
      <c r="FA25" s="33"/>
      <c r="FB25" s="33"/>
      <c r="FC25" s="790"/>
      <c r="FD25" s="791"/>
      <c r="FE25" s="33"/>
      <c r="FF25" s="33"/>
      <c r="FG25" s="33"/>
      <c r="FH25" s="33"/>
      <c r="FI25" s="33"/>
      <c r="FJ25" s="33"/>
      <c r="FK25" s="33"/>
      <c r="FL25" s="33"/>
      <c r="FM25" s="790"/>
      <c r="FN25" s="791"/>
      <c r="FO25" s="33"/>
      <c r="FP25" s="33"/>
      <c r="FQ25" s="33"/>
      <c r="FR25" s="33"/>
      <c r="FS25" s="33"/>
      <c r="FT25" s="33"/>
      <c r="FU25" s="33"/>
      <c r="FV25" s="33"/>
      <c r="FW25" s="790"/>
      <c r="FX25" s="791"/>
      <c r="FY25" s="33"/>
      <c r="FZ25" s="33"/>
      <c r="GA25" s="33"/>
      <c r="GB25" s="33"/>
      <c r="GC25" s="33"/>
      <c r="GD25" s="33"/>
      <c r="GE25" s="33"/>
      <c r="GF25" s="33"/>
      <c r="GG25" s="790"/>
      <c r="GH25" s="791"/>
      <c r="GI25" s="33"/>
      <c r="GJ25" s="33"/>
      <c r="GK25" s="33"/>
      <c r="GL25" s="33"/>
      <c r="GM25" s="33"/>
      <c r="GN25" s="33"/>
      <c r="GO25" s="33"/>
      <c r="GP25" s="33"/>
      <c r="GQ25" s="790"/>
      <c r="GR25" s="791"/>
      <c r="GS25" s="33"/>
      <c r="GT25" s="33"/>
      <c r="GU25" s="33"/>
      <c r="GV25" s="33"/>
      <c r="GW25" s="33"/>
      <c r="GX25" s="33"/>
      <c r="GY25" s="33"/>
      <c r="GZ25" s="33"/>
      <c r="HA25" s="790"/>
      <c r="HB25" s="791"/>
      <c r="HC25" s="33"/>
      <c r="HD25" s="33"/>
      <c r="HE25" s="33"/>
      <c r="HF25" s="33"/>
      <c r="HG25" s="33"/>
      <c r="HH25" s="33"/>
      <c r="HI25" s="33"/>
      <c r="HJ25" s="33"/>
      <c r="HK25" s="790"/>
      <c r="HL25" s="791"/>
      <c r="HM25" s="33"/>
      <c r="HN25" s="33"/>
      <c r="HO25" s="33"/>
      <c r="HP25" s="33"/>
      <c r="HQ25" s="33"/>
      <c r="HR25" s="33"/>
      <c r="HS25" s="33"/>
      <c r="HT25" s="33"/>
      <c r="HU25" s="790"/>
      <c r="HV25" s="791"/>
      <c r="HW25" s="33"/>
      <c r="HX25" s="33"/>
      <c r="HY25" s="33"/>
      <c r="HZ25" s="33"/>
      <c r="IA25" s="33"/>
      <c r="IB25" s="33"/>
      <c r="IC25" s="33"/>
      <c r="ID25" s="33"/>
      <c r="IE25" s="790"/>
      <c r="IF25" s="791"/>
      <c r="IG25" s="33"/>
      <c r="IH25" s="33"/>
      <c r="II25" s="33"/>
      <c r="IJ25" s="33"/>
      <c r="IK25" s="33"/>
      <c r="IL25" s="33"/>
      <c r="IM25" s="33"/>
      <c r="IN25" s="33"/>
      <c r="IO25" s="790"/>
      <c r="IP25" s="790"/>
      <c r="IQ25" s="788"/>
      <c r="IR25" s="792"/>
      <c r="IS25" s="792"/>
      <c r="IT25" s="792"/>
      <c r="IU25" s="792"/>
      <c r="IV25" s="792"/>
      <c r="IW25" s="792"/>
      <c r="IX25" s="507"/>
      <c r="IY25" s="193"/>
    </row>
    <row r="26" spans="2:259" ht="19.5" thickBot="1" x14ac:dyDescent="0.35">
      <c r="B26" s="805"/>
      <c r="C26" s="423">
        <v>50.65</v>
      </c>
      <c r="D26" s="821">
        <v>8</v>
      </c>
      <c r="E26" s="821">
        <v>2.8780000000000001</v>
      </c>
      <c r="F26" s="821">
        <v>1.179</v>
      </c>
      <c r="G26" s="821">
        <v>2.2789999999999999</v>
      </c>
      <c r="H26" s="192"/>
      <c r="I26" s="828"/>
      <c r="J26" s="834" t="s">
        <v>381</v>
      </c>
      <c r="K26" s="809" t="e">
        <f>IF(G13=1,4,IF(G13=2,8,IF(G13=3,10,IF(G13=4,20,IF(G13=5,20,"N/A")))))</f>
        <v>#N/A</v>
      </c>
      <c r="L26" s="692"/>
      <c r="M26" s="692"/>
      <c r="N26" s="837" t="s">
        <v>68</v>
      </c>
      <c r="O26" s="40"/>
      <c r="P26" s="494" t="e">
        <f>C6/P22</f>
        <v>#VALUE!</v>
      </c>
      <c r="Q26" s="159" t="s">
        <v>45</v>
      </c>
      <c r="R26" s="692"/>
      <c r="S26" s="827"/>
      <c r="T26" s="692"/>
      <c r="U26" s="692"/>
      <c r="V26" s="692"/>
      <c r="W26" s="692"/>
      <c r="X26" s="842"/>
      <c r="Y26" s="46"/>
      <c r="AA26" s="61"/>
      <c r="AD26" s="423">
        <v>50.651000000000003</v>
      </c>
      <c r="AE26">
        <v>8</v>
      </c>
      <c r="AT26" s="507"/>
      <c r="AU26" s="789"/>
      <c r="AV26" s="789"/>
      <c r="AW26" s="789"/>
      <c r="AX26" s="791"/>
      <c r="AY26" s="33"/>
      <c r="AZ26" s="33"/>
      <c r="BA26" s="33"/>
      <c r="BB26" s="33"/>
      <c r="BC26" s="33"/>
      <c r="BD26" s="33"/>
      <c r="BE26" s="33"/>
      <c r="BF26" s="33"/>
      <c r="BG26" s="790"/>
      <c r="BH26" s="791"/>
      <c r="BI26" s="33"/>
      <c r="BJ26" s="33"/>
      <c r="BK26" s="33"/>
      <c r="BL26" s="33"/>
      <c r="BM26" s="33"/>
      <c r="BN26" s="33"/>
      <c r="BO26" s="33"/>
      <c r="BP26" s="33"/>
      <c r="BQ26" s="790"/>
      <c r="BR26" s="791"/>
      <c r="BS26" s="33"/>
      <c r="BT26" s="33"/>
      <c r="BU26" s="33"/>
      <c r="BV26" s="33"/>
      <c r="BW26" s="33"/>
      <c r="BX26" s="33"/>
      <c r="BY26" s="33"/>
      <c r="BZ26" s="33"/>
      <c r="CA26" s="790"/>
      <c r="CB26" s="791"/>
      <c r="CC26" s="33"/>
      <c r="CD26" s="33"/>
      <c r="CE26" s="33"/>
      <c r="CF26" s="33"/>
      <c r="CG26" s="33"/>
      <c r="CH26" s="33"/>
      <c r="CI26" s="33"/>
      <c r="CJ26" s="33"/>
      <c r="CK26" s="790"/>
      <c r="CL26" s="791"/>
      <c r="CM26" s="33"/>
      <c r="CN26" s="33"/>
      <c r="CO26" s="33"/>
      <c r="CP26" s="33"/>
      <c r="CQ26" s="33"/>
      <c r="CR26" s="33"/>
      <c r="CS26" s="33"/>
      <c r="CT26" s="33"/>
      <c r="CU26" s="790"/>
      <c r="CV26" s="791"/>
      <c r="CW26" s="33"/>
      <c r="CX26" s="33"/>
      <c r="CY26" s="33"/>
      <c r="CZ26" s="33"/>
      <c r="DA26" s="33"/>
      <c r="DB26" s="33"/>
      <c r="DC26" s="33"/>
      <c r="DD26" s="33"/>
      <c r="DE26" s="790"/>
      <c r="DF26" s="791"/>
      <c r="DG26" s="33"/>
      <c r="DH26" s="33"/>
      <c r="DI26" s="33"/>
      <c r="DJ26" s="33"/>
      <c r="DK26" s="33"/>
      <c r="DL26" s="33"/>
      <c r="DM26" s="33"/>
      <c r="DN26" s="33"/>
      <c r="DO26" s="790"/>
      <c r="DP26" s="791"/>
      <c r="DQ26" s="33"/>
      <c r="DR26" s="33"/>
      <c r="DS26" s="33"/>
      <c r="DT26" s="33"/>
      <c r="DU26" s="33"/>
      <c r="DV26" s="33"/>
      <c r="DW26" s="33"/>
      <c r="DX26" s="33"/>
      <c r="DY26" s="790"/>
      <c r="DZ26" s="791"/>
      <c r="EA26" s="33"/>
      <c r="EB26" s="33"/>
      <c r="EC26" s="33"/>
      <c r="ED26" s="33"/>
      <c r="EE26" s="33"/>
      <c r="EF26" s="33"/>
      <c r="EG26" s="33"/>
      <c r="EH26" s="33"/>
      <c r="EI26" s="790"/>
      <c r="EJ26" s="791"/>
      <c r="EK26" s="33"/>
      <c r="EL26" s="33"/>
      <c r="EM26" s="33"/>
      <c r="EN26" s="33"/>
      <c r="EO26" s="33"/>
      <c r="EP26" s="33"/>
      <c r="EQ26" s="33"/>
      <c r="ER26" s="33"/>
      <c r="ES26" s="790"/>
      <c r="ET26" s="791"/>
      <c r="EU26" s="33"/>
      <c r="EV26" s="33"/>
      <c r="EW26" s="33"/>
      <c r="EX26" s="33"/>
      <c r="EY26" s="33"/>
      <c r="EZ26" s="33"/>
      <c r="FA26" s="33"/>
      <c r="FB26" s="33"/>
      <c r="FC26" s="790"/>
      <c r="FD26" s="791"/>
      <c r="FE26" s="33"/>
      <c r="FF26" s="33"/>
      <c r="FG26" s="33"/>
      <c r="FH26" s="33"/>
      <c r="FI26" s="33"/>
      <c r="FJ26" s="33"/>
      <c r="FK26" s="33"/>
      <c r="FL26" s="33"/>
      <c r="FM26" s="790"/>
      <c r="FN26" s="791"/>
      <c r="FO26" s="33"/>
      <c r="FP26" s="33"/>
      <c r="FQ26" s="33"/>
      <c r="FR26" s="33"/>
      <c r="FS26" s="33"/>
      <c r="FT26" s="33"/>
      <c r="FU26" s="33"/>
      <c r="FV26" s="33"/>
      <c r="FW26" s="790"/>
      <c r="FX26" s="791"/>
      <c r="FY26" s="33"/>
      <c r="FZ26" s="33"/>
      <c r="GA26" s="33"/>
      <c r="GB26" s="33"/>
      <c r="GC26" s="33"/>
      <c r="GD26" s="33"/>
      <c r="GE26" s="33"/>
      <c r="GF26" s="33"/>
      <c r="GG26" s="790"/>
      <c r="GH26" s="791"/>
      <c r="GI26" s="33"/>
      <c r="GJ26" s="33"/>
      <c r="GK26" s="33"/>
      <c r="GL26" s="33"/>
      <c r="GM26" s="33"/>
      <c r="GN26" s="33"/>
      <c r="GO26" s="33"/>
      <c r="GP26" s="33"/>
      <c r="GQ26" s="790"/>
      <c r="GR26" s="791"/>
      <c r="GS26" s="33"/>
      <c r="GT26" s="33"/>
      <c r="GU26" s="33"/>
      <c r="GV26" s="33"/>
      <c r="GW26" s="33"/>
      <c r="GX26" s="33"/>
      <c r="GY26" s="33"/>
      <c r="GZ26" s="33"/>
      <c r="HA26" s="790"/>
      <c r="HB26" s="791"/>
      <c r="HC26" s="33"/>
      <c r="HD26" s="33"/>
      <c r="HE26" s="33"/>
      <c r="HF26" s="33"/>
      <c r="HG26" s="33"/>
      <c r="HH26" s="33"/>
      <c r="HI26" s="33"/>
      <c r="HJ26" s="33"/>
      <c r="HK26" s="790"/>
      <c r="HL26" s="791"/>
      <c r="HM26" s="33"/>
      <c r="HN26" s="33"/>
      <c r="HO26" s="33"/>
      <c r="HP26" s="33"/>
      <c r="HQ26" s="33"/>
      <c r="HR26" s="33"/>
      <c r="HS26" s="33"/>
      <c r="HT26" s="33"/>
      <c r="HU26" s="790"/>
      <c r="HV26" s="791"/>
      <c r="HW26" s="33"/>
      <c r="HX26" s="33"/>
      <c r="HY26" s="33"/>
      <c r="HZ26" s="33"/>
      <c r="IA26" s="33"/>
      <c r="IB26" s="33"/>
      <c r="IC26" s="33"/>
      <c r="ID26" s="33"/>
      <c r="IE26" s="790"/>
      <c r="IF26" s="791"/>
      <c r="IG26" s="33"/>
      <c r="IH26" s="33"/>
      <c r="II26" s="33"/>
      <c r="IJ26" s="33"/>
      <c r="IK26" s="33"/>
      <c r="IL26" s="33"/>
      <c r="IM26" s="33"/>
      <c r="IN26" s="33"/>
      <c r="IO26" s="790"/>
      <c r="IP26" s="790"/>
      <c r="IQ26" s="788"/>
      <c r="IR26" s="792"/>
      <c r="IS26" s="792"/>
      <c r="IT26" s="792"/>
      <c r="IU26" s="792"/>
      <c r="IV26" s="792"/>
      <c r="IW26" s="792"/>
      <c r="IX26" s="507"/>
      <c r="IY26" s="193"/>
    </row>
    <row r="27" spans="2:259" ht="19.5" thickBot="1" x14ac:dyDescent="0.35">
      <c r="B27" s="805"/>
      <c r="C27" s="423">
        <v>55.65</v>
      </c>
      <c r="D27" s="821">
        <v>9</v>
      </c>
      <c r="E27" s="821">
        <v>2.8780000000000001</v>
      </c>
      <c r="F27" s="821">
        <v>1.179</v>
      </c>
      <c r="G27" s="821">
        <v>2.2789999999999999</v>
      </c>
      <c r="H27" s="192"/>
      <c r="I27" s="547"/>
      <c r="J27" s="834" t="s">
        <v>403</v>
      </c>
      <c r="K27" s="809" t="e">
        <f>IF(G13=1,2,IF(G13=2,4,IF(G13=3,4,IF(G13=4,8,IF(G13=5,8,"N/A")))))</f>
        <v>#N/A</v>
      </c>
      <c r="L27" s="692"/>
      <c r="M27" s="692"/>
      <c r="N27" s="838" t="s">
        <v>69</v>
      </c>
      <c r="O27" s="473" t="s">
        <v>6</v>
      </c>
      <c r="P27" s="494" t="e">
        <f>1.70654844438105E-07*P26^2 + 7.72494047896E-19*P26 - 2.15105711021124E-16</f>
        <v>#VALUE!</v>
      </c>
      <c r="Q27" s="159" t="s">
        <v>85</v>
      </c>
      <c r="R27" s="692"/>
      <c r="S27" s="827"/>
      <c r="T27" s="692"/>
      <c r="U27" s="692"/>
      <c r="V27" s="692"/>
      <c r="W27" s="692"/>
      <c r="X27" s="807"/>
      <c r="Y27" s="46"/>
      <c r="AA27" s="61"/>
      <c r="AD27" s="423">
        <v>55.651000000000003</v>
      </c>
      <c r="AE27">
        <v>9</v>
      </c>
      <c r="AT27" s="507"/>
      <c r="AU27" s="789"/>
      <c r="AV27" s="789"/>
      <c r="AW27" s="789"/>
      <c r="AX27" s="791"/>
      <c r="AY27" s="33"/>
      <c r="AZ27" s="33"/>
      <c r="BA27" s="33"/>
      <c r="BB27" s="33"/>
      <c r="BC27" s="33"/>
      <c r="BD27" s="33"/>
      <c r="BE27" s="33"/>
      <c r="BF27" s="33"/>
      <c r="BG27" s="790"/>
      <c r="BH27" s="791"/>
      <c r="BI27" s="33"/>
      <c r="BJ27" s="33"/>
      <c r="BK27" s="33"/>
      <c r="BL27" s="33"/>
      <c r="BM27" s="33"/>
      <c r="BN27" s="33"/>
      <c r="BO27" s="33"/>
      <c r="BP27" s="33"/>
      <c r="BQ27" s="790"/>
      <c r="BR27" s="791"/>
      <c r="BS27" s="33"/>
      <c r="BT27" s="33"/>
      <c r="BU27" s="33"/>
      <c r="BV27" s="33"/>
      <c r="BW27" s="33"/>
      <c r="BX27" s="33"/>
      <c r="BY27" s="33"/>
      <c r="BZ27" s="33"/>
      <c r="CA27" s="790"/>
      <c r="CB27" s="791"/>
      <c r="CC27" s="33"/>
      <c r="CD27" s="33"/>
      <c r="CE27" s="33"/>
      <c r="CF27" s="33"/>
      <c r="CG27" s="33"/>
      <c r="CH27" s="33"/>
      <c r="CI27" s="33"/>
      <c r="CJ27" s="33"/>
      <c r="CK27" s="790"/>
      <c r="CL27" s="791"/>
      <c r="CM27" s="33"/>
      <c r="CN27" s="33"/>
      <c r="CO27" s="33"/>
      <c r="CP27" s="33"/>
      <c r="CQ27" s="33"/>
      <c r="CR27" s="33"/>
      <c r="CS27" s="33"/>
      <c r="CT27" s="33"/>
      <c r="CU27" s="790"/>
      <c r="CV27" s="791"/>
      <c r="CW27" s="33"/>
      <c r="CX27" s="33"/>
      <c r="CY27" s="33"/>
      <c r="CZ27" s="33"/>
      <c r="DA27" s="33"/>
      <c r="DB27" s="33"/>
      <c r="DC27" s="33"/>
      <c r="DD27" s="33"/>
      <c r="DE27" s="790"/>
      <c r="DF27" s="791"/>
      <c r="DG27" s="33"/>
      <c r="DH27" s="33"/>
      <c r="DI27" s="33"/>
      <c r="DJ27" s="33"/>
      <c r="DK27" s="33"/>
      <c r="DL27" s="33"/>
      <c r="DM27" s="33"/>
      <c r="DN27" s="33"/>
      <c r="DO27" s="790"/>
      <c r="DP27" s="791"/>
      <c r="DQ27" s="33"/>
      <c r="DR27" s="33"/>
      <c r="DS27" s="33"/>
      <c r="DT27" s="33"/>
      <c r="DU27" s="33"/>
      <c r="DV27" s="33"/>
      <c r="DW27" s="33"/>
      <c r="DX27" s="33"/>
      <c r="DY27" s="790"/>
      <c r="DZ27" s="791"/>
      <c r="EA27" s="33"/>
      <c r="EB27" s="33"/>
      <c r="EC27" s="33"/>
      <c r="ED27" s="33"/>
      <c r="EE27" s="33"/>
      <c r="EF27" s="33"/>
      <c r="EG27" s="33"/>
      <c r="EH27" s="33"/>
      <c r="EI27" s="790"/>
      <c r="EJ27" s="791"/>
      <c r="EK27" s="33"/>
      <c r="EL27" s="33"/>
      <c r="EM27" s="33"/>
      <c r="EN27" s="33"/>
      <c r="EO27" s="33"/>
      <c r="EP27" s="33"/>
      <c r="EQ27" s="33"/>
      <c r="ER27" s="33"/>
      <c r="ES27" s="790"/>
      <c r="ET27" s="791"/>
      <c r="EU27" s="33"/>
      <c r="EV27" s="33"/>
      <c r="EW27" s="33"/>
      <c r="EX27" s="33"/>
      <c r="EY27" s="33"/>
      <c r="EZ27" s="33"/>
      <c r="FA27" s="33"/>
      <c r="FB27" s="33"/>
      <c r="FC27" s="790"/>
      <c r="FD27" s="791"/>
      <c r="FE27" s="33"/>
      <c r="FF27" s="33"/>
      <c r="FG27" s="33"/>
      <c r="FH27" s="33"/>
      <c r="FI27" s="33"/>
      <c r="FJ27" s="33"/>
      <c r="FK27" s="33"/>
      <c r="FL27" s="33"/>
      <c r="FM27" s="790"/>
      <c r="FN27" s="791"/>
      <c r="FO27" s="33"/>
      <c r="FP27" s="33"/>
      <c r="FQ27" s="33"/>
      <c r="FR27" s="33"/>
      <c r="FS27" s="33"/>
      <c r="FT27" s="33"/>
      <c r="FU27" s="33"/>
      <c r="FV27" s="33"/>
      <c r="FW27" s="790"/>
      <c r="FX27" s="791"/>
      <c r="FY27" s="33"/>
      <c r="FZ27" s="33"/>
      <c r="GA27" s="33"/>
      <c r="GB27" s="33"/>
      <c r="GC27" s="33"/>
      <c r="GD27" s="33"/>
      <c r="GE27" s="33"/>
      <c r="GF27" s="33"/>
      <c r="GG27" s="790"/>
      <c r="GH27" s="791"/>
      <c r="GI27" s="33"/>
      <c r="GJ27" s="33"/>
      <c r="GK27" s="33"/>
      <c r="GL27" s="33"/>
      <c r="GM27" s="33"/>
      <c r="GN27" s="33"/>
      <c r="GO27" s="33"/>
      <c r="GP27" s="33"/>
      <c r="GQ27" s="790"/>
      <c r="GR27" s="791"/>
      <c r="GS27" s="33"/>
      <c r="GT27" s="33"/>
      <c r="GU27" s="33"/>
      <c r="GV27" s="33"/>
      <c r="GW27" s="33"/>
      <c r="GX27" s="33"/>
      <c r="GY27" s="33"/>
      <c r="GZ27" s="33"/>
      <c r="HA27" s="790"/>
      <c r="HB27" s="791"/>
      <c r="HC27" s="33"/>
      <c r="HD27" s="33"/>
      <c r="HE27" s="33"/>
      <c r="HF27" s="33"/>
      <c r="HG27" s="33"/>
      <c r="HH27" s="33"/>
      <c r="HI27" s="33"/>
      <c r="HJ27" s="33"/>
      <c r="HK27" s="790"/>
      <c r="HL27" s="791"/>
      <c r="HM27" s="33"/>
      <c r="HN27" s="33"/>
      <c r="HO27" s="33"/>
      <c r="HP27" s="33"/>
      <c r="HQ27" s="33"/>
      <c r="HR27" s="33"/>
      <c r="HS27" s="33"/>
      <c r="HT27" s="33"/>
      <c r="HU27" s="790"/>
      <c r="HV27" s="791"/>
      <c r="HW27" s="33"/>
      <c r="HX27" s="33"/>
      <c r="HY27" s="33"/>
      <c r="HZ27" s="33"/>
      <c r="IA27" s="33"/>
      <c r="IB27" s="33"/>
      <c r="IC27" s="33"/>
      <c r="ID27" s="33"/>
      <c r="IE27" s="790"/>
      <c r="IF27" s="791"/>
      <c r="IG27" s="33"/>
      <c r="IH27" s="33"/>
      <c r="II27" s="33"/>
      <c r="IJ27" s="33"/>
      <c r="IK27" s="33"/>
      <c r="IL27" s="33"/>
      <c r="IM27" s="33"/>
      <c r="IN27" s="33"/>
      <c r="IO27" s="790"/>
      <c r="IP27" s="790"/>
      <c r="IQ27" s="788"/>
      <c r="IR27" s="792"/>
      <c r="IS27" s="792"/>
      <c r="IT27" s="792"/>
      <c r="IU27" s="792"/>
      <c r="IV27" s="792"/>
      <c r="IW27" s="792"/>
      <c r="IX27" s="507"/>
      <c r="IY27" s="193"/>
    </row>
    <row r="28" spans="2:259" ht="19.5" thickBot="1" x14ac:dyDescent="0.35">
      <c r="B28" s="805"/>
      <c r="C28" s="423">
        <v>60.65</v>
      </c>
      <c r="D28" s="821">
        <v>10</v>
      </c>
      <c r="E28" s="821">
        <v>2.8780000000000001</v>
      </c>
      <c r="F28" s="821">
        <v>1.179</v>
      </c>
      <c r="G28" s="821">
        <v>2.2789999999999999</v>
      </c>
      <c r="H28" s="192"/>
      <c r="I28" s="547"/>
      <c r="J28" s="198" t="s">
        <v>371</v>
      </c>
      <c r="K28" s="692" t="e">
        <f>K19-((K26*2)+(K27*4.25))</f>
        <v>#VALUE!</v>
      </c>
      <c r="L28" s="692" t="s">
        <v>151</v>
      </c>
      <c r="M28" s="692"/>
      <c r="N28" s="839"/>
      <c r="O28" s="473" t="s">
        <v>7</v>
      </c>
      <c r="P28" s="494" t="e">
        <f>1.45002333746652E-07*P26^2 + 7.99599102208E-19*P26+ 5.27355936696949E-16</f>
        <v>#VALUE!</v>
      </c>
      <c r="Q28" s="159" t="s">
        <v>85</v>
      </c>
      <c r="R28" s="692"/>
      <c r="S28" s="827"/>
      <c r="T28" s="692"/>
      <c r="U28" s="692"/>
      <c r="V28" s="692"/>
      <c r="W28" s="692"/>
      <c r="X28" s="807"/>
      <c r="Y28" s="46"/>
      <c r="AA28" s="61"/>
      <c r="AD28" s="423">
        <v>60.651000000000003</v>
      </c>
      <c r="AE28">
        <v>10</v>
      </c>
      <c r="AT28" s="507"/>
      <c r="AU28" s="789"/>
      <c r="AV28" s="789"/>
      <c r="AW28" s="789"/>
      <c r="AX28" s="791"/>
      <c r="AY28" s="33"/>
      <c r="AZ28" s="33"/>
      <c r="BA28" s="33"/>
      <c r="BB28" s="33"/>
      <c r="BC28" s="33"/>
      <c r="BD28" s="33"/>
      <c r="BE28" s="33"/>
      <c r="BF28" s="33"/>
      <c r="BG28" s="790"/>
      <c r="BH28" s="791"/>
      <c r="BI28" s="33"/>
      <c r="BJ28" s="33"/>
      <c r="BK28" s="33"/>
      <c r="BL28" s="33"/>
      <c r="BM28" s="33"/>
      <c r="BN28" s="33"/>
      <c r="BO28" s="33"/>
      <c r="BP28" s="33"/>
      <c r="BQ28" s="790"/>
      <c r="BR28" s="791"/>
      <c r="BS28" s="33"/>
      <c r="BT28" s="33"/>
      <c r="BU28" s="33"/>
      <c r="BV28" s="33"/>
      <c r="BW28" s="33"/>
      <c r="BX28" s="33"/>
      <c r="BY28" s="33"/>
      <c r="BZ28" s="33"/>
      <c r="CA28" s="790"/>
      <c r="CB28" s="791"/>
      <c r="CC28" s="33"/>
      <c r="CD28" s="33"/>
      <c r="CE28" s="33"/>
      <c r="CF28" s="33"/>
      <c r="CG28" s="33"/>
      <c r="CH28" s="33"/>
      <c r="CI28" s="33"/>
      <c r="CJ28" s="33"/>
      <c r="CK28" s="790"/>
      <c r="CL28" s="791"/>
      <c r="CM28" s="33"/>
      <c r="CN28" s="33"/>
      <c r="CO28" s="33"/>
      <c r="CP28" s="33"/>
      <c r="CQ28" s="33"/>
      <c r="CR28" s="33"/>
      <c r="CS28" s="33"/>
      <c r="CT28" s="33"/>
      <c r="CU28" s="790"/>
      <c r="CV28" s="791"/>
      <c r="CW28" s="33"/>
      <c r="CX28" s="33"/>
      <c r="CY28" s="33"/>
      <c r="CZ28" s="33"/>
      <c r="DA28" s="33"/>
      <c r="DB28" s="33"/>
      <c r="DC28" s="33"/>
      <c r="DD28" s="33"/>
      <c r="DE28" s="790"/>
      <c r="DF28" s="791"/>
      <c r="DG28" s="33"/>
      <c r="DH28" s="33"/>
      <c r="DI28" s="33"/>
      <c r="DJ28" s="33"/>
      <c r="DK28" s="33"/>
      <c r="DL28" s="33"/>
      <c r="DM28" s="33"/>
      <c r="DN28" s="33"/>
      <c r="DO28" s="790"/>
      <c r="DP28" s="798"/>
      <c r="DQ28" s="799"/>
      <c r="DR28" s="33"/>
      <c r="DS28" s="33"/>
      <c r="DT28" s="33"/>
      <c r="DU28" s="33"/>
      <c r="DV28" s="33"/>
      <c r="DW28" s="33"/>
      <c r="DX28" s="33"/>
      <c r="DY28" s="790"/>
      <c r="DZ28" s="791"/>
      <c r="EA28" s="33"/>
      <c r="EB28" s="33"/>
      <c r="EC28" s="33"/>
      <c r="ED28" s="33"/>
      <c r="EE28" s="33"/>
      <c r="EF28" s="33"/>
      <c r="EG28" s="33"/>
      <c r="EH28" s="33"/>
      <c r="EI28" s="790"/>
      <c r="EJ28" s="791"/>
      <c r="EK28" s="33"/>
      <c r="EL28" s="33"/>
      <c r="EM28" s="33"/>
      <c r="EN28" s="33"/>
      <c r="EO28" s="33"/>
      <c r="EP28" s="33"/>
      <c r="EQ28" s="33"/>
      <c r="ER28" s="33"/>
      <c r="ES28" s="790"/>
      <c r="ET28" s="791"/>
      <c r="EU28" s="33"/>
      <c r="EV28" s="33"/>
      <c r="EW28" s="33"/>
      <c r="EX28" s="33"/>
      <c r="EY28" s="33"/>
      <c r="EZ28" s="33"/>
      <c r="FA28" s="33"/>
      <c r="FB28" s="33"/>
      <c r="FC28" s="790"/>
      <c r="FD28" s="791"/>
      <c r="FE28" s="33"/>
      <c r="FF28" s="33"/>
      <c r="FG28" s="33"/>
      <c r="FH28" s="33"/>
      <c r="FI28" s="33"/>
      <c r="FJ28" s="33"/>
      <c r="FK28" s="33"/>
      <c r="FL28" s="33"/>
      <c r="FM28" s="790"/>
      <c r="FN28" s="791"/>
      <c r="FO28" s="33"/>
      <c r="FP28" s="33"/>
      <c r="FQ28" s="33"/>
      <c r="FR28" s="33"/>
      <c r="FS28" s="33"/>
      <c r="FT28" s="33"/>
      <c r="FU28" s="33"/>
      <c r="FV28" s="33"/>
      <c r="FW28" s="790"/>
      <c r="FX28" s="791"/>
      <c r="FY28" s="33"/>
      <c r="FZ28" s="33"/>
      <c r="GA28" s="33"/>
      <c r="GB28" s="33"/>
      <c r="GC28" s="33"/>
      <c r="GD28" s="33"/>
      <c r="GE28" s="33"/>
      <c r="GF28" s="33"/>
      <c r="GG28" s="790"/>
      <c r="GH28" s="791"/>
      <c r="GI28" s="33"/>
      <c r="GJ28" s="33"/>
      <c r="GK28" s="33"/>
      <c r="GL28" s="33"/>
      <c r="GM28" s="33"/>
      <c r="GN28" s="33"/>
      <c r="GO28" s="33"/>
      <c r="GP28" s="33"/>
      <c r="GQ28" s="790"/>
      <c r="GR28" s="791"/>
      <c r="GS28" s="33"/>
      <c r="GT28" s="33"/>
      <c r="GU28" s="33"/>
      <c r="GV28" s="33"/>
      <c r="GW28" s="33"/>
      <c r="GX28" s="33"/>
      <c r="GY28" s="33"/>
      <c r="GZ28" s="33"/>
      <c r="HA28" s="790"/>
      <c r="HB28" s="791"/>
      <c r="HC28" s="33"/>
      <c r="HD28" s="33"/>
      <c r="HE28" s="33"/>
      <c r="HF28" s="33"/>
      <c r="HG28" s="33"/>
      <c r="HH28" s="33"/>
      <c r="HI28" s="33"/>
      <c r="HJ28" s="33"/>
      <c r="HK28" s="790"/>
      <c r="HL28" s="791"/>
      <c r="HM28" s="33"/>
      <c r="HN28" s="33"/>
      <c r="HO28" s="33"/>
      <c r="HP28" s="33"/>
      <c r="HQ28" s="33"/>
      <c r="HR28" s="33"/>
      <c r="HS28" s="33"/>
      <c r="HT28" s="33"/>
      <c r="HU28" s="790"/>
      <c r="HV28" s="791"/>
      <c r="HW28" s="33"/>
      <c r="HX28" s="33"/>
      <c r="HY28" s="33"/>
      <c r="HZ28" s="33"/>
      <c r="IA28" s="33"/>
      <c r="IB28" s="33"/>
      <c r="IC28" s="33"/>
      <c r="ID28" s="33"/>
      <c r="IE28" s="790"/>
      <c r="IF28" s="791"/>
      <c r="IG28" s="33"/>
      <c r="IH28" s="33"/>
      <c r="II28" s="33"/>
      <c r="IJ28" s="33"/>
      <c r="IK28" s="33"/>
      <c r="IL28" s="33"/>
      <c r="IM28" s="33"/>
      <c r="IN28" s="33"/>
      <c r="IO28" s="790"/>
      <c r="IP28" s="790"/>
      <c r="IQ28" s="788"/>
      <c r="IR28" s="792"/>
      <c r="IS28" s="792"/>
      <c r="IT28" s="792"/>
      <c r="IU28" s="792"/>
      <c r="IV28" s="792"/>
      <c r="IW28" s="792"/>
      <c r="IX28" s="507"/>
      <c r="IY28" s="193"/>
    </row>
    <row r="29" spans="2:259" ht="15.75" thickBot="1" x14ac:dyDescent="0.3">
      <c r="B29" s="805"/>
      <c r="C29" s="423">
        <v>65.650000000000006</v>
      </c>
      <c r="D29" s="821">
        <v>11</v>
      </c>
      <c r="E29" s="821">
        <v>2.8780000000000001</v>
      </c>
      <c r="F29" s="821">
        <v>1.179</v>
      </c>
      <c r="G29" s="821">
        <v>2.2789999999999999</v>
      </c>
      <c r="H29" s="192"/>
      <c r="I29" s="547"/>
      <c r="J29" s="40"/>
      <c r="K29" s="692"/>
      <c r="L29" s="692"/>
      <c r="M29" s="692"/>
      <c r="N29" s="692"/>
      <c r="O29" s="192"/>
      <c r="P29" s="192"/>
      <c r="Q29" s="192"/>
      <c r="R29" s="692"/>
      <c r="S29" s="827"/>
      <c r="T29" s="692"/>
      <c r="U29" s="692"/>
      <c r="V29" s="692"/>
      <c r="W29" s="692"/>
      <c r="X29" s="807"/>
      <c r="Y29" s="46"/>
      <c r="AA29" s="61"/>
      <c r="AD29" s="423">
        <v>65.650999999999996</v>
      </c>
      <c r="AE29">
        <v>11</v>
      </c>
      <c r="AT29" s="507"/>
      <c r="AU29" s="789"/>
      <c r="AV29" s="789"/>
      <c r="AW29" s="789"/>
      <c r="AX29" s="791"/>
      <c r="AY29" s="33"/>
      <c r="AZ29" s="33"/>
      <c r="BA29" s="33"/>
      <c r="BB29" s="33"/>
      <c r="BC29" s="33"/>
      <c r="BD29" s="33"/>
      <c r="BE29" s="33"/>
      <c r="BF29" s="33"/>
      <c r="BG29" s="790"/>
      <c r="BH29" s="791"/>
      <c r="BI29" s="33"/>
      <c r="BJ29" s="33"/>
      <c r="BK29" s="33"/>
      <c r="BL29" s="33"/>
      <c r="BM29" s="33"/>
      <c r="BN29" s="33"/>
      <c r="BO29" s="33"/>
      <c r="BP29" s="33"/>
      <c r="BQ29" s="790"/>
      <c r="BR29" s="791"/>
      <c r="BS29" s="33"/>
      <c r="BT29" s="33"/>
      <c r="BU29" s="33"/>
      <c r="BV29" s="33"/>
      <c r="BW29" s="33"/>
      <c r="BX29" s="33"/>
      <c r="BY29" s="33"/>
      <c r="BZ29" s="33"/>
      <c r="CA29" s="790"/>
      <c r="CB29" s="791"/>
      <c r="CC29" s="33"/>
      <c r="CD29" s="33"/>
      <c r="CE29" s="33"/>
      <c r="CF29" s="33"/>
      <c r="CG29" s="33"/>
      <c r="CH29" s="33"/>
      <c r="CI29" s="33"/>
      <c r="CJ29" s="33"/>
      <c r="CK29" s="790"/>
      <c r="CL29" s="791"/>
      <c r="CM29" s="33"/>
      <c r="CN29" s="33"/>
      <c r="CO29" s="33"/>
      <c r="CP29" s="33"/>
      <c r="CQ29" s="33"/>
      <c r="CR29" s="33"/>
      <c r="CS29" s="33"/>
      <c r="CT29" s="33"/>
      <c r="CU29" s="790"/>
      <c r="CV29" s="791"/>
      <c r="CW29" s="33"/>
      <c r="CX29" s="33"/>
      <c r="CY29" s="33"/>
      <c r="CZ29" s="33"/>
      <c r="DA29" s="33"/>
      <c r="DB29" s="33"/>
      <c r="DC29" s="33"/>
      <c r="DD29" s="33"/>
      <c r="DE29" s="790"/>
      <c r="DF29" s="791"/>
      <c r="DG29" s="33"/>
      <c r="DH29" s="33"/>
      <c r="DI29" s="33"/>
      <c r="DJ29" s="33"/>
      <c r="DK29" s="33"/>
      <c r="DL29" s="33"/>
      <c r="DM29" s="33"/>
      <c r="DN29" s="33"/>
      <c r="DO29" s="790"/>
      <c r="DP29" s="791"/>
      <c r="DQ29" s="33"/>
      <c r="DR29" s="33"/>
      <c r="DS29" s="33"/>
      <c r="DT29" s="33"/>
      <c r="DU29" s="33"/>
      <c r="DV29" s="33"/>
      <c r="DW29" s="33"/>
      <c r="DX29" s="33"/>
      <c r="DY29" s="790"/>
      <c r="DZ29" s="791"/>
      <c r="EA29" s="33"/>
      <c r="EB29" s="33"/>
      <c r="EC29" s="33"/>
      <c r="ED29" s="33"/>
      <c r="EE29" s="33"/>
      <c r="EF29" s="33"/>
      <c r="EG29" s="33"/>
      <c r="EH29" s="33"/>
      <c r="EI29" s="790"/>
      <c r="EJ29" s="791"/>
      <c r="EK29" s="33"/>
      <c r="EL29" s="33"/>
      <c r="EM29" s="33"/>
      <c r="EN29" s="33"/>
      <c r="EO29" s="33"/>
      <c r="EP29" s="33"/>
      <c r="EQ29" s="33"/>
      <c r="ER29" s="33"/>
      <c r="ES29" s="790"/>
      <c r="ET29" s="791"/>
      <c r="EU29" s="33"/>
      <c r="EV29" s="33"/>
      <c r="EW29" s="33"/>
      <c r="EX29" s="33"/>
      <c r="EY29" s="33"/>
      <c r="EZ29" s="33"/>
      <c r="FA29" s="33"/>
      <c r="FB29" s="33"/>
      <c r="FC29" s="790"/>
      <c r="FD29" s="791"/>
      <c r="FE29" s="33"/>
      <c r="FF29" s="33"/>
      <c r="FG29" s="33"/>
      <c r="FH29" s="33"/>
      <c r="FI29" s="33"/>
      <c r="FJ29" s="33"/>
      <c r="FK29" s="33"/>
      <c r="FL29" s="33"/>
      <c r="FM29" s="790"/>
      <c r="FN29" s="791"/>
      <c r="FO29" s="33"/>
      <c r="FP29" s="33"/>
      <c r="FQ29" s="33"/>
      <c r="FR29" s="33"/>
      <c r="FS29" s="33"/>
      <c r="FT29" s="33"/>
      <c r="FU29" s="33"/>
      <c r="FV29" s="33"/>
      <c r="FW29" s="790"/>
      <c r="FX29" s="791"/>
      <c r="FY29" s="33"/>
      <c r="FZ29" s="33"/>
      <c r="GA29" s="33"/>
      <c r="GB29" s="33"/>
      <c r="GC29" s="33"/>
      <c r="GD29" s="33"/>
      <c r="GE29" s="33"/>
      <c r="GF29" s="33"/>
      <c r="GG29" s="790"/>
      <c r="GH29" s="791"/>
      <c r="GI29" s="33"/>
      <c r="GJ29" s="33"/>
      <c r="GK29" s="33"/>
      <c r="GL29" s="33"/>
      <c r="GM29" s="33"/>
      <c r="GN29" s="33"/>
      <c r="GO29" s="33"/>
      <c r="GP29" s="33"/>
      <c r="GQ29" s="790"/>
      <c r="GR29" s="791"/>
      <c r="GS29" s="33"/>
      <c r="GT29" s="33"/>
      <c r="GU29" s="33"/>
      <c r="GV29" s="33"/>
      <c r="GW29" s="33"/>
      <c r="GX29" s="33"/>
      <c r="GY29" s="33"/>
      <c r="GZ29" s="33"/>
      <c r="HA29" s="790"/>
      <c r="HB29" s="791"/>
      <c r="HC29" s="33"/>
      <c r="HD29" s="33"/>
      <c r="HE29" s="33"/>
      <c r="HF29" s="33"/>
      <c r="HG29" s="33"/>
      <c r="HH29" s="33"/>
      <c r="HI29" s="33"/>
      <c r="HJ29" s="33"/>
      <c r="HK29" s="790"/>
      <c r="HL29" s="791"/>
      <c r="HM29" s="33"/>
      <c r="HN29" s="33"/>
      <c r="HO29" s="33"/>
      <c r="HP29" s="33"/>
      <c r="HQ29" s="33"/>
      <c r="HR29" s="33"/>
      <c r="HS29" s="33"/>
      <c r="HT29" s="33"/>
      <c r="HU29" s="790"/>
      <c r="HV29" s="791"/>
      <c r="HW29" s="33"/>
      <c r="HX29" s="33"/>
      <c r="HY29" s="33"/>
      <c r="HZ29" s="33"/>
      <c r="IA29" s="33"/>
      <c r="IB29" s="33"/>
      <c r="IC29" s="33"/>
      <c r="ID29" s="33"/>
      <c r="IE29" s="790"/>
      <c r="IF29" s="791"/>
      <c r="IG29" s="33"/>
      <c r="IH29" s="33"/>
      <c r="II29" s="33"/>
      <c r="IJ29" s="33"/>
      <c r="IK29" s="33"/>
      <c r="IL29" s="33"/>
      <c r="IM29" s="33"/>
      <c r="IN29" s="33"/>
      <c r="IO29" s="790"/>
      <c r="IP29" s="790"/>
      <c r="IQ29" s="788"/>
      <c r="IR29" s="792"/>
      <c r="IS29" s="792"/>
      <c r="IT29" s="792"/>
      <c r="IU29" s="792"/>
      <c r="IV29" s="792"/>
      <c r="IW29" s="792"/>
      <c r="IX29" s="507"/>
      <c r="IY29" s="193"/>
    </row>
    <row r="30" spans="2:259" ht="15.75" thickBot="1" x14ac:dyDescent="0.3">
      <c r="B30" s="805"/>
      <c r="C30" s="423">
        <v>70.650000000000006</v>
      </c>
      <c r="D30" s="821">
        <v>12</v>
      </c>
      <c r="E30" s="821">
        <v>2.8780000000000001</v>
      </c>
      <c r="F30" s="821">
        <v>1.179</v>
      </c>
      <c r="G30" s="821">
        <v>2.2789999999999999</v>
      </c>
      <c r="H30" s="192"/>
      <c r="I30" s="547"/>
      <c r="J30" s="834" t="s">
        <v>43</v>
      </c>
      <c r="K30" s="692" t="e">
        <f>((K28*K22*K21)+(K28*(K23+K24)))</f>
        <v>#VALUE!</v>
      </c>
      <c r="L30" s="692" t="s">
        <v>373</v>
      </c>
      <c r="M30" s="692"/>
      <c r="N30" s="692"/>
      <c r="O30" s="192"/>
      <c r="P30" s="192"/>
      <c r="Q30" s="192"/>
      <c r="R30" s="692"/>
      <c r="S30" s="827"/>
      <c r="T30" s="692"/>
      <c r="U30" s="692"/>
      <c r="V30" s="692"/>
      <c r="W30" s="692"/>
      <c r="X30" s="807"/>
      <c r="Y30" s="46"/>
      <c r="AD30" s="423">
        <v>70.650999999999996</v>
      </c>
      <c r="AE30">
        <v>12</v>
      </c>
      <c r="AT30" s="507"/>
      <c r="AU30" s="789"/>
      <c r="AV30" s="789"/>
      <c r="AW30" s="789"/>
      <c r="AX30" s="791"/>
      <c r="AY30" s="33"/>
      <c r="AZ30" s="33"/>
      <c r="BA30" s="33"/>
      <c r="BB30" s="33"/>
      <c r="BC30" s="33"/>
      <c r="BD30" s="33"/>
      <c r="BE30" s="33"/>
      <c r="BF30" s="33"/>
      <c r="BG30" s="790"/>
      <c r="BH30" s="791"/>
      <c r="BI30" s="33"/>
      <c r="BJ30" s="33"/>
      <c r="BK30" s="33"/>
      <c r="BL30" s="33"/>
      <c r="BM30" s="33"/>
      <c r="BN30" s="33"/>
      <c r="BO30" s="33"/>
      <c r="BP30" s="33"/>
      <c r="BQ30" s="790"/>
      <c r="BR30" s="791"/>
      <c r="BS30" s="33"/>
      <c r="BT30" s="33"/>
      <c r="BU30" s="33"/>
      <c r="BV30" s="33"/>
      <c r="BW30" s="33"/>
      <c r="BX30" s="33"/>
      <c r="BY30" s="33"/>
      <c r="BZ30" s="33"/>
      <c r="CA30" s="790"/>
      <c r="CB30" s="791"/>
      <c r="CC30" s="33"/>
      <c r="CD30" s="33"/>
      <c r="CE30" s="33"/>
      <c r="CF30" s="33"/>
      <c r="CG30" s="33"/>
      <c r="CH30" s="33"/>
      <c r="CI30" s="33"/>
      <c r="CJ30" s="33"/>
      <c r="CK30" s="790"/>
      <c r="CL30" s="791"/>
      <c r="CM30" s="33"/>
      <c r="CN30" s="33"/>
      <c r="CO30" s="33"/>
      <c r="CP30" s="33"/>
      <c r="CQ30" s="33"/>
      <c r="CR30" s="33"/>
      <c r="CS30" s="33"/>
      <c r="CT30" s="33"/>
      <c r="CU30" s="790"/>
      <c r="CV30" s="791"/>
      <c r="CW30" s="33"/>
      <c r="CX30" s="33"/>
      <c r="CY30" s="33"/>
      <c r="CZ30" s="33"/>
      <c r="DA30" s="33"/>
      <c r="DB30" s="33"/>
      <c r="DC30" s="33"/>
      <c r="DD30" s="33"/>
      <c r="DE30" s="790"/>
      <c r="DF30" s="791"/>
      <c r="DG30" s="33"/>
      <c r="DH30" s="33"/>
      <c r="DI30" s="33"/>
      <c r="DJ30" s="33"/>
      <c r="DK30" s="33"/>
      <c r="DL30" s="33"/>
      <c r="DM30" s="33"/>
      <c r="DN30" s="33"/>
      <c r="DO30" s="790"/>
      <c r="DP30" s="791"/>
      <c r="DQ30" s="33"/>
      <c r="DR30" s="33"/>
      <c r="DS30" s="33"/>
      <c r="DT30" s="33"/>
      <c r="DU30" s="33"/>
      <c r="DV30" s="33"/>
      <c r="DW30" s="33"/>
      <c r="DX30" s="33"/>
      <c r="DY30" s="790"/>
      <c r="DZ30" s="791"/>
      <c r="EA30" s="33"/>
      <c r="EB30" s="33"/>
      <c r="EC30" s="33"/>
      <c r="ED30" s="33"/>
      <c r="EE30" s="33"/>
      <c r="EF30" s="33"/>
      <c r="EG30" s="33"/>
      <c r="EH30" s="33"/>
      <c r="EI30" s="790"/>
      <c r="EJ30" s="791"/>
      <c r="EK30" s="33"/>
      <c r="EL30" s="33"/>
      <c r="EM30" s="33"/>
      <c r="EN30" s="33"/>
      <c r="EO30" s="33"/>
      <c r="EP30" s="33"/>
      <c r="EQ30" s="33"/>
      <c r="ER30" s="33"/>
      <c r="ES30" s="790"/>
      <c r="ET30" s="791"/>
      <c r="EU30" s="33"/>
      <c r="EV30" s="33"/>
      <c r="EW30" s="33"/>
      <c r="EX30" s="33"/>
      <c r="EY30" s="33"/>
      <c r="EZ30" s="33"/>
      <c r="FA30" s="33"/>
      <c r="FB30" s="33"/>
      <c r="FC30" s="790"/>
      <c r="FD30" s="791"/>
      <c r="FE30" s="33"/>
      <c r="FF30" s="33"/>
      <c r="FG30" s="33"/>
      <c r="FH30" s="33"/>
      <c r="FI30" s="33"/>
      <c r="FJ30" s="33"/>
      <c r="FK30" s="33"/>
      <c r="FL30" s="33"/>
      <c r="FM30" s="790"/>
      <c r="FN30" s="791"/>
      <c r="FO30" s="33"/>
      <c r="FP30" s="33"/>
      <c r="FQ30" s="33"/>
      <c r="FR30" s="33"/>
      <c r="FS30" s="33"/>
      <c r="FT30" s="33"/>
      <c r="FU30" s="33"/>
      <c r="FV30" s="33"/>
      <c r="FW30" s="790"/>
      <c r="FX30" s="791"/>
      <c r="FY30" s="33"/>
      <c r="FZ30" s="33"/>
      <c r="GA30" s="33"/>
      <c r="GB30" s="33"/>
      <c r="GC30" s="33"/>
      <c r="GD30" s="33"/>
      <c r="GE30" s="33"/>
      <c r="GF30" s="33"/>
      <c r="GG30" s="790"/>
      <c r="GH30" s="791"/>
      <c r="GI30" s="33"/>
      <c r="GJ30" s="33"/>
      <c r="GK30" s="33"/>
      <c r="GL30" s="33"/>
      <c r="GM30" s="33"/>
      <c r="GN30" s="33"/>
      <c r="GO30" s="33"/>
      <c r="GP30" s="33"/>
      <c r="GQ30" s="790"/>
      <c r="GR30" s="791"/>
      <c r="GS30" s="33"/>
      <c r="GT30" s="33"/>
      <c r="GU30" s="33"/>
      <c r="GV30" s="33"/>
      <c r="GW30" s="33"/>
      <c r="GX30" s="33"/>
      <c r="GY30" s="33"/>
      <c r="GZ30" s="33"/>
      <c r="HA30" s="790"/>
      <c r="HB30" s="791"/>
      <c r="HC30" s="33"/>
      <c r="HD30" s="33"/>
      <c r="HE30" s="33"/>
      <c r="HF30" s="33"/>
      <c r="HG30" s="33"/>
      <c r="HH30" s="33"/>
      <c r="HI30" s="33"/>
      <c r="HJ30" s="33"/>
      <c r="HK30" s="790"/>
      <c r="HL30" s="791"/>
      <c r="HM30" s="33"/>
      <c r="HN30" s="33"/>
      <c r="HO30" s="33"/>
      <c r="HP30" s="33"/>
      <c r="HQ30" s="33"/>
      <c r="HR30" s="33"/>
      <c r="HS30" s="33"/>
      <c r="HT30" s="33"/>
      <c r="HU30" s="790"/>
      <c r="HV30" s="791"/>
      <c r="HW30" s="33"/>
      <c r="HX30" s="33"/>
      <c r="HY30" s="33"/>
      <c r="HZ30" s="33"/>
      <c r="IA30" s="33"/>
      <c r="IB30" s="33"/>
      <c r="IC30" s="33"/>
      <c r="ID30" s="33"/>
      <c r="IE30" s="790"/>
      <c r="IF30" s="791"/>
      <c r="IG30" s="33"/>
      <c r="IH30" s="33"/>
      <c r="II30" s="33"/>
      <c r="IJ30" s="33"/>
      <c r="IK30" s="33"/>
      <c r="IL30" s="33"/>
      <c r="IM30" s="33"/>
      <c r="IN30" s="33"/>
      <c r="IO30" s="790"/>
      <c r="IP30" s="790"/>
      <c r="IQ30" s="788"/>
      <c r="IR30" s="792"/>
      <c r="IS30" s="792"/>
      <c r="IT30" s="792"/>
      <c r="IU30" s="792"/>
      <c r="IV30" s="792"/>
      <c r="IW30" s="792"/>
      <c r="IX30" s="507"/>
      <c r="IY30" s="193"/>
    </row>
    <row r="31" spans="2:259" ht="15.75" thickBot="1" x14ac:dyDescent="0.3">
      <c r="B31" s="805"/>
      <c r="C31" s="820"/>
      <c r="D31" s="821"/>
      <c r="E31" s="821"/>
      <c r="F31" s="821"/>
      <c r="G31" s="821"/>
      <c r="H31" s="192"/>
      <c r="I31" s="547"/>
      <c r="J31" s="40"/>
      <c r="K31" s="692"/>
      <c r="L31" s="692"/>
      <c r="M31" s="692"/>
      <c r="N31" s="692"/>
      <c r="O31" s="192"/>
      <c r="P31" s="192"/>
      <c r="Q31" s="192"/>
      <c r="R31" s="692"/>
      <c r="S31" s="827"/>
      <c r="T31" s="692"/>
      <c r="U31" s="692"/>
      <c r="V31" s="692"/>
      <c r="W31" s="692"/>
      <c r="X31" s="807"/>
      <c r="Y31" s="46"/>
      <c r="AD31" s="124"/>
      <c r="AT31" s="507"/>
      <c r="AU31" s="789"/>
      <c r="AV31" s="789"/>
      <c r="AW31" s="789"/>
      <c r="AX31" s="791"/>
      <c r="AY31" s="33"/>
      <c r="AZ31" s="33"/>
      <c r="BA31" s="33"/>
      <c r="BB31" s="33"/>
      <c r="BC31" s="33"/>
      <c r="BD31" s="33"/>
      <c r="BE31" s="33"/>
      <c r="BF31" s="33"/>
      <c r="BG31" s="790"/>
      <c r="BH31" s="791"/>
      <c r="BI31" s="33"/>
      <c r="BJ31" s="33"/>
      <c r="BK31" s="33"/>
      <c r="BL31" s="33"/>
      <c r="BM31" s="33"/>
      <c r="BN31" s="33"/>
      <c r="BO31" s="33"/>
      <c r="BP31" s="33"/>
      <c r="BQ31" s="790"/>
      <c r="BR31" s="791"/>
      <c r="BS31" s="33"/>
      <c r="BT31" s="33"/>
      <c r="BU31" s="33"/>
      <c r="BV31" s="33"/>
      <c r="BW31" s="33"/>
      <c r="BX31" s="33"/>
      <c r="BY31" s="33"/>
      <c r="BZ31" s="33"/>
      <c r="CA31" s="790"/>
      <c r="CB31" s="791"/>
      <c r="CC31" s="33"/>
      <c r="CD31" s="33"/>
      <c r="CE31" s="33"/>
      <c r="CF31" s="33"/>
      <c r="CG31" s="33"/>
      <c r="CH31" s="33"/>
      <c r="CI31" s="33"/>
      <c r="CJ31" s="33"/>
      <c r="CK31" s="790"/>
      <c r="CL31" s="791"/>
      <c r="CM31" s="33"/>
      <c r="CN31" s="33"/>
      <c r="CO31" s="33"/>
      <c r="CP31" s="33"/>
      <c r="CQ31" s="33"/>
      <c r="CR31" s="33"/>
      <c r="CS31" s="33"/>
      <c r="CT31" s="33"/>
      <c r="CU31" s="790"/>
      <c r="CV31" s="791"/>
      <c r="CW31" s="33"/>
      <c r="CX31" s="33"/>
      <c r="CY31" s="33"/>
      <c r="CZ31" s="33"/>
      <c r="DA31" s="33"/>
      <c r="DB31" s="33"/>
      <c r="DC31" s="33"/>
      <c r="DD31" s="33"/>
      <c r="DE31" s="790"/>
      <c r="DF31" s="791"/>
      <c r="DG31" s="33"/>
      <c r="DH31" s="33"/>
      <c r="DI31" s="33"/>
      <c r="DJ31" s="33"/>
      <c r="DK31" s="33"/>
      <c r="DL31" s="33"/>
      <c r="DM31" s="33"/>
      <c r="DN31" s="33"/>
      <c r="DO31" s="790"/>
      <c r="DP31" s="791"/>
      <c r="DQ31" s="33"/>
      <c r="DR31" s="33"/>
      <c r="DS31" s="33"/>
      <c r="DT31" s="33"/>
      <c r="DU31" s="33"/>
      <c r="DV31" s="33"/>
      <c r="DW31" s="33"/>
      <c r="DX31" s="33"/>
      <c r="DY31" s="790"/>
      <c r="DZ31" s="791"/>
      <c r="EA31" s="33"/>
      <c r="EB31" s="33"/>
      <c r="EC31" s="33"/>
      <c r="ED31" s="33"/>
      <c r="EE31" s="33"/>
      <c r="EF31" s="33"/>
      <c r="EG31" s="33"/>
      <c r="EH31" s="33"/>
      <c r="EI31" s="790"/>
      <c r="EJ31" s="791"/>
      <c r="EK31" s="33"/>
      <c r="EL31" s="33"/>
      <c r="EM31" s="33"/>
      <c r="EN31" s="33"/>
      <c r="EO31" s="33"/>
      <c r="EP31" s="33"/>
      <c r="EQ31" s="33"/>
      <c r="ER31" s="33"/>
      <c r="ES31" s="790"/>
      <c r="ET31" s="791"/>
      <c r="EU31" s="33"/>
      <c r="EV31" s="33"/>
      <c r="EW31" s="33"/>
      <c r="EX31" s="33"/>
      <c r="EY31" s="33"/>
      <c r="EZ31" s="33"/>
      <c r="FA31" s="33"/>
      <c r="FB31" s="33"/>
      <c r="FC31" s="790"/>
      <c r="FD31" s="791"/>
      <c r="FE31" s="33"/>
      <c r="FF31" s="33"/>
      <c r="FG31" s="33"/>
      <c r="FH31" s="33"/>
      <c r="FI31" s="33"/>
      <c r="FJ31" s="33"/>
      <c r="FK31" s="33"/>
      <c r="FL31" s="33"/>
      <c r="FM31" s="790"/>
      <c r="FN31" s="791"/>
      <c r="FO31" s="33"/>
      <c r="FP31" s="33"/>
      <c r="FQ31" s="33"/>
      <c r="FR31" s="33"/>
      <c r="FS31" s="33"/>
      <c r="FT31" s="33"/>
      <c r="FU31" s="33"/>
      <c r="FV31" s="33"/>
      <c r="FW31" s="790"/>
      <c r="FX31" s="791"/>
      <c r="FY31" s="33"/>
      <c r="FZ31" s="33"/>
      <c r="GA31" s="33"/>
      <c r="GB31" s="33"/>
      <c r="GC31" s="33"/>
      <c r="GD31" s="33"/>
      <c r="GE31" s="33"/>
      <c r="GF31" s="33"/>
      <c r="GG31" s="790"/>
      <c r="GH31" s="791"/>
      <c r="GI31" s="33"/>
      <c r="GJ31" s="33"/>
      <c r="GK31" s="33"/>
      <c r="GL31" s="33"/>
      <c r="GM31" s="33"/>
      <c r="GN31" s="33"/>
      <c r="GO31" s="33"/>
      <c r="GP31" s="33"/>
      <c r="GQ31" s="790"/>
      <c r="GR31" s="791"/>
      <c r="GS31" s="33"/>
      <c r="GT31" s="33"/>
      <c r="GU31" s="33"/>
      <c r="GV31" s="33"/>
      <c r="GW31" s="33"/>
      <c r="GX31" s="33"/>
      <c r="GY31" s="33"/>
      <c r="GZ31" s="33"/>
      <c r="HA31" s="790"/>
      <c r="HB31" s="791"/>
      <c r="HC31" s="33"/>
      <c r="HD31" s="33"/>
      <c r="HE31" s="33"/>
      <c r="HF31" s="33"/>
      <c r="HG31" s="33"/>
      <c r="HH31" s="33"/>
      <c r="HI31" s="33"/>
      <c r="HJ31" s="33"/>
      <c r="HK31" s="790"/>
      <c r="HL31" s="791"/>
      <c r="HM31" s="33"/>
      <c r="HN31" s="33"/>
      <c r="HO31" s="33"/>
      <c r="HP31" s="33"/>
      <c r="HQ31" s="33"/>
      <c r="HR31" s="33"/>
      <c r="HS31" s="33"/>
      <c r="HT31" s="33"/>
      <c r="HU31" s="790"/>
      <c r="HV31" s="791"/>
      <c r="HW31" s="33"/>
      <c r="HX31" s="33"/>
      <c r="HY31" s="33"/>
      <c r="HZ31" s="33"/>
      <c r="IA31" s="33"/>
      <c r="IB31" s="33"/>
      <c r="IC31" s="33"/>
      <c r="ID31" s="33"/>
      <c r="IE31" s="790"/>
      <c r="IF31" s="791"/>
      <c r="IG31" s="33"/>
      <c r="IH31" s="33"/>
      <c r="II31" s="33"/>
      <c r="IJ31" s="33"/>
      <c r="IK31" s="33"/>
      <c r="IL31" s="33"/>
      <c r="IM31" s="33"/>
      <c r="IN31" s="33"/>
      <c r="IO31" s="790"/>
      <c r="IP31" s="790"/>
      <c r="IQ31" s="788"/>
      <c r="IR31" s="792"/>
      <c r="IS31" s="792"/>
      <c r="IT31" s="792"/>
      <c r="IU31" s="792"/>
      <c r="IV31" s="792"/>
      <c r="IW31" s="792"/>
      <c r="IX31" s="507"/>
      <c r="IY31" s="193"/>
    </row>
    <row r="32" spans="2:259" ht="15.75" thickBot="1" x14ac:dyDescent="0.3">
      <c r="B32" s="805"/>
      <c r="C32" s="820"/>
      <c r="D32" s="821"/>
      <c r="E32" s="821"/>
      <c r="F32" s="821"/>
      <c r="G32" s="821"/>
      <c r="H32" s="192"/>
      <c r="I32" s="547"/>
      <c r="J32" s="40"/>
      <c r="K32" s="692"/>
      <c r="L32" s="692"/>
      <c r="M32" s="692"/>
      <c r="N32" s="692"/>
      <c r="O32" s="692"/>
      <c r="P32" s="692"/>
      <c r="Q32" s="692"/>
      <c r="R32" s="692"/>
      <c r="S32" s="827"/>
      <c r="T32" s="692"/>
      <c r="U32" s="692"/>
      <c r="V32" s="692"/>
      <c r="W32" s="692"/>
      <c r="X32" s="807"/>
      <c r="Y32" s="46"/>
      <c r="AD32" s="124"/>
      <c r="AT32" s="507"/>
      <c r="AU32" s="789"/>
      <c r="AV32" s="789"/>
      <c r="AW32" s="789"/>
      <c r="AX32" s="791"/>
      <c r="AY32" s="33"/>
      <c r="AZ32" s="33"/>
      <c r="BA32" s="33"/>
      <c r="BB32" s="33"/>
      <c r="BC32" s="33"/>
      <c r="BD32" s="33"/>
      <c r="BE32" s="33"/>
      <c r="BF32" s="33"/>
      <c r="BG32" s="790"/>
      <c r="BH32" s="791"/>
      <c r="BI32" s="33"/>
      <c r="BJ32" s="33"/>
      <c r="BK32" s="33"/>
      <c r="BL32" s="33"/>
      <c r="BM32" s="33"/>
      <c r="BN32" s="33"/>
      <c r="BO32" s="33"/>
      <c r="BP32" s="33"/>
      <c r="BQ32" s="790"/>
      <c r="BR32" s="791"/>
      <c r="BS32" s="33"/>
      <c r="BT32" s="33"/>
      <c r="BU32" s="33"/>
      <c r="BV32" s="33"/>
      <c r="BW32" s="33"/>
      <c r="BX32" s="33"/>
      <c r="BY32" s="33"/>
      <c r="BZ32" s="33"/>
      <c r="CA32" s="790"/>
      <c r="CB32" s="791"/>
      <c r="CC32" s="33"/>
      <c r="CD32" s="33"/>
      <c r="CE32" s="33"/>
      <c r="CF32" s="33"/>
      <c r="CG32" s="33"/>
      <c r="CH32" s="33"/>
      <c r="CI32" s="33"/>
      <c r="CJ32" s="33"/>
      <c r="CK32" s="790"/>
      <c r="CL32" s="791"/>
      <c r="CM32" s="33"/>
      <c r="CN32" s="33"/>
      <c r="CO32" s="33"/>
      <c r="CP32" s="33"/>
      <c r="CQ32" s="33"/>
      <c r="CR32" s="33"/>
      <c r="CS32" s="33"/>
      <c r="CT32" s="33"/>
      <c r="CU32" s="790"/>
      <c r="CV32" s="791"/>
      <c r="CW32" s="33"/>
      <c r="CX32" s="33"/>
      <c r="CY32" s="33"/>
      <c r="CZ32" s="33"/>
      <c r="DA32" s="33"/>
      <c r="DB32" s="33"/>
      <c r="DC32" s="33"/>
      <c r="DD32" s="33"/>
      <c r="DE32" s="790"/>
      <c r="DF32" s="791"/>
      <c r="DG32" s="33"/>
      <c r="DH32" s="33"/>
      <c r="DI32" s="33"/>
      <c r="DJ32" s="33"/>
      <c r="DK32" s="33"/>
      <c r="DL32" s="33"/>
      <c r="DM32" s="33"/>
      <c r="DN32" s="33"/>
      <c r="DO32" s="790"/>
      <c r="DP32" s="791"/>
      <c r="DQ32" s="33"/>
      <c r="DR32" s="33"/>
      <c r="DS32" s="33"/>
      <c r="DT32" s="33"/>
      <c r="DU32" s="33"/>
      <c r="DV32" s="33"/>
      <c r="DW32" s="33"/>
      <c r="DX32" s="33"/>
      <c r="DY32" s="790"/>
      <c r="DZ32" s="791"/>
      <c r="EA32" s="33"/>
      <c r="EB32" s="33"/>
      <c r="EC32" s="33"/>
      <c r="ED32" s="33"/>
      <c r="EE32" s="33"/>
      <c r="EF32" s="33"/>
      <c r="EG32" s="33"/>
      <c r="EH32" s="33"/>
      <c r="EI32" s="790"/>
      <c r="EJ32" s="791"/>
      <c r="EK32" s="33"/>
      <c r="EL32" s="33"/>
      <c r="EM32" s="33"/>
      <c r="EN32" s="33"/>
      <c r="EO32" s="33"/>
      <c r="EP32" s="33"/>
      <c r="EQ32" s="33"/>
      <c r="ER32" s="33"/>
      <c r="ES32" s="790"/>
      <c r="ET32" s="791"/>
      <c r="EU32" s="33"/>
      <c r="EV32" s="33"/>
      <c r="EW32" s="33"/>
      <c r="EX32" s="33"/>
      <c r="EY32" s="33"/>
      <c r="EZ32" s="33"/>
      <c r="FA32" s="33"/>
      <c r="FB32" s="33"/>
      <c r="FC32" s="790"/>
      <c r="FD32" s="791"/>
      <c r="FE32" s="33"/>
      <c r="FF32" s="33"/>
      <c r="FG32" s="33"/>
      <c r="FH32" s="33"/>
      <c r="FI32" s="33"/>
      <c r="FJ32" s="33"/>
      <c r="FK32" s="33"/>
      <c r="FL32" s="33"/>
      <c r="FM32" s="790"/>
      <c r="FN32" s="791"/>
      <c r="FO32" s="33"/>
      <c r="FP32" s="33"/>
      <c r="FQ32" s="33"/>
      <c r="FR32" s="33"/>
      <c r="FS32" s="33"/>
      <c r="FT32" s="33"/>
      <c r="FU32" s="33"/>
      <c r="FV32" s="33"/>
      <c r="FW32" s="790"/>
      <c r="FX32" s="791"/>
      <c r="FY32" s="33"/>
      <c r="FZ32" s="33"/>
      <c r="GA32" s="33"/>
      <c r="GB32" s="33"/>
      <c r="GC32" s="33"/>
      <c r="GD32" s="33"/>
      <c r="GE32" s="33"/>
      <c r="GF32" s="33"/>
      <c r="GG32" s="790"/>
      <c r="GH32" s="791"/>
      <c r="GI32" s="33"/>
      <c r="GJ32" s="33"/>
      <c r="GK32" s="33"/>
      <c r="GL32" s="33"/>
      <c r="GM32" s="33"/>
      <c r="GN32" s="33"/>
      <c r="GO32" s="33"/>
      <c r="GP32" s="33"/>
      <c r="GQ32" s="790"/>
      <c r="GR32" s="791"/>
      <c r="GS32" s="33"/>
      <c r="GT32" s="33"/>
      <c r="GU32" s="33"/>
      <c r="GV32" s="33"/>
      <c r="GW32" s="33"/>
      <c r="GX32" s="33"/>
      <c r="GY32" s="33"/>
      <c r="GZ32" s="33"/>
      <c r="HA32" s="790"/>
      <c r="HB32" s="791"/>
      <c r="HC32" s="33"/>
      <c r="HD32" s="33"/>
      <c r="HE32" s="33"/>
      <c r="HF32" s="33"/>
      <c r="HG32" s="33"/>
      <c r="HH32" s="33"/>
      <c r="HI32" s="33"/>
      <c r="HJ32" s="33"/>
      <c r="HK32" s="790"/>
      <c r="HL32" s="791"/>
      <c r="HM32" s="33"/>
      <c r="HN32" s="33"/>
      <c r="HO32" s="33"/>
      <c r="HP32" s="33"/>
      <c r="HQ32" s="33"/>
      <c r="HR32" s="33"/>
      <c r="HS32" s="33"/>
      <c r="HT32" s="33"/>
      <c r="HU32" s="790"/>
      <c r="HV32" s="791"/>
      <c r="HW32" s="33"/>
      <c r="HX32" s="33"/>
      <c r="HY32" s="33"/>
      <c r="HZ32" s="33"/>
      <c r="IA32" s="33"/>
      <c r="IB32" s="33"/>
      <c r="IC32" s="33"/>
      <c r="ID32" s="33"/>
      <c r="IE32" s="790"/>
      <c r="IF32" s="791"/>
      <c r="IG32" s="33"/>
      <c r="IH32" s="33"/>
      <c r="II32" s="33"/>
      <c r="IJ32" s="33"/>
      <c r="IK32" s="33"/>
      <c r="IL32" s="33"/>
      <c r="IM32" s="33"/>
      <c r="IN32" s="33"/>
      <c r="IO32" s="790"/>
      <c r="IP32" s="790"/>
      <c r="IQ32" s="788"/>
      <c r="IR32" s="792"/>
      <c r="IS32" s="792"/>
      <c r="IT32" s="792"/>
      <c r="IU32" s="792"/>
      <c r="IV32" s="792"/>
      <c r="IW32" s="792"/>
      <c r="IX32" s="507"/>
      <c r="IY32" s="193"/>
    </row>
    <row r="33" spans="2:259" ht="15.75" thickBot="1" x14ac:dyDescent="0.3">
      <c r="B33" s="805"/>
      <c r="C33" s="820"/>
      <c r="D33" s="821"/>
      <c r="E33" s="821"/>
      <c r="F33" s="821"/>
      <c r="G33" s="821"/>
      <c r="H33" s="192"/>
      <c r="I33" s="547"/>
      <c r="J33" s="40"/>
      <c r="K33" s="692"/>
      <c r="L33" s="692"/>
      <c r="M33" s="692"/>
      <c r="N33" s="692"/>
      <c r="O33" s="692"/>
      <c r="P33" s="692"/>
      <c r="Q33" s="692"/>
      <c r="R33" s="692"/>
      <c r="S33" s="827"/>
      <c r="T33" s="692"/>
      <c r="U33" s="692"/>
      <c r="V33" s="692"/>
      <c r="W33" s="692"/>
      <c r="X33" s="807"/>
      <c r="Y33" s="46"/>
      <c r="AD33" s="124"/>
      <c r="AT33" s="507"/>
      <c r="AU33" s="789"/>
      <c r="AV33" s="789"/>
      <c r="AW33" s="789"/>
      <c r="AX33" s="791"/>
      <c r="AY33" s="33"/>
      <c r="AZ33" s="33"/>
      <c r="BA33" s="33"/>
      <c r="BB33" s="33"/>
      <c r="BC33" s="33"/>
      <c r="BD33" s="33"/>
      <c r="BE33" s="33"/>
      <c r="BF33" s="33"/>
      <c r="BG33" s="790"/>
      <c r="BH33" s="791"/>
      <c r="BI33" s="33"/>
      <c r="BJ33" s="33"/>
      <c r="BK33" s="33"/>
      <c r="BL33" s="33"/>
      <c r="BM33" s="33"/>
      <c r="BN33" s="33"/>
      <c r="BO33" s="33"/>
      <c r="BP33" s="33"/>
      <c r="BQ33" s="790"/>
      <c r="BR33" s="791"/>
      <c r="BS33" s="33"/>
      <c r="BT33" s="33"/>
      <c r="BU33" s="33"/>
      <c r="BV33" s="33"/>
      <c r="BW33" s="33"/>
      <c r="BX33" s="33"/>
      <c r="BY33" s="33"/>
      <c r="BZ33" s="33"/>
      <c r="CA33" s="790"/>
      <c r="CB33" s="791"/>
      <c r="CC33" s="33"/>
      <c r="CD33" s="33"/>
      <c r="CE33" s="33"/>
      <c r="CF33" s="33"/>
      <c r="CG33" s="33"/>
      <c r="CH33" s="33"/>
      <c r="CI33" s="33"/>
      <c r="CJ33" s="33"/>
      <c r="CK33" s="790"/>
      <c r="CL33" s="791"/>
      <c r="CM33" s="33"/>
      <c r="CN33" s="33"/>
      <c r="CO33" s="33"/>
      <c r="CP33" s="33"/>
      <c r="CQ33" s="33"/>
      <c r="CR33" s="33"/>
      <c r="CS33" s="33"/>
      <c r="CT33" s="33"/>
      <c r="CU33" s="790"/>
      <c r="CV33" s="791"/>
      <c r="CW33" s="33"/>
      <c r="CX33" s="33"/>
      <c r="CY33" s="33"/>
      <c r="CZ33" s="33"/>
      <c r="DA33" s="33"/>
      <c r="DB33" s="33"/>
      <c r="DC33" s="33"/>
      <c r="DD33" s="33"/>
      <c r="DE33" s="790"/>
      <c r="DF33" s="791"/>
      <c r="DG33" s="33"/>
      <c r="DH33" s="33"/>
      <c r="DI33" s="33"/>
      <c r="DJ33" s="33"/>
      <c r="DK33" s="33"/>
      <c r="DL33" s="33"/>
      <c r="DM33" s="33"/>
      <c r="DN33" s="33"/>
      <c r="DO33" s="790"/>
      <c r="DP33" s="791"/>
      <c r="DQ33" s="33"/>
      <c r="DR33" s="33"/>
      <c r="DS33" s="33"/>
      <c r="DT33" s="33"/>
      <c r="DU33" s="33"/>
      <c r="DV33" s="33"/>
      <c r="DW33" s="33"/>
      <c r="DX33" s="33"/>
      <c r="DY33" s="790"/>
      <c r="DZ33" s="791"/>
      <c r="EA33" s="33"/>
      <c r="EB33" s="33"/>
      <c r="EC33" s="33"/>
      <c r="ED33" s="33"/>
      <c r="EE33" s="33"/>
      <c r="EF33" s="33"/>
      <c r="EG33" s="33"/>
      <c r="EH33" s="33"/>
      <c r="EI33" s="790"/>
      <c r="EJ33" s="791"/>
      <c r="EK33" s="33"/>
      <c r="EL33" s="33"/>
      <c r="EM33" s="33"/>
      <c r="EN33" s="33"/>
      <c r="EO33" s="33"/>
      <c r="EP33" s="33"/>
      <c r="EQ33" s="33"/>
      <c r="ER33" s="33"/>
      <c r="ES33" s="790"/>
      <c r="ET33" s="791"/>
      <c r="EU33" s="33"/>
      <c r="EV33" s="33"/>
      <c r="EW33" s="33"/>
      <c r="EX33" s="33"/>
      <c r="EY33" s="33"/>
      <c r="EZ33" s="33"/>
      <c r="FA33" s="33"/>
      <c r="FB33" s="33"/>
      <c r="FC33" s="790"/>
      <c r="FD33" s="791"/>
      <c r="FE33" s="33"/>
      <c r="FF33" s="33"/>
      <c r="FG33" s="33"/>
      <c r="FH33" s="33"/>
      <c r="FI33" s="33"/>
      <c r="FJ33" s="33"/>
      <c r="FK33" s="33"/>
      <c r="FL33" s="33"/>
      <c r="FM33" s="790"/>
      <c r="FN33" s="791"/>
      <c r="FO33" s="791"/>
      <c r="FP33" s="33"/>
      <c r="FQ33" s="33"/>
      <c r="FR33" s="33"/>
      <c r="FS33" s="33"/>
      <c r="FT33" s="33"/>
      <c r="FU33" s="33"/>
      <c r="FV33" s="33"/>
      <c r="FW33" s="33"/>
      <c r="FX33" s="791"/>
      <c r="FY33" s="791"/>
      <c r="FZ33" s="33"/>
      <c r="GA33" s="33"/>
      <c r="GB33" s="33"/>
      <c r="GC33" s="33"/>
      <c r="GD33" s="33"/>
      <c r="GE33" s="33"/>
      <c r="GF33" s="33"/>
      <c r="GG33" s="33"/>
      <c r="GH33" s="791"/>
      <c r="GI33" s="791"/>
      <c r="GJ33" s="33"/>
      <c r="GK33" s="33"/>
      <c r="GL33" s="33"/>
      <c r="GM33" s="33"/>
      <c r="GN33" s="33"/>
      <c r="GO33" s="33"/>
      <c r="GP33" s="33"/>
      <c r="GQ33" s="33"/>
      <c r="GR33" s="791"/>
      <c r="GS33" s="791"/>
      <c r="GT33" s="33"/>
      <c r="GU33" s="33"/>
      <c r="GV33" s="33"/>
      <c r="GW33" s="33"/>
      <c r="GX33" s="33"/>
      <c r="GY33" s="33"/>
      <c r="GZ33" s="33"/>
      <c r="HA33" s="33"/>
      <c r="HB33" s="791"/>
      <c r="HC33" s="791"/>
      <c r="HD33" s="33"/>
      <c r="HE33" s="33"/>
      <c r="HF33" s="33"/>
      <c r="HG33" s="33"/>
      <c r="HH33" s="33"/>
      <c r="HI33" s="33"/>
      <c r="HJ33" s="33"/>
      <c r="HK33" s="33"/>
      <c r="HL33" s="791"/>
      <c r="HM33" s="791"/>
      <c r="HN33" s="33"/>
      <c r="HO33" s="33"/>
      <c r="HP33" s="33"/>
      <c r="HQ33" s="33"/>
      <c r="HR33" s="33"/>
      <c r="HS33" s="33"/>
      <c r="HT33" s="33"/>
      <c r="HU33" s="33"/>
      <c r="HV33" s="791"/>
      <c r="HW33" s="791"/>
      <c r="HX33" s="33"/>
      <c r="HY33" s="33"/>
      <c r="HZ33" s="33"/>
      <c r="IA33" s="33"/>
      <c r="IB33" s="33"/>
      <c r="IC33" s="33"/>
      <c r="ID33" s="33"/>
      <c r="IE33" s="33"/>
      <c r="IF33" s="791"/>
      <c r="IG33" s="791"/>
      <c r="IH33" s="33"/>
      <c r="II33" s="33"/>
      <c r="IJ33" s="33"/>
      <c r="IK33" s="33"/>
      <c r="IL33" s="33"/>
      <c r="IM33" s="33"/>
      <c r="IN33" s="792"/>
      <c r="IO33" s="792"/>
      <c r="IP33" s="792"/>
      <c r="IQ33" s="788"/>
      <c r="IR33" s="792"/>
      <c r="IS33" s="792"/>
      <c r="IT33" s="792"/>
      <c r="IU33" s="792"/>
      <c r="IV33" s="792"/>
      <c r="IW33" s="792"/>
      <c r="IX33" s="507"/>
      <c r="IY33" s="193"/>
    </row>
    <row r="34" spans="2:259" ht="15.75" thickBot="1" x14ac:dyDescent="0.3">
      <c r="B34" s="805"/>
      <c r="C34" s="820"/>
      <c r="D34" s="821"/>
      <c r="E34" s="821"/>
      <c r="F34" s="821"/>
      <c r="G34" s="821"/>
      <c r="H34" s="192"/>
      <c r="I34" s="829"/>
      <c r="J34" s="405"/>
      <c r="K34" s="822"/>
      <c r="L34" s="822"/>
      <c r="M34" s="822"/>
      <c r="N34" s="822"/>
      <c r="O34" s="822"/>
      <c r="P34" s="822"/>
      <c r="Q34" s="822"/>
      <c r="R34" s="822"/>
      <c r="S34" s="830"/>
      <c r="T34" s="692"/>
      <c r="U34" s="692"/>
      <c r="V34" s="692"/>
      <c r="W34" s="692"/>
      <c r="X34" s="807"/>
      <c r="Y34" s="46"/>
      <c r="AD34" s="124"/>
      <c r="AT34" s="507"/>
      <c r="AU34" s="789"/>
      <c r="AV34" s="789"/>
      <c r="AW34" s="789"/>
      <c r="AX34" s="791"/>
      <c r="AY34" s="33"/>
      <c r="AZ34" s="33"/>
      <c r="BA34" s="33"/>
      <c r="BB34" s="33"/>
      <c r="BC34" s="33"/>
      <c r="BD34" s="33"/>
      <c r="BE34" s="33"/>
      <c r="BF34" s="33"/>
      <c r="BG34" s="790"/>
      <c r="BH34" s="791"/>
      <c r="BI34" s="33"/>
      <c r="BJ34" s="33"/>
      <c r="BK34" s="33"/>
      <c r="BL34" s="33"/>
      <c r="BM34" s="33"/>
      <c r="BN34" s="33"/>
      <c r="BO34" s="33"/>
      <c r="BP34" s="33"/>
      <c r="BQ34" s="790"/>
      <c r="BR34" s="791"/>
      <c r="BS34" s="33"/>
      <c r="BT34" s="33"/>
      <c r="BU34" s="33"/>
      <c r="BV34" s="33"/>
      <c r="BW34" s="33"/>
      <c r="BX34" s="33"/>
      <c r="BY34" s="33"/>
      <c r="BZ34" s="33"/>
      <c r="CA34" s="790"/>
      <c r="CB34" s="791"/>
      <c r="CC34" s="33"/>
      <c r="CD34" s="33"/>
      <c r="CE34" s="33"/>
      <c r="CF34" s="33"/>
      <c r="CG34" s="33"/>
      <c r="CH34" s="33"/>
      <c r="CI34" s="33"/>
      <c r="CJ34" s="33"/>
      <c r="CK34" s="790"/>
      <c r="CL34" s="791"/>
      <c r="CM34" s="33"/>
      <c r="CN34" s="33"/>
      <c r="CO34" s="33"/>
      <c r="CP34" s="33"/>
      <c r="CQ34" s="33"/>
      <c r="CR34" s="33"/>
      <c r="CS34" s="33"/>
      <c r="CT34" s="33"/>
      <c r="CU34" s="790"/>
      <c r="CV34" s="791"/>
      <c r="CW34" s="33"/>
      <c r="CX34" s="33"/>
      <c r="CY34" s="33"/>
      <c r="CZ34" s="33"/>
      <c r="DA34" s="33"/>
      <c r="DB34" s="33"/>
      <c r="DC34" s="33"/>
      <c r="DD34" s="33"/>
      <c r="DE34" s="790"/>
      <c r="DF34" s="791"/>
      <c r="DG34" s="33"/>
      <c r="DH34" s="33"/>
      <c r="DI34" s="33"/>
      <c r="DJ34" s="33"/>
      <c r="DK34" s="33"/>
      <c r="DL34" s="33"/>
      <c r="DM34" s="33"/>
      <c r="DN34" s="33"/>
      <c r="DO34" s="790"/>
      <c r="DP34" s="791"/>
      <c r="DQ34" s="33"/>
      <c r="DR34" s="33"/>
      <c r="DS34" s="33"/>
      <c r="DT34" s="33"/>
      <c r="DU34" s="33"/>
      <c r="DV34" s="33"/>
      <c r="DW34" s="33"/>
      <c r="DX34" s="33"/>
      <c r="DY34" s="790"/>
      <c r="DZ34" s="791"/>
      <c r="EA34" s="33"/>
      <c r="EB34" s="33"/>
      <c r="EC34" s="33"/>
      <c r="ED34" s="33"/>
      <c r="EE34" s="33"/>
      <c r="EF34" s="33"/>
      <c r="EG34" s="33"/>
      <c r="EH34" s="33"/>
      <c r="EI34" s="790"/>
      <c r="EJ34" s="791"/>
      <c r="EK34" s="33"/>
      <c r="EL34" s="33"/>
      <c r="EM34" s="33"/>
      <c r="EN34" s="33"/>
      <c r="EO34" s="33"/>
      <c r="EP34" s="33"/>
      <c r="EQ34" s="33"/>
      <c r="ER34" s="33"/>
      <c r="ES34" s="790"/>
      <c r="ET34" s="791"/>
      <c r="EU34" s="33"/>
      <c r="EV34" s="33"/>
      <c r="EW34" s="33"/>
      <c r="EX34" s="33"/>
      <c r="EY34" s="33"/>
      <c r="EZ34" s="33"/>
      <c r="FA34" s="33"/>
      <c r="FB34" s="33"/>
      <c r="FC34" s="790"/>
      <c r="FD34" s="791"/>
      <c r="FE34" s="33"/>
      <c r="FF34" s="33"/>
      <c r="FG34" s="33"/>
      <c r="FH34" s="33"/>
      <c r="FI34" s="33"/>
      <c r="FJ34" s="33"/>
      <c r="FK34" s="33"/>
      <c r="FL34" s="33"/>
      <c r="FM34" s="790"/>
      <c r="FN34" s="791"/>
      <c r="FO34" s="791"/>
      <c r="FP34" s="33"/>
      <c r="FQ34" s="33"/>
      <c r="FR34" s="33"/>
      <c r="FS34" s="33"/>
      <c r="FT34" s="33"/>
      <c r="FU34" s="33"/>
      <c r="FV34" s="33"/>
      <c r="FW34" s="33"/>
      <c r="FX34" s="791"/>
      <c r="FY34" s="791"/>
      <c r="FZ34" s="33"/>
      <c r="GA34" s="33"/>
      <c r="GB34" s="33"/>
      <c r="GC34" s="33"/>
      <c r="GD34" s="33"/>
      <c r="GE34" s="33"/>
      <c r="GF34" s="33"/>
      <c r="GG34" s="33"/>
      <c r="GH34" s="791"/>
      <c r="GI34" s="791"/>
      <c r="GJ34" s="33"/>
      <c r="GK34" s="33"/>
      <c r="GL34" s="33"/>
      <c r="GM34" s="33"/>
      <c r="GN34" s="791"/>
      <c r="GO34" s="791"/>
      <c r="GP34" s="791"/>
      <c r="GQ34" s="791"/>
      <c r="GR34" s="791"/>
      <c r="GS34" s="791"/>
      <c r="GT34" s="791"/>
      <c r="GU34" s="791"/>
      <c r="GV34" s="791"/>
      <c r="GW34" s="791"/>
      <c r="GX34" s="791"/>
      <c r="GY34" s="791"/>
      <c r="GZ34" s="791"/>
      <c r="HA34" s="791"/>
      <c r="HB34" s="791"/>
      <c r="HC34" s="791"/>
      <c r="HD34" s="791"/>
      <c r="HE34" s="791"/>
      <c r="HF34" s="791"/>
      <c r="HG34" s="791"/>
      <c r="HH34" s="791"/>
      <c r="HI34" s="791"/>
      <c r="HJ34" s="791"/>
      <c r="HK34" s="791"/>
      <c r="HL34" s="791"/>
      <c r="HM34" s="791"/>
      <c r="HN34" s="33"/>
      <c r="HO34" s="33"/>
      <c r="HP34" s="33"/>
      <c r="HQ34" s="33"/>
      <c r="HR34" s="33"/>
      <c r="HS34" s="33"/>
      <c r="HT34" s="33"/>
      <c r="HU34" s="33"/>
      <c r="HV34" s="33"/>
      <c r="HW34" s="33"/>
      <c r="HX34" s="33"/>
      <c r="HY34" s="33"/>
      <c r="HZ34" s="33"/>
      <c r="IA34" s="33"/>
      <c r="IB34" s="33"/>
      <c r="IC34" s="33"/>
      <c r="ID34" s="33"/>
      <c r="IE34" s="33"/>
      <c r="IF34" s="791"/>
      <c r="IG34" s="791"/>
      <c r="IH34" s="33"/>
      <c r="II34" s="33"/>
      <c r="IJ34" s="33"/>
      <c r="IK34" s="33"/>
      <c r="IL34" s="33"/>
      <c r="IM34" s="33"/>
      <c r="IN34" s="792"/>
      <c r="IO34" s="792"/>
      <c r="IP34" s="792"/>
      <c r="IQ34" s="788"/>
      <c r="IR34" s="792"/>
      <c r="IS34" s="792"/>
      <c r="IT34" s="792"/>
      <c r="IU34" s="792"/>
      <c r="IV34" s="792"/>
      <c r="IW34" s="792"/>
      <c r="IX34" s="507"/>
      <c r="IY34" s="193"/>
    </row>
    <row r="35" spans="2:259" ht="15.75" thickBot="1" x14ac:dyDescent="0.3">
      <c r="B35" s="805"/>
      <c r="C35" s="809"/>
      <c r="D35" s="692"/>
      <c r="E35" s="692"/>
      <c r="F35" s="692"/>
      <c r="G35" s="692"/>
      <c r="H35" s="692"/>
      <c r="I35" s="692"/>
      <c r="J35" s="692"/>
      <c r="K35" s="692"/>
      <c r="L35" s="692"/>
      <c r="M35" s="692"/>
      <c r="N35" s="692"/>
      <c r="O35" s="692"/>
      <c r="P35" s="692"/>
      <c r="Q35" s="692"/>
      <c r="R35" s="692"/>
      <c r="S35" s="692"/>
      <c r="T35" s="692"/>
      <c r="U35" s="692"/>
      <c r="V35" s="692"/>
      <c r="W35" s="692"/>
      <c r="X35" s="807"/>
      <c r="Y35" s="46"/>
      <c r="AT35" s="507"/>
      <c r="AU35" s="789"/>
      <c r="AV35" s="789"/>
      <c r="AW35" s="789"/>
      <c r="AX35" s="791"/>
      <c r="AY35" s="33"/>
      <c r="AZ35" s="33"/>
      <c r="BA35" s="33"/>
      <c r="BB35" s="33"/>
      <c r="BC35" s="33"/>
      <c r="BD35" s="33"/>
      <c r="BE35" s="33"/>
      <c r="BF35" s="33"/>
      <c r="BG35" s="790"/>
      <c r="BH35" s="791"/>
      <c r="BI35" s="33"/>
      <c r="BJ35" s="33"/>
      <c r="BK35" s="33"/>
      <c r="BL35" s="33"/>
      <c r="BM35" s="33"/>
      <c r="BN35" s="33"/>
      <c r="BO35" s="33"/>
      <c r="BP35" s="33"/>
      <c r="BQ35" s="790"/>
      <c r="BR35" s="791"/>
      <c r="BS35" s="33"/>
      <c r="BT35" s="33"/>
      <c r="BU35" s="33"/>
      <c r="BV35" s="33"/>
      <c r="BW35" s="33"/>
      <c r="BX35" s="33"/>
      <c r="BY35" s="33"/>
      <c r="BZ35" s="33"/>
      <c r="CA35" s="790"/>
      <c r="CB35" s="791"/>
      <c r="CC35" s="33"/>
      <c r="CD35" s="33"/>
      <c r="CE35" s="33"/>
      <c r="CF35" s="33"/>
      <c r="CG35" s="33"/>
      <c r="CH35" s="33"/>
      <c r="CI35" s="33"/>
      <c r="CJ35" s="33"/>
      <c r="CK35" s="790"/>
      <c r="CL35" s="791"/>
      <c r="CM35" s="33"/>
      <c r="CN35" s="33"/>
      <c r="CO35" s="33"/>
      <c r="CP35" s="33"/>
      <c r="CQ35" s="33"/>
      <c r="CR35" s="33"/>
      <c r="CS35" s="33"/>
      <c r="CT35" s="33"/>
      <c r="CU35" s="790"/>
      <c r="CV35" s="791"/>
      <c r="CW35" s="33"/>
      <c r="CX35" s="33"/>
      <c r="CY35" s="33"/>
      <c r="CZ35" s="33"/>
      <c r="DA35" s="33"/>
      <c r="DB35" s="33"/>
      <c r="DC35" s="33"/>
      <c r="DD35" s="33"/>
      <c r="DE35" s="790"/>
      <c r="DF35" s="791"/>
      <c r="DG35" s="33"/>
      <c r="DH35" s="33"/>
      <c r="DI35" s="33"/>
      <c r="DJ35" s="33"/>
      <c r="DK35" s="33"/>
      <c r="DL35" s="33"/>
      <c r="DM35" s="33"/>
      <c r="DN35" s="33"/>
      <c r="DO35" s="790"/>
      <c r="DP35" s="791"/>
      <c r="DQ35" s="33"/>
      <c r="DR35" s="33"/>
      <c r="DS35" s="33"/>
      <c r="DT35" s="33"/>
      <c r="DU35" s="33"/>
      <c r="DV35" s="33"/>
      <c r="DW35" s="33"/>
      <c r="DX35" s="33"/>
      <c r="DY35" s="790"/>
      <c r="DZ35" s="791"/>
      <c r="EA35" s="33"/>
      <c r="EB35" s="33"/>
      <c r="EC35" s="33"/>
      <c r="ED35" s="33"/>
      <c r="EE35" s="33"/>
      <c r="EF35" s="33"/>
      <c r="EG35" s="33"/>
      <c r="EH35" s="33"/>
      <c r="EI35" s="790"/>
      <c r="EJ35" s="791"/>
      <c r="EK35" s="33"/>
      <c r="EL35" s="33"/>
      <c r="EM35" s="33"/>
      <c r="EN35" s="33"/>
      <c r="EO35" s="33"/>
      <c r="EP35" s="33"/>
      <c r="EQ35" s="33"/>
      <c r="ER35" s="33"/>
      <c r="ES35" s="790"/>
      <c r="ET35" s="791"/>
      <c r="EU35" s="33"/>
      <c r="EV35" s="33"/>
      <c r="EW35" s="33"/>
      <c r="EX35" s="33"/>
      <c r="EY35" s="33"/>
      <c r="EZ35" s="33"/>
      <c r="FA35" s="33"/>
      <c r="FB35" s="33"/>
      <c r="FC35" s="790"/>
      <c r="FD35" s="791"/>
      <c r="FE35" s="33"/>
      <c r="FF35" s="33"/>
      <c r="FG35" s="33"/>
      <c r="FH35" s="33"/>
      <c r="FI35" s="33"/>
      <c r="FJ35" s="33"/>
      <c r="FK35" s="33"/>
      <c r="FL35" s="33"/>
      <c r="FM35" s="790"/>
      <c r="FN35" s="791"/>
      <c r="FO35" s="791"/>
      <c r="FP35" s="33"/>
      <c r="FQ35" s="33"/>
      <c r="FR35" s="33"/>
      <c r="FS35" s="33"/>
      <c r="FT35" s="33"/>
      <c r="FU35" s="33"/>
      <c r="FV35" s="791"/>
      <c r="FW35" s="791"/>
      <c r="FX35" s="791"/>
      <c r="FY35" s="791"/>
      <c r="FZ35" s="791"/>
      <c r="GA35" s="791"/>
      <c r="GB35" s="791"/>
      <c r="GC35" s="791"/>
      <c r="GD35" s="791"/>
      <c r="GE35" s="791"/>
      <c r="GF35" s="791"/>
      <c r="GG35" s="791"/>
      <c r="GH35" s="791"/>
      <c r="GI35" s="791"/>
      <c r="GJ35" s="33"/>
      <c r="GK35" s="33"/>
      <c r="GL35" s="33"/>
      <c r="GM35" s="33"/>
      <c r="GN35" s="791"/>
      <c r="GO35" s="791"/>
      <c r="GP35" s="791"/>
      <c r="GQ35" s="791"/>
      <c r="GR35" s="791"/>
      <c r="GS35" s="791"/>
      <c r="GT35" s="791"/>
      <c r="GU35" s="791"/>
      <c r="GV35" s="791"/>
      <c r="GW35" s="791"/>
      <c r="GX35" s="791"/>
      <c r="GY35" s="791"/>
      <c r="GZ35" s="791"/>
      <c r="HA35" s="791"/>
      <c r="HB35" s="791"/>
      <c r="HC35" s="791"/>
      <c r="HD35" s="791"/>
      <c r="HE35" s="791"/>
      <c r="HF35" s="791"/>
      <c r="HG35" s="791"/>
      <c r="HH35" s="791"/>
      <c r="HI35" s="791"/>
      <c r="HJ35" s="791"/>
      <c r="HK35" s="791"/>
      <c r="HL35" s="791"/>
      <c r="HM35" s="791"/>
      <c r="HN35" s="33"/>
      <c r="HO35" s="33"/>
      <c r="HP35" s="33"/>
      <c r="HQ35" s="33"/>
      <c r="HR35" s="33"/>
      <c r="HS35" s="33"/>
      <c r="HT35" s="33"/>
      <c r="HU35" s="33"/>
      <c r="HV35" s="33"/>
      <c r="HW35" s="33"/>
      <c r="HX35" s="33"/>
      <c r="HY35" s="33"/>
      <c r="HZ35" s="33"/>
      <c r="IA35" s="33"/>
      <c r="IB35" s="33"/>
      <c r="IC35" s="33"/>
      <c r="ID35" s="33"/>
      <c r="IE35" s="33"/>
      <c r="IF35" s="791"/>
      <c r="IG35" s="791"/>
      <c r="IH35" s="33"/>
      <c r="II35" s="33"/>
      <c r="IJ35" s="33"/>
      <c r="IK35" s="33"/>
      <c r="IL35" s="33"/>
      <c r="IM35" s="33"/>
      <c r="IN35" s="792"/>
      <c r="IO35" s="792"/>
      <c r="IP35" s="792"/>
      <c r="IQ35" s="788"/>
      <c r="IR35" s="792"/>
      <c r="IS35" s="792"/>
      <c r="IT35" s="792"/>
      <c r="IU35" s="792"/>
      <c r="IV35" s="792"/>
      <c r="IW35" s="792"/>
      <c r="IX35" s="507"/>
      <c r="IY35" s="193"/>
    </row>
    <row r="36" spans="2:259" ht="15.75" thickBot="1" x14ac:dyDescent="0.3">
      <c r="B36" s="805"/>
      <c r="C36" s="809"/>
      <c r="D36" s="692"/>
      <c r="E36" s="692"/>
      <c r="F36" s="692"/>
      <c r="G36" s="692"/>
      <c r="H36" s="692"/>
      <c r="I36" s="692"/>
      <c r="J36" s="692"/>
      <c r="K36" s="692"/>
      <c r="L36" s="692"/>
      <c r="M36" s="692"/>
      <c r="N36" s="692"/>
      <c r="O36" s="692"/>
      <c r="P36" s="692"/>
      <c r="Q36" s="692"/>
      <c r="R36" s="692"/>
      <c r="S36" s="692"/>
      <c r="T36" s="692"/>
      <c r="U36" s="692"/>
      <c r="V36" s="692"/>
      <c r="W36" s="692"/>
      <c r="X36" s="807"/>
      <c r="Y36" s="46"/>
      <c r="AT36" s="507"/>
      <c r="AU36" s="789"/>
      <c r="AV36" s="789"/>
      <c r="AW36" s="789"/>
      <c r="AX36" s="791"/>
      <c r="AY36" s="33"/>
      <c r="AZ36" s="33"/>
      <c r="BA36" s="33"/>
      <c r="BB36" s="33"/>
      <c r="BC36" s="33"/>
      <c r="BD36" s="33"/>
      <c r="BE36" s="33"/>
      <c r="BF36" s="33"/>
      <c r="BG36" s="790"/>
      <c r="BH36" s="791"/>
      <c r="BI36" s="33"/>
      <c r="BJ36" s="33"/>
      <c r="BK36" s="33"/>
      <c r="BL36" s="33"/>
      <c r="BM36" s="33"/>
      <c r="BN36" s="33"/>
      <c r="BO36" s="33"/>
      <c r="BP36" s="33"/>
      <c r="BQ36" s="790"/>
      <c r="BR36" s="791"/>
      <c r="BS36" s="33"/>
      <c r="BT36" s="33"/>
      <c r="BU36" s="33"/>
      <c r="BV36" s="33"/>
      <c r="BW36" s="33"/>
      <c r="BX36" s="33"/>
      <c r="BY36" s="33"/>
      <c r="BZ36" s="33"/>
      <c r="CA36" s="790"/>
      <c r="CB36" s="791"/>
      <c r="CC36" s="33"/>
      <c r="CD36" s="33"/>
      <c r="CE36" s="33"/>
      <c r="CF36" s="33"/>
      <c r="CG36" s="33"/>
      <c r="CH36" s="33"/>
      <c r="CI36" s="33"/>
      <c r="CJ36" s="33"/>
      <c r="CK36" s="790"/>
      <c r="CL36" s="791"/>
      <c r="CM36" s="33"/>
      <c r="CN36" s="33"/>
      <c r="CO36" s="33"/>
      <c r="CP36" s="33"/>
      <c r="CQ36" s="33"/>
      <c r="CR36" s="33"/>
      <c r="CS36" s="33"/>
      <c r="CT36" s="33"/>
      <c r="CU36" s="790"/>
      <c r="CV36" s="791"/>
      <c r="CW36" s="33"/>
      <c r="CX36" s="33"/>
      <c r="CY36" s="33"/>
      <c r="CZ36" s="33"/>
      <c r="DA36" s="33"/>
      <c r="DB36" s="33"/>
      <c r="DC36" s="33"/>
      <c r="DD36" s="33"/>
      <c r="DE36" s="790"/>
      <c r="DF36" s="791"/>
      <c r="DG36" s="33"/>
      <c r="DH36" s="33"/>
      <c r="DI36" s="33"/>
      <c r="DJ36" s="33"/>
      <c r="DK36" s="33"/>
      <c r="DL36" s="33"/>
      <c r="DM36" s="33"/>
      <c r="DN36" s="33"/>
      <c r="DO36" s="790"/>
      <c r="DP36" s="791"/>
      <c r="DQ36" s="33"/>
      <c r="DR36" s="33"/>
      <c r="DS36" s="33"/>
      <c r="DT36" s="33"/>
      <c r="DU36" s="33"/>
      <c r="DV36" s="33"/>
      <c r="DW36" s="33"/>
      <c r="DX36" s="33"/>
      <c r="DY36" s="790"/>
      <c r="DZ36" s="791"/>
      <c r="EA36" s="33"/>
      <c r="EB36" s="33"/>
      <c r="EC36" s="33"/>
      <c r="ED36" s="33"/>
      <c r="EE36" s="33"/>
      <c r="EF36" s="33"/>
      <c r="EG36" s="33"/>
      <c r="EH36" s="33"/>
      <c r="EI36" s="790"/>
      <c r="EJ36" s="791"/>
      <c r="EK36" s="33"/>
      <c r="EL36" s="33"/>
      <c r="EM36" s="33"/>
      <c r="EN36" s="33"/>
      <c r="EO36" s="33"/>
      <c r="EP36" s="33"/>
      <c r="EQ36" s="33"/>
      <c r="ER36" s="33"/>
      <c r="ES36" s="790"/>
      <c r="ET36" s="791"/>
      <c r="EU36" s="33"/>
      <c r="EV36" s="33"/>
      <c r="EW36" s="33"/>
      <c r="EX36" s="33"/>
      <c r="EY36" s="33"/>
      <c r="EZ36" s="33"/>
      <c r="FA36" s="33"/>
      <c r="FB36" s="33"/>
      <c r="FC36" s="790"/>
      <c r="FD36" s="791"/>
      <c r="FE36" s="33"/>
      <c r="FF36" s="33"/>
      <c r="FG36" s="33"/>
      <c r="FH36" s="33"/>
      <c r="FI36" s="33"/>
      <c r="FJ36" s="33"/>
      <c r="FK36" s="33"/>
      <c r="FL36" s="33"/>
      <c r="FM36" s="790"/>
      <c r="FN36" s="791"/>
      <c r="FO36" s="791"/>
      <c r="FP36" s="33"/>
      <c r="FQ36" s="33"/>
      <c r="FR36" s="33"/>
      <c r="FS36" s="33"/>
      <c r="FT36" s="33"/>
      <c r="FU36" s="33"/>
      <c r="FV36" s="791"/>
      <c r="FW36" s="791"/>
      <c r="FX36" s="791"/>
      <c r="FY36" s="791"/>
      <c r="FZ36" s="791"/>
      <c r="GA36" s="791"/>
      <c r="GB36" s="791"/>
      <c r="GC36" s="791"/>
      <c r="GD36" s="791"/>
      <c r="GE36" s="791"/>
      <c r="GF36" s="791"/>
      <c r="GG36" s="791"/>
      <c r="GH36" s="791"/>
      <c r="GI36" s="791"/>
      <c r="GJ36" s="33"/>
      <c r="GK36" s="33"/>
      <c r="GL36" s="33"/>
      <c r="GM36" s="33"/>
      <c r="GN36" s="791"/>
      <c r="GO36" s="791"/>
      <c r="GP36" s="791"/>
      <c r="GQ36" s="791"/>
      <c r="GR36" s="791"/>
      <c r="GS36" s="791"/>
      <c r="GT36" s="791"/>
      <c r="GU36" s="791"/>
      <c r="GV36" s="791"/>
      <c r="GW36" s="791"/>
      <c r="GX36" s="791"/>
      <c r="GY36" s="791"/>
      <c r="GZ36" s="791"/>
      <c r="HA36" s="791"/>
      <c r="HB36" s="791"/>
      <c r="HC36" s="791"/>
      <c r="HD36" s="791"/>
      <c r="HE36" s="791"/>
      <c r="HF36" s="791"/>
      <c r="HG36" s="791"/>
      <c r="HH36" s="791"/>
      <c r="HI36" s="791"/>
      <c r="HJ36" s="791"/>
      <c r="HK36" s="791"/>
      <c r="HL36" s="791"/>
      <c r="HM36" s="791"/>
      <c r="HN36" s="33"/>
      <c r="HO36" s="33"/>
      <c r="HP36" s="33"/>
      <c r="HQ36" s="33"/>
      <c r="HR36" s="33"/>
      <c r="HS36" s="33"/>
      <c r="HT36" s="33"/>
      <c r="HU36" s="33"/>
      <c r="HV36" s="33"/>
      <c r="HW36" s="33"/>
      <c r="HX36" s="33"/>
      <c r="HY36" s="33"/>
      <c r="HZ36" s="33"/>
      <c r="IA36" s="33"/>
      <c r="IB36" s="33"/>
      <c r="IC36" s="33"/>
      <c r="ID36" s="33"/>
      <c r="IE36" s="33"/>
      <c r="IF36" s="791"/>
      <c r="IG36" s="791"/>
      <c r="IH36" s="33"/>
      <c r="II36" s="33"/>
      <c r="IJ36" s="33"/>
      <c r="IK36" s="33"/>
      <c r="IL36" s="33"/>
      <c r="IM36" s="33"/>
      <c r="IN36" s="792"/>
      <c r="IO36" s="792"/>
      <c r="IP36" s="792"/>
      <c r="IQ36" s="788"/>
      <c r="IR36" s="792"/>
      <c r="IS36" s="792"/>
      <c r="IT36" s="792"/>
      <c r="IU36" s="792"/>
      <c r="IV36" s="792"/>
      <c r="IW36" s="792"/>
      <c r="IX36" s="507"/>
      <c r="IY36" s="193"/>
    </row>
    <row r="37" spans="2:259" ht="15.75" thickBot="1" x14ac:dyDescent="0.3">
      <c r="B37" s="805"/>
      <c r="C37" s="809"/>
      <c r="D37" s="692"/>
      <c r="E37" s="692"/>
      <c r="F37" s="692"/>
      <c r="G37" s="692"/>
      <c r="H37" s="692"/>
      <c r="I37" s="692"/>
      <c r="J37" s="692"/>
      <c r="K37" s="692"/>
      <c r="L37" s="692"/>
      <c r="M37" s="692"/>
      <c r="N37" s="692"/>
      <c r="O37" s="692"/>
      <c r="P37" s="692"/>
      <c r="Q37" s="692"/>
      <c r="R37" s="692"/>
      <c r="S37" s="692"/>
      <c r="T37" s="692"/>
      <c r="U37" s="692"/>
      <c r="V37" s="692"/>
      <c r="W37" s="692"/>
      <c r="X37" s="807"/>
      <c r="Y37" s="46"/>
      <c r="AT37" s="507"/>
      <c r="AU37" s="789"/>
      <c r="AV37" s="789"/>
      <c r="AW37" s="789"/>
      <c r="AX37" s="791"/>
      <c r="AY37" s="33"/>
      <c r="AZ37" s="33"/>
      <c r="BA37" s="33"/>
      <c r="BB37" s="33"/>
      <c r="BC37" s="33"/>
      <c r="BD37" s="33"/>
      <c r="BE37" s="33"/>
      <c r="BF37" s="33"/>
      <c r="BG37" s="790"/>
      <c r="BH37" s="791"/>
      <c r="BI37" s="33"/>
      <c r="BJ37" s="33"/>
      <c r="BK37" s="33"/>
      <c r="BL37" s="33"/>
      <c r="BM37" s="33"/>
      <c r="BN37" s="33"/>
      <c r="BO37" s="33"/>
      <c r="BP37" s="33"/>
      <c r="BQ37" s="790"/>
      <c r="BR37" s="791"/>
      <c r="BS37" s="33"/>
      <c r="BT37" s="33"/>
      <c r="BU37" s="33"/>
      <c r="BV37" s="33"/>
      <c r="BW37" s="33"/>
      <c r="BX37" s="33"/>
      <c r="BY37" s="33"/>
      <c r="BZ37" s="33"/>
      <c r="CA37" s="790"/>
      <c r="CB37" s="791"/>
      <c r="CC37" s="33"/>
      <c r="CD37" s="33"/>
      <c r="CE37" s="33"/>
      <c r="CF37" s="33"/>
      <c r="CG37" s="33"/>
      <c r="CH37" s="33"/>
      <c r="CI37" s="33"/>
      <c r="CJ37" s="33"/>
      <c r="CK37" s="790"/>
      <c r="CL37" s="791"/>
      <c r="CM37" s="33"/>
      <c r="CN37" s="33"/>
      <c r="CO37" s="33"/>
      <c r="CP37" s="33"/>
      <c r="CQ37" s="33"/>
      <c r="CR37" s="33"/>
      <c r="CS37" s="33"/>
      <c r="CT37" s="33"/>
      <c r="CU37" s="790"/>
      <c r="CV37" s="791"/>
      <c r="CW37" s="33"/>
      <c r="CX37" s="33"/>
      <c r="CY37" s="33"/>
      <c r="CZ37" s="33"/>
      <c r="DA37" s="33"/>
      <c r="DB37" s="33"/>
      <c r="DC37" s="33"/>
      <c r="DD37" s="33"/>
      <c r="DE37" s="790"/>
      <c r="DF37" s="791"/>
      <c r="DG37" s="33"/>
      <c r="DH37" s="33"/>
      <c r="DI37" s="33"/>
      <c r="DJ37" s="33"/>
      <c r="DK37" s="33"/>
      <c r="DL37" s="33"/>
      <c r="DM37" s="33"/>
      <c r="DN37" s="33"/>
      <c r="DO37" s="790"/>
      <c r="DP37" s="791"/>
      <c r="DQ37" s="33"/>
      <c r="DR37" s="33"/>
      <c r="DS37" s="33"/>
      <c r="DT37" s="33"/>
      <c r="DU37" s="33"/>
      <c r="DV37" s="33"/>
      <c r="DW37" s="33"/>
      <c r="DX37" s="33"/>
      <c r="DY37" s="790"/>
      <c r="DZ37" s="791"/>
      <c r="EA37" s="33"/>
      <c r="EB37" s="33"/>
      <c r="EC37" s="33"/>
      <c r="ED37" s="33"/>
      <c r="EE37" s="33"/>
      <c r="EF37" s="33"/>
      <c r="EG37" s="33"/>
      <c r="EH37" s="33"/>
      <c r="EI37" s="790"/>
      <c r="EJ37" s="791"/>
      <c r="EK37" s="33"/>
      <c r="EL37" s="33"/>
      <c r="EM37" s="33"/>
      <c r="EN37" s="33"/>
      <c r="EO37" s="33"/>
      <c r="EP37" s="33"/>
      <c r="EQ37" s="33"/>
      <c r="ER37" s="33"/>
      <c r="ES37" s="790"/>
      <c r="ET37" s="791"/>
      <c r="EU37" s="33"/>
      <c r="EV37" s="33"/>
      <c r="EW37" s="33"/>
      <c r="EX37" s="33"/>
      <c r="EY37" s="33"/>
      <c r="EZ37" s="33"/>
      <c r="FA37" s="33"/>
      <c r="FB37" s="33"/>
      <c r="FC37" s="790"/>
      <c r="FD37" s="791"/>
      <c r="FE37" s="33"/>
      <c r="FF37" s="33"/>
      <c r="FG37" s="33"/>
      <c r="FH37" s="33"/>
      <c r="FI37" s="33"/>
      <c r="FJ37" s="33"/>
      <c r="FK37" s="33"/>
      <c r="FL37" s="33"/>
      <c r="FM37" s="790"/>
      <c r="FN37" s="791"/>
      <c r="FO37" s="791"/>
      <c r="FP37" s="33"/>
      <c r="FQ37" s="33"/>
      <c r="FR37" s="33"/>
      <c r="FS37" s="33"/>
      <c r="FT37" s="33"/>
      <c r="FU37" s="33"/>
      <c r="FV37" s="791"/>
      <c r="FW37" s="791"/>
      <c r="FX37" s="791"/>
      <c r="FY37" s="791"/>
      <c r="FZ37" s="791"/>
      <c r="GA37" s="791"/>
      <c r="GB37" s="791"/>
      <c r="GC37" s="791"/>
      <c r="GD37" s="791"/>
      <c r="GE37" s="791"/>
      <c r="GF37" s="791"/>
      <c r="GG37" s="791"/>
      <c r="GH37" s="791"/>
      <c r="GI37" s="791"/>
      <c r="GJ37" s="33"/>
      <c r="GK37" s="33"/>
      <c r="GL37" s="33"/>
      <c r="GM37" s="33"/>
      <c r="GN37" s="791"/>
      <c r="GO37" s="791"/>
      <c r="GP37" s="791"/>
      <c r="GQ37" s="791"/>
      <c r="GR37" s="791"/>
      <c r="GS37" s="791"/>
      <c r="GT37" s="791"/>
      <c r="GU37" s="791"/>
      <c r="GV37" s="791"/>
      <c r="GW37" s="791"/>
      <c r="GX37" s="791"/>
      <c r="GY37" s="791"/>
      <c r="GZ37" s="791"/>
      <c r="HA37" s="791"/>
      <c r="HB37" s="791"/>
      <c r="HC37" s="791"/>
      <c r="HD37" s="791"/>
      <c r="HE37" s="791"/>
      <c r="HF37" s="791"/>
      <c r="HG37" s="791"/>
      <c r="HH37" s="791"/>
      <c r="HI37" s="791"/>
      <c r="HJ37" s="791"/>
      <c r="HK37" s="791"/>
      <c r="HL37" s="791"/>
      <c r="HM37" s="791"/>
      <c r="HN37" s="33"/>
      <c r="HO37" s="33"/>
      <c r="HP37" s="33"/>
      <c r="HQ37" s="33"/>
      <c r="HR37" s="33"/>
      <c r="HS37" s="33"/>
      <c r="HT37" s="33"/>
      <c r="HU37" s="33"/>
      <c r="HV37" s="33"/>
      <c r="HW37" s="33"/>
      <c r="HX37" s="33"/>
      <c r="HY37" s="33"/>
      <c r="HZ37" s="33"/>
      <c r="IA37" s="33"/>
      <c r="IB37" s="33"/>
      <c r="IC37" s="33"/>
      <c r="ID37" s="33"/>
      <c r="IE37" s="33"/>
      <c r="IF37" s="791"/>
      <c r="IG37" s="791"/>
      <c r="IH37" s="33"/>
      <c r="II37" s="33"/>
      <c r="IJ37" s="33"/>
      <c r="IK37" s="33"/>
      <c r="IL37" s="33"/>
      <c r="IM37" s="33"/>
      <c r="IN37" s="792"/>
      <c r="IO37" s="792"/>
      <c r="IP37" s="792"/>
      <c r="IQ37" s="788"/>
      <c r="IR37" s="792"/>
      <c r="IS37" s="792"/>
      <c r="IT37" s="792"/>
      <c r="IU37" s="792"/>
      <c r="IV37" s="792"/>
      <c r="IW37" s="792"/>
      <c r="IX37" s="507"/>
      <c r="IY37" s="193"/>
    </row>
    <row r="38" spans="2:259" ht="15.75" thickBot="1" x14ac:dyDescent="0.3">
      <c r="B38" s="47"/>
      <c r="C38" s="808"/>
      <c r="D38" s="808"/>
      <c r="E38" s="808"/>
      <c r="F38" s="808"/>
      <c r="G38" s="808"/>
      <c r="H38" s="808"/>
      <c r="I38" s="808"/>
      <c r="J38" s="808"/>
      <c r="K38" s="808"/>
      <c r="L38" s="808"/>
      <c r="M38" s="808"/>
      <c r="N38" s="808"/>
      <c r="O38" s="808"/>
      <c r="P38" s="808"/>
      <c r="Q38" s="808"/>
      <c r="R38" s="808"/>
      <c r="S38" s="808"/>
      <c r="T38" s="808"/>
      <c r="U38" s="808"/>
      <c r="V38" s="808"/>
      <c r="W38" s="808"/>
      <c r="X38" s="76"/>
      <c r="Y38" s="46"/>
      <c r="AT38" s="507"/>
      <c r="AU38" s="789"/>
      <c r="AV38" s="789"/>
      <c r="AW38" s="789"/>
      <c r="AX38" s="791"/>
      <c r="AY38" s="33"/>
      <c r="AZ38" s="33"/>
      <c r="BA38" s="33"/>
      <c r="BB38" s="33"/>
      <c r="BC38" s="33"/>
      <c r="BD38" s="33"/>
      <c r="BE38" s="33"/>
      <c r="BF38" s="33"/>
      <c r="BG38" s="790"/>
      <c r="BH38" s="791"/>
      <c r="BI38" s="33"/>
      <c r="BJ38" s="33"/>
      <c r="BK38" s="33"/>
      <c r="BL38" s="33"/>
      <c r="BM38" s="33"/>
      <c r="BN38" s="33"/>
      <c r="BO38" s="33"/>
      <c r="BP38" s="33"/>
      <c r="BQ38" s="790"/>
      <c r="BR38" s="791"/>
      <c r="BS38" s="33"/>
      <c r="BT38" s="33"/>
      <c r="BU38" s="33"/>
      <c r="BV38" s="33"/>
      <c r="BW38" s="33"/>
      <c r="BX38" s="33"/>
      <c r="BY38" s="33"/>
      <c r="BZ38" s="33"/>
      <c r="CA38" s="790"/>
      <c r="CB38" s="791"/>
      <c r="CC38" s="33"/>
      <c r="CD38" s="33"/>
      <c r="CE38" s="33"/>
      <c r="CF38" s="33"/>
      <c r="CG38" s="33"/>
      <c r="CH38" s="33"/>
      <c r="CI38" s="33"/>
      <c r="CJ38" s="33"/>
      <c r="CK38" s="790"/>
      <c r="CL38" s="791"/>
      <c r="CM38" s="33"/>
      <c r="CN38" s="33"/>
      <c r="CO38" s="33"/>
      <c r="CP38" s="33"/>
      <c r="CQ38" s="33"/>
      <c r="CR38" s="33"/>
      <c r="CS38" s="33"/>
      <c r="CT38" s="33"/>
      <c r="CU38" s="790"/>
      <c r="CV38" s="791"/>
      <c r="CW38" s="33"/>
      <c r="CX38" s="33"/>
      <c r="CY38" s="33"/>
      <c r="CZ38" s="33"/>
      <c r="DA38" s="33"/>
      <c r="DB38" s="33"/>
      <c r="DC38" s="33"/>
      <c r="DD38" s="33"/>
      <c r="DE38" s="790"/>
      <c r="DF38" s="791"/>
      <c r="DG38" s="33"/>
      <c r="DH38" s="33"/>
      <c r="DI38" s="33"/>
      <c r="DJ38" s="33"/>
      <c r="DK38" s="33"/>
      <c r="DL38" s="33"/>
      <c r="DM38" s="33"/>
      <c r="DN38" s="33"/>
      <c r="DO38" s="790"/>
      <c r="DP38" s="791"/>
      <c r="DQ38" s="33"/>
      <c r="DR38" s="33"/>
      <c r="DS38" s="33"/>
      <c r="DT38" s="33"/>
      <c r="DU38" s="33"/>
      <c r="DV38" s="33"/>
      <c r="DW38" s="33"/>
      <c r="DX38" s="33"/>
      <c r="DY38" s="790"/>
      <c r="DZ38" s="791"/>
      <c r="EA38" s="33"/>
      <c r="EB38" s="33"/>
      <c r="EC38" s="33"/>
      <c r="ED38" s="33"/>
      <c r="EE38" s="33"/>
      <c r="EF38" s="33"/>
      <c r="EG38" s="33"/>
      <c r="EH38" s="33"/>
      <c r="EI38" s="790"/>
      <c r="EJ38" s="791"/>
      <c r="EK38" s="33"/>
      <c r="EL38" s="33"/>
      <c r="EM38" s="33"/>
      <c r="EN38" s="33"/>
      <c r="EO38" s="33"/>
      <c r="EP38" s="33"/>
      <c r="EQ38" s="33"/>
      <c r="ER38" s="33"/>
      <c r="ES38" s="790"/>
      <c r="ET38" s="791"/>
      <c r="EU38" s="33"/>
      <c r="EV38" s="33"/>
      <c r="EW38" s="33"/>
      <c r="EX38" s="33"/>
      <c r="EY38" s="33"/>
      <c r="EZ38" s="33"/>
      <c r="FA38" s="33"/>
      <c r="FB38" s="33"/>
      <c r="FC38" s="790"/>
      <c r="FD38" s="791"/>
      <c r="FE38" s="33"/>
      <c r="FF38" s="33"/>
      <c r="FG38" s="33"/>
      <c r="FH38" s="33"/>
      <c r="FI38" s="33"/>
      <c r="FJ38" s="33"/>
      <c r="FK38" s="33"/>
      <c r="FL38" s="33"/>
      <c r="FM38" s="790"/>
      <c r="FN38" s="791"/>
      <c r="FO38" s="791"/>
      <c r="FP38" s="33"/>
      <c r="FQ38" s="33"/>
      <c r="FR38" s="33"/>
      <c r="FS38" s="33"/>
      <c r="FT38" s="33"/>
      <c r="FU38" s="33"/>
      <c r="FV38" s="791"/>
      <c r="FW38" s="791"/>
      <c r="FX38" s="791"/>
      <c r="FY38" s="791"/>
      <c r="FZ38" s="791"/>
      <c r="GA38" s="791"/>
      <c r="GB38" s="791"/>
      <c r="GC38" s="791"/>
      <c r="GD38" s="791"/>
      <c r="GE38" s="791"/>
      <c r="GF38" s="791"/>
      <c r="GG38" s="791"/>
      <c r="GH38" s="791"/>
      <c r="GI38" s="791"/>
      <c r="GJ38" s="33"/>
      <c r="GK38" s="33"/>
      <c r="GL38" s="33"/>
      <c r="GM38" s="33"/>
      <c r="GN38" s="791"/>
      <c r="GO38" s="791"/>
      <c r="GP38" s="791"/>
      <c r="GQ38" s="791"/>
      <c r="GR38" s="791"/>
      <c r="GS38" s="791"/>
      <c r="GT38" s="791"/>
      <c r="GU38" s="791"/>
      <c r="GV38" s="791"/>
      <c r="GW38" s="791"/>
      <c r="GX38" s="791"/>
      <c r="GY38" s="791"/>
      <c r="GZ38" s="791"/>
      <c r="HA38" s="791"/>
      <c r="HB38" s="791"/>
      <c r="HC38" s="791"/>
      <c r="HD38" s="791"/>
      <c r="HE38" s="791"/>
      <c r="HF38" s="791"/>
      <c r="HG38" s="791"/>
      <c r="HH38" s="791"/>
      <c r="HI38" s="791"/>
      <c r="HJ38" s="791"/>
      <c r="HK38" s="791"/>
      <c r="HL38" s="791"/>
      <c r="HM38" s="791"/>
      <c r="HN38" s="33"/>
      <c r="HO38" s="33"/>
      <c r="HP38" s="33"/>
      <c r="HQ38" s="33"/>
      <c r="HR38" s="33"/>
      <c r="HS38" s="33"/>
      <c r="HT38" s="33"/>
      <c r="HU38" s="33"/>
      <c r="HV38" s="33"/>
      <c r="HW38" s="33"/>
      <c r="HX38" s="33"/>
      <c r="HY38" s="33"/>
      <c r="HZ38" s="33"/>
      <c r="IA38" s="33"/>
      <c r="IB38" s="33"/>
      <c r="IC38" s="33"/>
      <c r="ID38" s="33"/>
      <c r="IE38" s="33"/>
      <c r="IF38" s="791"/>
      <c r="IG38" s="791"/>
      <c r="IH38" s="33"/>
      <c r="II38" s="33"/>
      <c r="IJ38" s="33"/>
      <c r="IK38" s="33"/>
      <c r="IL38" s="33"/>
      <c r="IM38" s="33"/>
      <c r="IN38" s="792"/>
      <c r="IO38" s="792"/>
      <c r="IP38" s="792"/>
      <c r="IQ38" s="788"/>
      <c r="IR38" s="792"/>
      <c r="IS38" s="792"/>
      <c r="IT38" s="792"/>
      <c r="IU38" s="792"/>
      <c r="IV38" s="792"/>
      <c r="IW38" s="792"/>
      <c r="IX38" s="507"/>
      <c r="IY38" s="193"/>
    </row>
    <row r="39" spans="2:259"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507"/>
      <c r="AU39" s="789"/>
      <c r="AV39" s="789"/>
      <c r="AW39" s="789"/>
      <c r="AX39" s="791"/>
      <c r="AY39" s="33"/>
      <c r="AZ39" s="33"/>
      <c r="BA39" s="33"/>
      <c r="BB39" s="33"/>
      <c r="BC39" s="33"/>
      <c r="BD39" s="33"/>
      <c r="BE39" s="33"/>
      <c r="BF39" s="33"/>
      <c r="BG39" s="790"/>
      <c r="BH39" s="791"/>
      <c r="BI39" s="33"/>
      <c r="BJ39" s="33"/>
      <c r="BK39" s="33"/>
      <c r="BL39" s="33"/>
      <c r="BM39" s="33"/>
      <c r="BN39" s="33"/>
      <c r="BO39" s="33"/>
      <c r="BP39" s="33"/>
      <c r="BQ39" s="790"/>
      <c r="BR39" s="791"/>
      <c r="BS39" s="33"/>
      <c r="BT39" s="33"/>
      <c r="BU39" s="33"/>
      <c r="BV39" s="33"/>
      <c r="BW39" s="33"/>
      <c r="BX39" s="33"/>
      <c r="BY39" s="33"/>
      <c r="BZ39" s="33"/>
      <c r="CA39" s="790"/>
      <c r="CB39" s="791"/>
      <c r="CC39" s="33"/>
      <c r="CD39" s="33"/>
      <c r="CE39" s="33"/>
      <c r="CF39" s="33"/>
      <c r="CG39" s="33"/>
      <c r="CH39" s="33"/>
      <c r="CI39" s="33"/>
      <c r="CJ39" s="33"/>
      <c r="CK39" s="790"/>
      <c r="CL39" s="791"/>
      <c r="CM39" s="33"/>
      <c r="CN39" s="33"/>
      <c r="CO39" s="33"/>
      <c r="CP39" s="33"/>
      <c r="CQ39" s="33"/>
      <c r="CR39" s="33"/>
      <c r="CS39" s="33"/>
      <c r="CT39" s="33"/>
      <c r="CU39" s="790"/>
      <c r="CV39" s="791"/>
      <c r="CW39" s="33"/>
      <c r="CX39" s="33"/>
      <c r="CY39" s="33"/>
      <c r="CZ39" s="33"/>
      <c r="DA39" s="33"/>
      <c r="DB39" s="33"/>
      <c r="DC39" s="33"/>
      <c r="DD39" s="33"/>
      <c r="DE39" s="790"/>
      <c r="DF39" s="791"/>
      <c r="DG39" s="33"/>
      <c r="DH39" s="33"/>
      <c r="DI39" s="33"/>
      <c r="DJ39" s="33"/>
      <c r="DK39" s="33"/>
      <c r="DL39" s="33"/>
      <c r="DM39" s="33"/>
      <c r="DN39" s="33"/>
      <c r="DO39" s="790"/>
      <c r="DP39" s="791"/>
      <c r="DQ39" s="33"/>
      <c r="DR39" s="33"/>
      <c r="DS39" s="33"/>
      <c r="DT39" s="33"/>
      <c r="DU39" s="33"/>
      <c r="DV39" s="33"/>
      <c r="DW39" s="33"/>
      <c r="DX39" s="33"/>
      <c r="DY39" s="790"/>
      <c r="DZ39" s="791"/>
      <c r="EA39" s="33"/>
      <c r="EB39" s="33"/>
      <c r="EC39" s="33"/>
      <c r="ED39" s="33"/>
      <c r="EE39" s="33"/>
      <c r="EF39" s="33"/>
      <c r="EG39" s="33"/>
      <c r="EH39" s="33"/>
      <c r="EI39" s="790"/>
      <c r="EJ39" s="791"/>
      <c r="EK39" s="33"/>
      <c r="EL39" s="33"/>
      <c r="EM39" s="33"/>
      <c r="EN39" s="33"/>
      <c r="EO39" s="33"/>
      <c r="EP39" s="33"/>
      <c r="EQ39" s="33"/>
      <c r="ER39" s="33"/>
      <c r="ES39" s="790"/>
      <c r="ET39" s="791"/>
      <c r="EU39" s="33"/>
      <c r="EV39" s="33"/>
      <c r="EW39" s="33"/>
      <c r="EX39" s="33"/>
      <c r="EY39" s="33"/>
      <c r="EZ39" s="33"/>
      <c r="FA39" s="33"/>
      <c r="FB39" s="33"/>
      <c r="FC39" s="790"/>
      <c r="FD39" s="791"/>
      <c r="FE39" s="33"/>
      <c r="FF39" s="33"/>
      <c r="FG39" s="33"/>
      <c r="FH39" s="33"/>
      <c r="FI39" s="33"/>
      <c r="FJ39" s="33"/>
      <c r="FK39" s="33"/>
      <c r="FL39" s="33"/>
      <c r="FM39" s="790"/>
      <c r="FN39" s="791"/>
      <c r="FO39" s="791"/>
      <c r="FP39" s="33"/>
      <c r="FQ39" s="33"/>
      <c r="FR39" s="33"/>
      <c r="FS39" s="33"/>
      <c r="FT39" s="33"/>
      <c r="FU39" s="33"/>
      <c r="FV39" s="786"/>
      <c r="FW39" s="786"/>
      <c r="FX39" s="786"/>
      <c r="FY39" s="786"/>
      <c r="FZ39" s="786"/>
      <c r="GA39" s="786"/>
      <c r="GB39" s="786"/>
      <c r="GC39" s="786"/>
      <c r="GD39" s="786"/>
      <c r="GE39" s="786"/>
      <c r="GF39" s="786"/>
      <c r="GG39" s="786"/>
      <c r="GH39" s="791"/>
      <c r="GI39" s="791"/>
      <c r="GJ39" s="33"/>
      <c r="GK39" s="33"/>
      <c r="GL39" s="33"/>
      <c r="GM39" s="33"/>
      <c r="GN39" s="791"/>
      <c r="GO39" s="791"/>
      <c r="GP39" s="791"/>
      <c r="GQ39" s="791"/>
      <c r="GR39" s="791"/>
      <c r="GS39" s="791"/>
      <c r="GT39" s="791"/>
      <c r="GU39" s="791"/>
      <c r="GV39" s="791"/>
      <c r="GW39" s="791"/>
      <c r="GX39" s="791"/>
      <c r="GY39" s="791"/>
      <c r="GZ39" s="791"/>
      <c r="HA39" s="791"/>
      <c r="HB39" s="791"/>
      <c r="HC39" s="791"/>
      <c r="HD39" s="791"/>
      <c r="HE39" s="791"/>
      <c r="HF39" s="791"/>
      <c r="HG39" s="791"/>
      <c r="HH39" s="791"/>
      <c r="HI39" s="791"/>
      <c r="HJ39" s="791"/>
      <c r="HK39" s="791"/>
      <c r="HL39" s="791"/>
      <c r="HM39" s="791"/>
      <c r="HN39" s="33"/>
      <c r="HO39" s="33"/>
      <c r="HP39" s="33"/>
      <c r="HQ39" s="33"/>
      <c r="HR39" s="33"/>
      <c r="HS39" s="33"/>
      <c r="HT39" s="33"/>
      <c r="HU39" s="33"/>
      <c r="HV39" s="33"/>
      <c r="HW39" s="33"/>
      <c r="HX39" s="33"/>
      <c r="HY39" s="33"/>
      <c r="HZ39" s="33"/>
      <c r="IA39" s="33"/>
      <c r="IB39" s="33"/>
      <c r="IC39" s="33"/>
      <c r="ID39" s="33"/>
      <c r="IE39" s="33"/>
      <c r="IF39" s="791"/>
      <c r="IG39" s="791"/>
      <c r="IH39" s="33"/>
      <c r="II39" s="33"/>
      <c r="IJ39" s="33"/>
      <c r="IK39" s="33"/>
      <c r="IL39" s="33"/>
      <c r="IM39" s="33"/>
      <c r="IN39" s="792"/>
      <c r="IO39" s="792"/>
      <c r="IP39" s="792"/>
      <c r="IQ39" s="788"/>
      <c r="IR39" s="792"/>
      <c r="IS39" s="792"/>
      <c r="IT39" s="792"/>
      <c r="IU39" s="792"/>
      <c r="IV39" s="792"/>
      <c r="IW39" s="792"/>
      <c r="IX39" s="507"/>
      <c r="IY39" s="193"/>
    </row>
    <row r="40" spans="2:259"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507"/>
      <c r="AU40" s="789"/>
      <c r="AV40" s="789"/>
      <c r="AW40" s="789"/>
      <c r="AX40" s="791"/>
      <c r="AY40" s="33"/>
      <c r="AZ40" s="33"/>
      <c r="BA40" s="33"/>
      <c r="BB40" s="33"/>
      <c r="BC40" s="33"/>
      <c r="BD40" s="33"/>
      <c r="BE40" s="33"/>
      <c r="BF40" s="33"/>
      <c r="BG40" s="790"/>
      <c r="BH40" s="791"/>
      <c r="BI40" s="33"/>
      <c r="BJ40" s="33"/>
      <c r="BK40" s="33"/>
      <c r="BL40" s="33"/>
      <c r="BM40" s="33"/>
      <c r="BN40" s="33"/>
      <c r="BO40" s="33"/>
      <c r="BP40" s="33"/>
      <c r="BQ40" s="790"/>
      <c r="BR40" s="791"/>
      <c r="BS40" s="33"/>
      <c r="BT40" s="33"/>
      <c r="BU40" s="33"/>
      <c r="BV40" s="33"/>
      <c r="BW40" s="33"/>
      <c r="BX40" s="33"/>
      <c r="BY40" s="33"/>
      <c r="BZ40" s="33"/>
      <c r="CA40" s="790"/>
      <c r="CB40" s="791"/>
      <c r="CC40" s="33"/>
      <c r="CD40" s="33"/>
      <c r="CE40" s="33"/>
      <c r="CF40" s="33"/>
      <c r="CG40" s="33"/>
      <c r="CH40" s="33"/>
      <c r="CI40" s="33"/>
      <c r="CJ40" s="33"/>
      <c r="CK40" s="790"/>
      <c r="CL40" s="791"/>
      <c r="CM40" s="33"/>
      <c r="CN40" s="33"/>
      <c r="CO40" s="33"/>
      <c r="CP40" s="33"/>
      <c r="CQ40" s="33"/>
      <c r="CR40" s="33"/>
      <c r="CS40" s="33"/>
      <c r="CT40" s="33"/>
      <c r="CU40" s="790"/>
      <c r="CV40" s="791"/>
      <c r="CW40" s="33"/>
      <c r="CX40" s="33"/>
      <c r="CY40" s="33"/>
      <c r="CZ40" s="33"/>
      <c r="DA40" s="33"/>
      <c r="DB40" s="33"/>
      <c r="DC40" s="33"/>
      <c r="DD40" s="33"/>
      <c r="DE40" s="790"/>
      <c r="DF40" s="791"/>
      <c r="DG40" s="33"/>
      <c r="DH40" s="33"/>
      <c r="DI40" s="33"/>
      <c r="DJ40" s="33"/>
      <c r="DK40" s="33"/>
      <c r="DL40" s="33"/>
      <c r="DM40" s="33"/>
      <c r="DN40" s="33"/>
      <c r="DO40" s="790"/>
      <c r="DP40" s="791"/>
      <c r="DQ40" s="33"/>
      <c r="DR40" s="33"/>
      <c r="DS40" s="33"/>
      <c r="DT40" s="33"/>
      <c r="DU40" s="33"/>
      <c r="DV40" s="33"/>
      <c r="DW40" s="33"/>
      <c r="DX40" s="33"/>
      <c r="DY40" s="790"/>
      <c r="DZ40" s="791"/>
      <c r="EA40" s="33"/>
      <c r="EB40" s="33"/>
      <c r="EC40" s="33"/>
      <c r="ED40" s="33"/>
      <c r="EE40" s="33"/>
      <c r="EF40" s="33"/>
      <c r="EG40" s="33"/>
      <c r="EH40" s="33"/>
      <c r="EI40" s="790"/>
      <c r="EJ40" s="791"/>
      <c r="EK40" s="33"/>
      <c r="EL40" s="33"/>
      <c r="EM40" s="33"/>
      <c r="EN40" s="33"/>
      <c r="EO40" s="33"/>
      <c r="EP40" s="33"/>
      <c r="EQ40" s="33"/>
      <c r="ER40" s="33"/>
      <c r="ES40" s="790"/>
      <c r="ET40" s="791"/>
      <c r="EU40" s="33"/>
      <c r="EV40" s="33"/>
      <c r="EW40" s="33"/>
      <c r="EX40" s="33"/>
      <c r="EY40" s="33"/>
      <c r="EZ40" s="33"/>
      <c r="FA40" s="33"/>
      <c r="FB40" s="33"/>
      <c r="FC40" s="790"/>
      <c r="FD40" s="791"/>
      <c r="FE40" s="33"/>
      <c r="FF40" s="33"/>
      <c r="FG40" s="33"/>
      <c r="FH40" s="33"/>
      <c r="FI40" s="33"/>
      <c r="FJ40" s="33"/>
      <c r="FK40" s="33"/>
      <c r="FL40" s="33"/>
      <c r="FM40" s="790"/>
      <c r="FN40" s="791"/>
      <c r="FO40" s="791"/>
      <c r="FP40" s="33"/>
      <c r="FQ40" s="33"/>
      <c r="FR40" s="33"/>
      <c r="FS40" s="33"/>
      <c r="FT40" s="33"/>
      <c r="FU40" s="33"/>
      <c r="FV40" s="791"/>
      <c r="FW40" s="791"/>
      <c r="FX40" s="791"/>
      <c r="FY40" s="791"/>
      <c r="FZ40" s="791"/>
      <c r="GA40" s="791"/>
      <c r="GB40" s="791"/>
      <c r="GC40" s="791"/>
      <c r="GD40" s="791"/>
      <c r="GE40" s="791"/>
      <c r="GF40" s="791"/>
      <c r="GG40" s="791"/>
      <c r="GH40" s="791"/>
      <c r="GI40" s="791"/>
      <c r="GJ40" s="33"/>
      <c r="GK40" s="33"/>
      <c r="GL40" s="33"/>
      <c r="GM40" s="33"/>
      <c r="GN40" s="791"/>
      <c r="GO40" s="791"/>
      <c r="GP40" s="791"/>
      <c r="GQ40" s="791"/>
      <c r="GR40" s="791"/>
      <c r="GS40" s="791"/>
      <c r="GT40" s="791"/>
      <c r="GU40" s="791"/>
      <c r="GV40" s="791"/>
      <c r="GW40" s="791"/>
      <c r="GX40" s="791"/>
      <c r="GY40" s="791"/>
      <c r="GZ40" s="791"/>
      <c r="HA40" s="791"/>
      <c r="HB40" s="791"/>
      <c r="HC40" s="791"/>
      <c r="HD40" s="791"/>
      <c r="HE40" s="791"/>
      <c r="HF40" s="791"/>
      <c r="HG40" s="791"/>
      <c r="HH40" s="791"/>
      <c r="HI40" s="791"/>
      <c r="HJ40" s="791"/>
      <c r="HK40" s="791"/>
      <c r="HL40" s="791"/>
      <c r="HM40" s="791"/>
      <c r="HN40" s="33"/>
      <c r="HO40" s="33"/>
      <c r="HP40" s="33"/>
      <c r="HQ40" s="33"/>
      <c r="HR40" s="33"/>
      <c r="HS40" s="33"/>
      <c r="HT40" s="33"/>
      <c r="HU40" s="33"/>
      <c r="HV40" s="33"/>
      <c r="HW40" s="33"/>
      <c r="HX40" s="33"/>
      <c r="HY40" s="33"/>
      <c r="HZ40" s="33"/>
      <c r="IA40" s="33"/>
      <c r="IB40" s="33"/>
      <c r="IC40" s="33"/>
      <c r="ID40" s="33"/>
      <c r="IE40" s="33"/>
      <c r="IF40" s="791"/>
      <c r="IG40" s="791"/>
      <c r="IH40" s="33"/>
      <c r="II40" s="33"/>
      <c r="IJ40" s="33"/>
      <c r="IK40" s="33"/>
      <c r="IL40" s="33"/>
      <c r="IM40" s="33"/>
      <c r="IN40" s="792"/>
      <c r="IO40" s="792"/>
      <c r="IP40" s="792"/>
      <c r="IQ40" s="788"/>
      <c r="IR40" s="792"/>
      <c r="IS40" s="792"/>
      <c r="IT40" s="792"/>
      <c r="IU40" s="792"/>
      <c r="IV40" s="792"/>
      <c r="IW40" s="792"/>
      <c r="IX40" s="507"/>
      <c r="IY40" s="193"/>
    </row>
    <row r="41" spans="2:259" x14ac:dyDescent="0.25">
      <c r="B41" s="2"/>
      <c r="C41" s="2"/>
      <c r="D41" s="2"/>
      <c r="E41" s="2"/>
      <c r="F41" s="2"/>
      <c r="G41" s="2"/>
      <c r="H41" s="2"/>
      <c r="I41" s="2"/>
      <c r="J41" s="2"/>
      <c r="K41" s="2"/>
      <c r="L41" s="2"/>
      <c r="M41" s="2"/>
      <c r="N41" s="2"/>
      <c r="O41" s="2"/>
      <c r="P41" s="2"/>
      <c r="Q41" s="2"/>
      <c r="R41" s="2"/>
      <c r="S41" s="2"/>
      <c r="T41" s="2"/>
      <c r="U41" s="2"/>
      <c r="V41" s="2"/>
      <c r="W41" s="2"/>
      <c r="X41" s="2"/>
      <c r="AT41" s="507"/>
      <c r="AU41" s="507"/>
      <c r="AV41" s="507"/>
      <c r="AW41" s="507"/>
      <c r="AX41" s="507"/>
      <c r="AY41" s="507"/>
      <c r="AZ41" s="507"/>
      <c r="BA41" s="507"/>
      <c r="BB41" s="507"/>
      <c r="BC41" s="507"/>
      <c r="BD41" s="507"/>
      <c r="BE41" s="507"/>
      <c r="BF41" s="507"/>
      <c r="BG41" s="507"/>
      <c r="BH41" s="786"/>
      <c r="BI41" s="787"/>
      <c r="BJ41" s="787"/>
      <c r="BK41" s="787"/>
      <c r="BL41" s="787"/>
      <c r="BM41" s="787"/>
      <c r="BN41" s="787"/>
      <c r="BO41" s="787"/>
      <c r="BP41" s="787"/>
      <c r="BQ41" s="787"/>
      <c r="BR41" s="786"/>
      <c r="BS41" s="787"/>
      <c r="BT41" s="787"/>
      <c r="BU41" s="787"/>
      <c r="BV41" s="787"/>
      <c r="BW41" s="787"/>
      <c r="BX41" s="787"/>
      <c r="BY41" s="787"/>
      <c r="BZ41" s="787"/>
      <c r="CA41" s="787"/>
      <c r="CB41" s="786"/>
      <c r="CC41" s="787"/>
      <c r="CD41" s="787"/>
      <c r="CE41" s="787"/>
      <c r="CF41" s="787"/>
      <c r="CG41" s="787"/>
      <c r="CH41" s="787"/>
      <c r="CI41" s="787"/>
      <c r="CJ41" s="787"/>
      <c r="CK41" s="787"/>
      <c r="CL41" s="786"/>
      <c r="CM41" s="787"/>
      <c r="CN41" s="787"/>
      <c r="CO41" s="787"/>
      <c r="CP41" s="787"/>
      <c r="CQ41" s="787"/>
      <c r="CR41" s="787"/>
      <c r="CS41" s="787"/>
      <c r="CT41" s="787"/>
      <c r="CU41" s="787"/>
      <c r="CV41" s="786"/>
      <c r="CW41" s="787"/>
      <c r="CX41" s="787"/>
      <c r="CY41" s="787"/>
      <c r="CZ41" s="787"/>
      <c r="DA41" s="787"/>
      <c r="DB41" s="787"/>
      <c r="DC41" s="787"/>
      <c r="DD41" s="787"/>
      <c r="DE41" s="787"/>
      <c r="DF41" s="786"/>
      <c r="DG41" s="787"/>
      <c r="DH41" s="787"/>
      <c r="DI41" s="787"/>
      <c r="DJ41" s="787"/>
      <c r="DK41" s="787"/>
      <c r="DL41" s="787"/>
      <c r="DM41" s="787"/>
      <c r="DN41" s="787"/>
      <c r="DO41" s="787"/>
      <c r="DP41" s="786"/>
      <c r="DQ41" s="787"/>
      <c r="DR41" s="787"/>
      <c r="DS41" s="787"/>
      <c r="DT41" s="787"/>
      <c r="DU41" s="787"/>
      <c r="DV41" s="787"/>
      <c r="DW41" s="787"/>
      <c r="DX41" s="787"/>
      <c r="DY41" s="787"/>
      <c r="DZ41" s="786"/>
      <c r="EA41" s="787"/>
      <c r="EB41" s="787"/>
      <c r="EC41" s="787"/>
      <c r="ED41" s="787"/>
      <c r="EE41" s="787"/>
      <c r="EF41" s="787"/>
      <c r="EG41" s="787"/>
      <c r="EH41" s="787"/>
      <c r="EI41" s="787"/>
      <c r="EJ41" s="786"/>
      <c r="EK41" s="787"/>
      <c r="EL41" s="787"/>
      <c r="EM41" s="787"/>
      <c r="EN41" s="787"/>
      <c r="EO41" s="787"/>
      <c r="EP41" s="787"/>
      <c r="EQ41" s="787"/>
      <c r="ER41" s="787"/>
      <c r="ES41" s="787"/>
      <c r="ET41" s="786"/>
      <c r="EU41" s="787"/>
      <c r="EV41" s="787"/>
      <c r="EW41" s="787"/>
      <c r="EX41" s="787"/>
      <c r="EY41" s="787"/>
      <c r="EZ41" s="787"/>
      <c r="FA41" s="787"/>
      <c r="FB41" s="787"/>
      <c r="FC41" s="787"/>
      <c r="FD41" s="786"/>
      <c r="FE41" s="787"/>
      <c r="FF41" s="787"/>
      <c r="FG41" s="787"/>
      <c r="FH41" s="787"/>
      <c r="FI41" s="787"/>
      <c r="FJ41" s="787"/>
      <c r="FK41" s="787"/>
      <c r="FL41" s="787"/>
      <c r="FM41" s="787"/>
      <c r="FN41" s="786"/>
      <c r="FO41" s="787"/>
      <c r="FP41" s="787"/>
      <c r="FQ41" s="787"/>
      <c r="FR41" s="787"/>
      <c r="FS41" s="787"/>
      <c r="FT41" s="787"/>
      <c r="FU41" s="787"/>
      <c r="FV41" s="791"/>
      <c r="FW41" s="791"/>
      <c r="FX41" s="791"/>
      <c r="FY41" s="791"/>
      <c r="FZ41" s="791"/>
      <c r="GA41" s="791"/>
      <c r="GB41" s="791"/>
      <c r="GC41" s="791"/>
      <c r="GD41" s="791"/>
      <c r="GE41" s="791"/>
      <c r="GF41" s="791"/>
      <c r="GG41" s="791"/>
      <c r="GH41" s="786"/>
      <c r="GI41" s="787"/>
      <c r="GJ41" s="787"/>
      <c r="GK41" s="787"/>
      <c r="GL41" s="787"/>
      <c r="GM41" s="787"/>
      <c r="GN41" s="791"/>
      <c r="GO41" s="791"/>
      <c r="GP41" s="791"/>
      <c r="GQ41" s="791"/>
      <c r="GR41" s="791"/>
      <c r="GS41" s="791"/>
      <c r="GT41" s="791"/>
      <c r="GU41" s="791"/>
      <c r="GV41" s="791"/>
      <c r="GW41" s="791"/>
      <c r="GX41" s="791"/>
      <c r="GY41" s="791"/>
      <c r="GZ41" s="791"/>
      <c r="HA41" s="791"/>
      <c r="HB41" s="791"/>
      <c r="HC41" s="791"/>
      <c r="HD41" s="791"/>
      <c r="HE41" s="791"/>
      <c r="HF41" s="791"/>
      <c r="HG41" s="791"/>
      <c r="HH41" s="791"/>
      <c r="HI41" s="791"/>
      <c r="HJ41" s="791"/>
      <c r="HK41" s="791"/>
      <c r="HL41" s="786"/>
      <c r="HM41" s="787"/>
      <c r="HN41" s="787"/>
      <c r="HO41" s="787"/>
      <c r="HP41" s="787"/>
      <c r="HQ41" s="787"/>
      <c r="HR41" s="787"/>
      <c r="HS41" s="787"/>
      <c r="HT41" s="33"/>
      <c r="HU41" s="33"/>
      <c r="HV41" s="33"/>
      <c r="HW41" s="33"/>
      <c r="HX41" s="33"/>
      <c r="HY41" s="33"/>
      <c r="HZ41" s="33"/>
      <c r="IA41" s="33"/>
      <c r="IB41" s="33"/>
      <c r="IC41" s="33"/>
      <c r="ID41" s="33"/>
      <c r="IE41" s="33"/>
      <c r="IF41" s="786"/>
      <c r="IG41" s="787"/>
      <c r="IH41" s="787"/>
      <c r="II41" s="787"/>
      <c r="IJ41" s="787"/>
      <c r="IK41" s="787"/>
      <c r="IL41" s="787"/>
      <c r="IM41" s="787"/>
      <c r="IN41" s="507"/>
      <c r="IO41" s="507"/>
      <c r="IP41" s="507"/>
      <c r="IQ41" s="507"/>
      <c r="IR41" s="507"/>
      <c r="IS41" s="507"/>
      <c r="IT41" s="507"/>
      <c r="IU41" s="507"/>
      <c r="IV41" s="507"/>
      <c r="IW41" s="507"/>
      <c r="IX41" s="507"/>
      <c r="IY41" s="193"/>
    </row>
    <row r="42" spans="2:259" ht="15.75" thickBot="1" x14ac:dyDescent="0.3">
      <c r="B42" s="2"/>
      <c r="C42" s="2"/>
      <c r="D42" s="2"/>
      <c r="E42" s="2"/>
      <c r="F42" s="2"/>
      <c r="G42" s="2"/>
      <c r="H42" s="2"/>
      <c r="I42" s="2"/>
      <c r="J42" s="2"/>
      <c r="K42" s="2"/>
      <c r="L42" s="2"/>
      <c r="M42" s="2"/>
      <c r="N42" s="2"/>
      <c r="O42" s="2"/>
      <c r="P42" s="2"/>
      <c r="Q42" s="2"/>
      <c r="R42" s="2"/>
      <c r="S42" s="2"/>
      <c r="T42" s="2"/>
      <c r="U42" s="2"/>
      <c r="V42" s="2"/>
      <c r="W42" s="2"/>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c r="DA42" s="193"/>
      <c r="DB42" s="193"/>
      <c r="DC42" s="193"/>
      <c r="DD42" s="193"/>
      <c r="DE42" s="193"/>
      <c r="DF42" s="193"/>
      <c r="DG42" s="193"/>
      <c r="DH42" s="193"/>
      <c r="DI42" s="193"/>
      <c r="DJ42" s="193"/>
      <c r="DK42" s="193"/>
      <c r="DL42" s="193"/>
      <c r="DM42" s="193"/>
      <c r="DN42" s="193"/>
      <c r="DO42" s="193"/>
      <c r="DP42" s="193"/>
      <c r="DQ42" s="193"/>
      <c r="DR42" s="193"/>
      <c r="DS42" s="193"/>
      <c r="DT42" s="193"/>
      <c r="DU42" s="193"/>
      <c r="DV42" s="193"/>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row>
    <row r="43" spans="2:259" ht="24" thickBot="1" x14ac:dyDescent="0.4">
      <c r="B43" s="635" t="s">
        <v>339</v>
      </c>
      <c r="C43" s="460"/>
      <c r="D43" s="460"/>
      <c r="E43" s="460"/>
      <c r="F43" s="461"/>
      <c r="G43" s="193"/>
      <c r="H43" s="193"/>
      <c r="I43" s="193"/>
      <c r="J43" s="193"/>
      <c r="K43" s="193"/>
      <c r="L43" s="193"/>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AT43" s="193"/>
      <c r="AU43" s="193"/>
      <c r="AV43" s="193"/>
      <c r="AW43" s="193"/>
      <c r="AX43" s="193"/>
      <c r="AY43" s="193"/>
      <c r="AZ43" s="193"/>
      <c r="BA43" s="193"/>
      <c r="BB43" s="193"/>
      <c r="BC43" s="193"/>
      <c r="BD43" s="193"/>
      <c r="BE43" s="193"/>
      <c r="BF43" s="787"/>
      <c r="BG43" s="787"/>
      <c r="BH43" s="787"/>
      <c r="BI43" s="787"/>
      <c r="BJ43" s="787"/>
      <c r="BK43" s="787"/>
      <c r="BL43" s="787"/>
      <c r="BM43" s="787"/>
      <c r="BN43" s="786"/>
      <c r="BO43" s="787"/>
      <c r="BP43" s="787"/>
      <c r="BQ43" s="787"/>
      <c r="BR43" s="787"/>
      <c r="BS43" s="787"/>
      <c r="BT43" s="787"/>
      <c r="BU43" s="787"/>
      <c r="BV43" s="787"/>
      <c r="BW43" s="787"/>
      <c r="BX43" s="786"/>
      <c r="BY43" s="787"/>
      <c r="BZ43" s="787"/>
      <c r="CA43" s="787"/>
      <c r="CB43" s="787"/>
      <c r="CC43" s="787"/>
      <c r="CD43" s="787"/>
      <c r="CE43" s="787"/>
      <c r="CF43" s="787"/>
      <c r="CG43" s="787"/>
      <c r="CH43" s="786"/>
      <c r="CI43" s="787"/>
      <c r="CJ43" s="787"/>
      <c r="CK43" s="787"/>
      <c r="CL43" s="787"/>
      <c r="CM43" s="787"/>
      <c r="CN43" s="787"/>
      <c r="CO43" s="787"/>
      <c r="CP43" s="787"/>
      <c r="CQ43" s="787"/>
      <c r="CR43" s="786"/>
      <c r="CS43" s="787"/>
      <c r="CT43" s="787"/>
      <c r="CU43" s="787"/>
      <c r="CV43" s="787"/>
      <c r="CW43" s="787"/>
      <c r="CX43" s="787"/>
      <c r="CY43" s="787"/>
      <c r="CZ43" s="787"/>
      <c r="DA43" s="787"/>
      <c r="DB43" s="786"/>
      <c r="DC43" s="787"/>
      <c r="DD43" s="787"/>
      <c r="DE43" s="787"/>
      <c r="DF43" s="787"/>
      <c r="DG43" s="787"/>
      <c r="DH43" s="787"/>
      <c r="DI43" s="787"/>
      <c r="DJ43" s="787"/>
      <c r="DK43" s="787"/>
      <c r="DL43" s="786"/>
      <c r="DM43" s="787"/>
      <c r="DN43" s="787"/>
      <c r="DO43" s="787"/>
      <c r="DP43" s="787"/>
      <c r="DQ43" s="787"/>
      <c r="DR43" s="787"/>
      <c r="DS43" s="787"/>
      <c r="DT43" s="787"/>
      <c r="DU43" s="787"/>
      <c r="DV43" s="786"/>
      <c r="DW43" s="787"/>
      <c r="DX43" s="787"/>
      <c r="DY43" s="787"/>
      <c r="DZ43" s="787"/>
      <c r="EA43" s="787"/>
      <c r="EB43" s="787"/>
      <c r="EC43" s="787"/>
      <c r="ED43" s="787"/>
      <c r="EE43" s="787"/>
      <c r="EF43" s="786"/>
      <c r="EG43" s="787"/>
      <c r="EH43" s="787"/>
      <c r="EI43" s="787"/>
      <c r="EJ43" s="787"/>
      <c r="EK43" s="787"/>
      <c r="EL43" s="787"/>
      <c r="EM43" s="787"/>
      <c r="EN43" s="787"/>
      <c r="EO43" s="787"/>
      <c r="EP43" s="786"/>
      <c r="EQ43" s="787"/>
      <c r="ER43" s="787"/>
      <c r="ES43" s="787"/>
      <c r="ET43" s="787"/>
      <c r="EU43" s="787"/>
      <c r="EV43" s="787"/>
      <c r="EW43" s="787"/>
      <c r="EX43" s="787"/>
      <c r="EY43" s="787"/>
      <c r="EZ43" s="786"/>
      <c r="FA43" s="787"/>
      <c r="FB43" s="787"/>
      <c r="FC43" s="787"/>
      <c r="FD43" s="787"/>
      <c r="FE43" s="787"/>
      <c r="FF43" s="787"/>
      <c r="FG43" s="787"/>
      <c r="FH43" s="787"/>
      <c r="FI43" s="787"/>
      <c r="FJ43" s="786"/>
      <c r="FK43" s="787"/>
      <c r="FL43" s="787"/>
      <c r="FM43" s="787"/>
      <c r="FN43" s="787"/>
      <c r="FO43" s="787"/>
      <c r="FP43" s="787"/>
      <c r="FQ43" s="787"/>
      <c r="FR43" s="787"/>
      <c r="FS43" s="787"/>
      <c r="FT43" s="786"/>
      <c r="FU43" s="787"/>
      <c r="FV43" s="787"/>
      <c r="FW43" s="787"/>
      <c r="FX43" s="787"/>
      <c r="FY43" s="787"/>
      <c r="FZ43" s="787"/>
      <c r="GA43" s="787"/>
      <c r="GB43" s="787"/>
      <c r="GC43" s="787"/>
      <c r="GD43" s="786"/>
      <c r="GE43" s="787"/>
      <c r="GF43" s="787"/>
      <c r="GG43" s="787"/>
      <c r="GH43" s="787"/>
      <c r="GI43" s="787"/>
      <c r="GJ43" s="787"/>
      <c r="GK43" s="787"/>
      <c r="GL43" s="787"/>
      <c r="GM43" s="787"/>
      <c r="GN43" s="786"/>
      <c r="GO43" s="787"/>
      <c r="GP43" s="787"/>
      <c r="GQ43" s="787"/>
      <c r="GR43" s="787"/>
      <c r="GS43" s="787"/>
      <c r="GT43" s="787"/>
      <c r="GU43" s="787"/>
      <c r="GV43" s="507"/>
      <c r="GW43" s="507"/>
      <c r="GX43" s="507"/>
      <c r="GY43" s="507"/>
      <c r="GZ43" s="507"/>
      <c r="HA43" s="507"/>
      <c r="HB43" s="507"/>
      <c r="HC43" s="507"/>
      <c r="HD43" s="507"/>
      <c r="HE43" s="507"/>
      <c r="HF43" s="507"/>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c r="IW43" s="193"/>
      <c r="IX43" s="193"/>
      <c r="IY43" s="193"/>
    </row>
    <row r="44" spans="2:259" ht="19.5" thickBot="1" x14ac:dyDescent="0.35">
      <c r="B44" s="636" t="s">
        <v>181</v>
      </c>
      <c r="C44" s="637" t="e">
        <f>C3+5.955+2.045</f>
        <v>#VALUE!</v>
      </c>
      <c r="D44" s="515"/>
      <c r="E44" s="515"/>
      <c r="F44" s="638"/>
      <c r="G44" s="193"/>
      <c r="H44" s="193"/>
      <c r="I44" s="193"/>
      <c r="J44" s="193"/>
      <c r="K44" s="193"/>
      <c r="L44" s="193"/>
      <c r="N44" s="994"/>
      <c r="O44" s="155"/>
      <c r="P44" s="75"/>
      <c r="Q44" s="156"/>
      <c r="R44" s="157">
        <v>12</v>
      </c>
      <c r="S44" s="157">
        <f t="shared" ref="S44:AJ44" si="0">R44+6</f>
        <v>18</v>
      </c>
      <c r="T44" s="157">
        <f t="shared" si="0"/>
        <v>24</v>
      </c>
      <c r="U44" s="157">
        <f t="shared" si="0"/>
        <v>30</v>
      </c>
      <c r="V44" s="157">
        <f t="shared" si="0"/>
        <v>36</v>
      </c>
      <c r="W44" s="157">
        <f t="shared" si="0"/>
        <v>42</v>
      </c>
      <c r="X44" s="158">
        <f t="shared" si="0"/>
        <v>48</v>
      </c>
      <c r="Y44" s="157">
        <f t="shared" si="0"/>
        <v>54</v>
      </c>
      <c r="Z44" s="157">
        <f t="shared" si="0"/>
        <v>60</v>
      </c>
      <c r="AA44" s="157">
        <f t="shared" si="0"/>
        <v>66</v>
      </c>
      <c r="AB44" s="157">
        <f t="shared" si="0"/>
        <v>72</v>
      </c>
      <c r="AC44" s="157">
        <f t="shared" si="0"/>
        <v>78</v>
      </c>
      <c r="AD44" s="158">
        <f t="shared" si="0"/>
        <v>84</v>
      </c>
      <c r="AE44" s="157">
        <f t="shared" si="0"/>
        <v>90</v>
      </c>
      <c r="AF44" s="157">
        <f t="shared" si="0"/>
        <v>96</v>
      </c>
      <c r="AG44" s="157">
        <f t="shared" si="0"/>
        <v>102</v>
      </c>
      <c r="AH44" s="157">
        <f t="shared" si="0"/>
        <v>108</v>
      </c>
      <c r="AI44" s="157">
        <f t="shared" si="0"/>
        <v>114</v>
      </c>
      <c r="AJ44" s="158">
        <f t="shared" si="0"/>
        <v>120</v>
      </c>
      <c r="AK44" s="74"/>
      <c r="AL44" s="74"/>
      <c r="AM44" s="74"/>
      <c r="AN44" s="74"/>
      <c r="AO44" s="74"/>
      <c r="AP44" s="74"/>
      <c r="AQ44" s="75"/>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c r="DT44" s="193"/>
      <c r="DU44" s="193"/>
      <c r="DV44" s="193"/>
      <c r="DW44" s="193"/>
      <c r="DX44" s="193"/>
      <c r="DY44" s="193"/>
      <c r="DZ44" s="193"/>
      <c r="EA44" s="193"/>
      <c r="EB44" s="193"/>
      <c r="EC44" s="193"/>
      <c r="ED44" s="193"/>
      <c r="EE44" s="193"/>
      <c r="EF44" s="193"/>
      <c r="EG44" s="193"/>
      <c r="EH44" s="193"/>
      <c r="EI44" s="193"/>
      <c r="EJ44" s="193"/>
      <c r="EK44" s="193"/>
      <c r="EL44" s="193"/>
      <c r="EM44" s="193"/>
      <c r="EN44" s="193"/>
      <c r="EO44" s="193"/>
      <c r="EP44" s="193"/>
      <c r="EQ44" s="193"/>
      <c r="ER44" s="193"/>
      <c r="ES44" s="193"/>
      <c r="ET44" s="193"/>
      <c r="EU44" s="193"/>
      <c r="EV44" s="193"/>
      <c r="EW44" s="193"/>
      <c r="EX44" s="193"/>
      <c r="EY44" s="193"/>
      <c r="EZ44" s="193"/>
      <c r="FA44" s="193"/>
      <c r="FB44" s="193"/>
      <c r="FC44" s="193"/>
      <c r="FD44" s="193"/>
      <c r="FE44" s="193"/>
      <c r="FF44" s="193"/>
      <c r="FG44" s="193"/>
      <c r="FH44" s="193"/>
      <c r="FI44" s="193"/>
      <c r="FJ44" s="193"/>
      <c r="FK44" s="193"/>
      <c r="FL44" s="193"/>
      <c r="FM44" s="193"/>
      <c r="FN44" s="193"/>
      <c r="FO44" s="193"/>
      <c r="FP44" s="193"/>
      <c r="FQ44" s="193"/>
      <c r="FR44" s="193"/>
      <c r="FS44" s="193"/>
      <c r="FT44" s="193"/>
      <c r="FU44" s="193"/>
      <c r="FV44" s="193"/>
      <c r="FW44" s="193"/>
      <c r="FX44" s="193"/>
      <c r="FY44" s="193"/>
      <c r="FZ44" s="193"/>
      <c r="GA44" s="193"/>
      <c r="GB44" s="193"/>
      <c r="GC44" s="193"/>
      <c r="GD44" s="193"/>
      <c r="GE44" s="193"/>
      <c r="GF44" s="193"/>
      <c r="GG44" s="193"/>
      <c r="GH44" s="193"/>
      <c r="GI44" s="193"/>
      <c r="GJ44" s="193"/>
      <c r="GK44" s="193"/>
      <c r="GL44" s="193"/>
      <c r="GM44" s="193"/>
      <c r="GN44" s="193"/>
      <c r="GO44" s="193"/>
      <c r="GP44" s="193"/>
      <c r="GQ44" s="193"/>
      <c r="GR44" s="193"/>
      <c r="GS44" s="193"/>
      <c r="GT44" s="193"/>
      <c r="GU44" s="193"/>
      <c r="GV44" s="193"/>
      <c r="GW44" s="193"/>
      <c r="GX44" s="193"/>
      <c r="GY44" s="193"/>
      <c r="GZ44" s="193"/>
      <c r="HA44" s="193"/>
      <c r="HB44" s="193"/>
      <c r="HC44" s="193"/>
      <c r="HD44" s="193"/>
      <c r="HE44" s="193"/>
      <c r="HF44" s="193"/>
      <c r="HG44" s="193"/>
      <c r="HH44" s="193"/>
      <c r="HI44" s="193"/>
      <c r="HJ44" s="193"/>
      <c r="HK44" s="193"/>
      <c r="HL44" s="193"/>
      <c r="HM44" s="193"/>
      <c r="HN44" s="193"/>
      <c r="HO44" s="193"/>
      <c r="HP44" s="193"/>
      <c r="HQ44" s="193"/>
      <c r="HR44" s="193"/>
      <c r="HS44" s="193"/>
      <c r="HT44" s="193"/>
      <c r="HU44" s="193"/>
      <c r="HV44" s="193"/>
      <c r="HW44" s="193"/>
      <c r="HX44" s="193"/>
      <c r="HY44" s="193"/>
      <c r="HZ44" s="193"/>
      <c r="IA44" s="193"/>
      <c r="IB44" s="193"/>
      <c r="IC44" s="193"/>
      <c r="ID44" s="193"/>
      <c r="IE44" s="193"/>
      <c r="IF44" s="193"/>
      <c r="IG44" s="193"/>
      <c r="IH44" s="193"/>
      <c r="II44" s="193"/>
      <c r="IJ44" s="193"/>
      <c r="IK44" s="193"/>
      <c r="IL44" s="193"/>
      <c r="IM44" s="193"/>
      <c r="IN44" s="193"/>
      <c r="IO44" s="193"/>
      <c r="IP44" s="193"/>
      <c r="IQ44" s="193"/>
      <c r="IR44" s="193"/>
      <c r="IS44" s="193"/>
      <c r="IT44" s="193"/>
      <c r="IU44" s="193"/>
      <c r="IV44" s="193"/>
      <c r="IW44" s="193"/>
      <c r="IX44" s="193"/>
      <c r="IY44" s="193"/>
    </row>
    <row r="45" spans="2:259" ht="18.75" customHeight="1" thickBot="1" x14ac:dyDescent="0.35">
      <c r="B45" s="639" t="s">
        <v>39</v>
      </c>
      <c r="C45" s="907" t="e">
        <f>VALUE(FIXED(C5,3))</f>
        <v>#VALUE!</v>
      </c>
      <c r="D45" s="40"/>
      <c r="E45" s="471"/>
      <c r="F45" s="641"/>
      <c r="G45" s="193"/>
      <c r="H45" s="193"/>
      <c r="I45" s="193"/>
      <c r="J45" s="193"/>
      <c r="K45" s="193"/>
      <c r="L45" s="193"/>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H45" s="193"/>
      <c r="CI45" s="193"/>
      <c r="CJ45" s="193"/>
      <c r="CK45" s="193"/>
      <c r="CL45" s="193"/>
      <c r="CM45" s="193"/>
      <c r="CN45" s="193"/>
      <c r="CO45" s="193"/>
      <c r="CP45" s="193"/>
      <c r="CQ45" s="193"/>
      <c r="CR45" s="193"/>
      <c r="CS45" s="193"/>
      <c r="CT45" s="193"/>
      <c r="CU45" s="193"/>
      <c r="CV45" s="193"/>
      <c r="CW45" s="193"/>
      <c r="CX45" s="193"/>
      <c r="CY45" s="193"/>
      <c r="CZ45" s="193"/>
      <c r="DA45" s="193"/>
      <c r="DB45" s="193"/>
      <c r="DC45" s="193"/>
      <c r="DD45" s="193"/>
      <c r="DE45" s="193"/>
      <c r="DF45" s="193"/>
      <c r="DG45" s="193"/>
      <c r="DH45" s="193"/>
      <c r="DI45" s="193"/>
      <c r="DJ45" s="193"/>
      <c r="DK45" s="193"/>
      <c r="DL45" s="193"/>
      <c r="DM45" s="193"/>
      <c r="DN45" s="193"/>
      <c r="DO45" s="193"/>
      <c r="DP45" s="193"/>
      <c r="DQ45" s="193"/>
      <c r="DR45" s="193"/>
      <c r="DS45" s="193"/>
      <c r="DT45" s="193"/>
      <c r="DU45" s="193"/>
      <c r="DV45" s="193"/>
      <c r="DW45" s="193"/>
      <c r="DX45" s="193"/>
      <c r="DY45" s="193"/>
      <c r="DZ45" s="193"/>
      <c r="EA45" s="193"/>
      <c r="EB45" s="193"/>
      <c r="EC45" s="193"/>
      <c r="ED45" s="193"/>
      <c r="EE45" s="193"/>
      <c r="EF45" s="193"/>
      <c r="EG45" s="193"/>
      <c r="EH45" s="193"/>
      <c r="EI45" s="193"/>
      <c r="EJ45" s="193"/>
      <c r="EK45" s="193"/>
      <c r="EL45" s="193"/>
      <c r="EM45" s="193"/>
      <c r="EN45" s="193"/>
      <c r="EO45" s="193"/>
      <c r="EP45" s="193"/>
      <c r="EQ45" s="193"/>
      <c r="ER45" s="193"/>
      <c r="ES45" s="193"/>
      <c r="ET45" s="193"/>
      <c r="EU45" s="193"/>
      <c r="EV45" s="193"/>
      <c r="EW45" s="193"/>
      <c r="EX45" s="193"/>
      <c r="EY45" s="193"/>
      <c r="EZ45" s="193"/>
      <c r="FA45" s="193"/>
      <c r="FB45" s="193"/>
      <c r="FC45" s="193"/>
      <c r="FD45" s="193"/>
      <c r="FE45" s="193"/>
      <c r="FF45" s="193"/>
      <c r="FG45" s="193"/>
      <c r="FH45" s="424"/>
      <c r="FI45" s="193"/>
      <c r="FJ45" s="193"/>
      <c r="FK45" s="193"/>
      <c r="FL45" s="193"/>
      <c r="FM45" s="193"/>
      <c r="FN45" s="193"/>
      <c r="FO45" s="193"/>
      <c r="FP45" s="193"/>
      <c r="FQ45" s="193"/>
      <c r="FR45" s="193"/>
      <c r="FS45" s="193"/>
      <c r="FT45" s="193"/>
      <c r="FU45" s="193"/>
      <c r="FV45" s="193"/>
      <c r="FW45" s="193"/>
      <c r="FX45" s="193"/>
      <c r="FY45" s="193"/>
      <c r="FZ45" s="193"/>
      <c r="GA45" s="193"/>
      <c r="GB45" s="193"/>
      <c r="GC45" s="193"/>
      <c r="GD45" s="193"/>
      <c r="GE45" s="193"/>
      <c r="GF45" s="193"/>
      <c r="GG45" s="193"/>
      <c r="GH45" s="193"/>
      <c r="GI45" s="193"/>
      <c r="GJ45" s="193"/>
      <c r="GK45" s="193"/>
      <c r="GL45" s="193"/>
      <c r="GM45" s="193"/>
      <c r="GN45" s="193"/>
      <c r="GO45" s="193"/>
      <c r="GP45" s="193"/>
      <c r="GQ45" s="193"/>
      <c r="GR45" s="193"/>
      <c r="GS45" s="193"/>
      <c r="GT45" s="193"/>
      <c r="GU45" s="193"/>
      <c r="GV45" s="193"/>
      <c r="GW45" s="193"/>
      <c r="GX45" s="193"/>
      <c r="GY45" s="193"/>
      <c r="GZ45" s="193"/>
      <c r="HA45" s="193"/>
      <c r="HB45" s="193"/>
      <c r="HC45" s="193"/>
      <c r="HD45" s="193"/>
      <c r="HE45" s="193"/>
      <c r="HF45" s="193"/>
      <c r="HG45" s="193"/>
      <c r="HH45" s="193"/>
      <c r="HI45" s="193"/>
      <c r="HJ45" s="193"/>
      <c r="HK45" s="193"/>
      <c r="HL45" s="193"/>
      <c r="HM45" s="193"/>
      <c r="HN45" s="193"/>
      <c r="HO45" s="193"/>
      <c r="HP45" s="193"/>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193"/>
      <c r="IN45" s="193"/>
      <c r="IO45" s="193"/>
      <c r="IP45" s="193"/>
      <c r="IQ45" s="193"/>
      <c r="IR45" s="193"/>
      <c r="IS45" s="193"/>
      <c r="IT45" s="193"/>
      <c r="IU45" s="193"/>
      <c r="IV45" s="193"/>
      <c r="IW45" s="193"/>
      <c r="IX45" s="193"/>
      <c r="IY45" s="193"/>
    </row>
    <row r="46" spans="2:259" ht="15.75" customHeight="1" thickBot="1" x14ac:dyDescent="0.4">
      <c r="B46" s="642" t="s">
        <v>63</v>
      </c>
      <c r="C46" s="471"/>
      <c r="D46" s="471"/>
      <c r="E46" s="471"/>
      <c r="F46" s="641"/>
      <c r="G46" s="193"/>
      <c r="H46" s="193"/>
      <c r="I46" s="193"/>
      <c r="J46" s="193"/>
      <c r="K46" s="193"/>
      <c r="L46" s="193"/>
      <c r="N46" s="484"/>
      <c r="O46" s="423">
        <v>15.65</v>
      </c>
      <c r="P46" s="183">
        <v>2</v>
      </c>
      <c r="Q46" s="490"/>
      <c r="R46" s="298">
        <v>2.89</v>
      </c>
      <c r="S46" s="298">
        <v>4.7</v>
      </c>
      <c r="T46" s="298">
        <v>6.51</v>
      </c>
      <c r="U46" s="298">
        <v>8.32</v>
      </c>
      <c r="V46" s="298">
        <v>10.14</v>
      </c>
      <c r="W46" s="298">
        <v>11.95</v>
      </c>
      <c r="X46" s="298">
        <v>13.76</v>
      </c>
      <c r="Y46" s="298">
        <v>15.58</v>
      </c>
      <c r="Z46" s="298">
        <v>17.39</v>
      </c>
      <c r="AA46" s="633">
        <v>19.2</v>
      </c>
      <c r="AB46" s="670">
        <v>21.009999999999998</v>
      </c>
      <c r="AC46" s="670">
        <v>22.819999999999997</v>
      </c>
      <c r="AD46" s="670">
        <v>24.629999999999995</v>
      </c>
      <c r="AE46" s="670">
        <v>26.439999999999994</v>
      </c>
      <c r="AF46" s="670">
        <v>28.249999999999993</v>
      </c>
      <c r="AG46" s="670">
        <v>30.059999999999992</v>
      </c>
      <c r="AH46" s="670">
        <v>31.86999999999999</v>
      </c>
      <c r="AI46" s="670">
        <v>33.679999999999993</v>
      </c>
      <c r="AJ46" s="670">
        <v>35.520000000000003</v>
      </c>
      <c r="AK46" s="114"/>
      <c r="AL46" s="114"/>
      <c r="AM46" s="114"/>
      <c r="AN46" s="114"/>
      <c r="AO46" s="114"/>
      <c r="AP46" s="114"/>
      <c r="AQ46" s="120"/>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93"/>
      <c r="BP46" s="193"/>
      <c r="BQ46" s="193"/>
      <c r="BR46" s="193"/>
      <c r="BS46" s="193"/>
      <c r="BT46" s="193"/>
      <c r="BU46" s="193"/>
      <c r="BV46" s="193"/>
      <c r="BW46" s="193"/>
      <c r="BX46" s="193"/>
      <c r="BY46" s="193"/>
      <c r="BZ46" s="193"/>
      <c r="CA46" s="193"/>
      <c r="CB46" s="193"/>
      <c r="CC46" s="193"/>
      <c r="CD46" s="193"/>
      <c r="CE46" s="193"/>
      <c r="CF46" s="193"/>
      <c r="CG46" s="193"/>
      <c r="CH46" s="193"/>
      <c r="CI46" s="193"/>
      <c r="CJ46" s="193"/>
      <c r="CK46" s="193"/>
      <c r="CL46" s="193"/>
      <c r="CM46" s="193"/>
      <c r="CN46" s="193"/>
      <c r="CO46" s="193"/>
      <c r="CP46" s="193"/>
      <c r="CQ46" s="193"/>
      <c r="CR46" s="193"/>
      <c r="CS46" s="193"/>
      <c r="CT46" s="193"/>
      <c r="CU46" s="193"/>
      <c r="CV46" s="193"/>
      <c r="CW46" s="193"/>
      <c r="CX46" s="193"/>
      <c r="CY46" s="193"/>
      <c r="CZ46" s="193"/>
      <c r="DA46" s="193"/>
      <c r="DB46" s="193"/>
      <c r="DC46" s="193"/>
      <c r="DD46" s="193"/>
      <c r="DE46" s="193"/>
      <c r="DF46" s="193"/>
      <c r="DG46" s="193"/>
      <c r="DH46" s="193"/>
      <c r="DI46" s="193"/>
      <c r="DJ46" s="193"/>
      <c r="DK46" s="193"/>
      <c r="DL46" s="193"/>
      <c r="DM46" s="193"/>
      <c r="DN46" s="193"/>
      <c r="DO46" s="193"/>
      <c r="DP46" s="193"/>
      <c r="DQ46" s="193"/>
      <c r="DR46" s="193"/>
      <c r="DS46" s="193"/>
      <c r="DT46" s="193"/>
      <c r="DU46" s="193"/>
      <c r="DV46" s="193"/>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431"/>
      <c r="IT46" s="193"/>
      <c r="IU46" s="193"/>
      <c r="IV46" s="193"/>
      <c r="IW46" s="193"/>
      <c r="IX46" s="193"/>
      <c r="IY46" s="193"/>
    </row>
    <row r="47" spans="2:259" ht="15" customHeight="1" thickBot="1" x14ac:dyDescent="0.3">
      <c r="B47" s="643"/>
      <c r="C47" s="40"/>
      <c r="D47" s="471"/>
      <c r="E47" s="471"/>
      <c r="F47" s="654"/>
      <c r="G47" s="193"/>
      <c r="H47" s="193"/>
      <c r="I47" s="193"/>
      <c r="J47" s="193"/>
      <c r="K47" s="193"/>
      <c r="L47" s="193"/>
      <c r="N47" s="136"/>
      <c r="O47" s="423">
        <v>20.65</v>
      </c>
      <c r="P47" s="184">
        <v>3</v>
      </c>
      <c r="Q47" s="491"/>
      <c r="R47" s="298">
        <v>3.62</v>
      </c>
      <c r="S47" s="298">
        <v>5.8</v>
      </c>
      <c r="T47" s="298">
        <v>7.99</v>
      </c>
      <c r="U47" s="298">
        <v>10.17</v>
      </c>
      <c r="V47" s="298">
        <v>12.35</v>
      </c>
      <c r="W47" s="298">
        <v>14.53</v>
      </c>
      <c r="X47" s="298">
        <v>16.71</v>
      </c>
      <c r="Y47" s="298">
        <v>18.89</v>
      </c>
      <c r="Z47" s="298">
        <v>21.07</v>
      </c>
      <c r="AA47" s="633">
        <v>23.26</v>
      </c>
      <c r="AB47" s="633">
        <v>25.44</v>
      </c>
      <c r="AC47" s="633">
        <v>27.62</v>
      </c>
      <c r="AD47" s="633">
        <v>29.8</v>
      </c>
      <c r="AE47" s="633">
        <v>31.98</v>
      </c>
      <c r="AF47" s="633">
        <v>34.160000000000004</v>
      </c>
      <c r="AG47" s="633">
        <v>36.340000000000003</v>
      </c>
      <c r="AH47" s="633">
        <v>38.520000000000003</v>
      </c>
      <c r="AI47" s="633">
        <v>40.700000000000003</v>
      </c>
      <c r="AJ47" s="633">
        <v>42.89</v>
      </c>
      <c r="AK47" s="45"/>
      <c r="AL47" s="117"/>
      <c r="AM47" s="117" t="e">
        <f>D50</f>
        <v>#VALUE!</v>
      </c>
      <c r="AN47" s="118" t="e">
        <f>C44</f>
        <v>#VALUE!</v>
      </c>
      <c r="AO47" s="117" t="e">
        <f>E50</f>
        <v>#VALUE!</v>
      </c>
      <c r="AP47" s="45"/>
      <c r="AQ47" s="46"/>
      <c r="CL47" s="61"/>
      <c r="CM47" s="61"/>
      <c r="CN47" s="61"/>
      <c r="CO47" s="61"/>
      <c r="CP47" s="61"/>
      <c r="CQ47" s="61"/>
      <c r="CR47" s="61"/>
      <c r="CS47" s="61"/>
    </row>
    <row r="48" spans="2:259" ht="15" customHeight="1" thickBot="1" x14ac:dyDescent="0.3">
      <c r="B48" s="643"/>
      <c r="C48" s="644"/>
      <c r="D48" s="645" t="s">
        <v>215</v>
      </c>
      <c r="E48" s="662"/>
      <c r="F48" s="668"/>
      <c r="G48" s="436"/>
      <c r="H48" s="436"/>
      <c r="I48" s="436"/>
      <c r="J48" s="193"/>
      <c r="K48" s="193"/>
      <c r="L48" s="193"/>
      <c r="N48" s="79"/>
      <c r="O48" s="423">
        <v>25.65</v>
      </c>
      <c r="P48" s="184">
        <v>4</v>
      </c>
      <c r="Q48" s="491"/>
      <c r="R48" s="630">
        <v>4.3600000000000003</v>
      </c>
      <c r="S48" s="630">
        <v>6.91</v>
      </c>
      <c r="T48" s="630">
        <v>9.4600000000000009</v>
      </c>
      <c r="U48" s="630">
        <v>12.01</v>
      </c>
      <c r="V48" s="630">
        <v>14.559999999999999</v>
      </c>
      <c r="W48" s="630">
        <v>17.11</v>
      </c>
      <c r="X48" s="630">
        <v>19.66</v>
      </c>
      <c r="Y48" s="630">
        <v>22.21</v>
      </c>
      <c r="Z48" s="630">
        <v>24.76</v>
      </c>
      <c r="AA48" s="630">
        <v>27.310000000000002</v>
      </c>
      <c r="AB48" s="630">
        <v>29.860000000000003</v>
      </c>
      <c r="AC48" s="630">
        <v>32.410000000000004</v>
      </c>
      <c r="AD48" s="630">
        <v>34.96</v>
      </c>
      <c r="AE48" s="630">
        <v>37.51</v>
      </c>
      <c r="AF48" s="630">
        <v>40.059999999999995</v>
      </c>
      <c r="AG48" s="630">
        <v>42.609999999999992</v>
      </c>
      <c r="AH48" s="630">
        <v>45.159999999999989</v>
      </c>
      <c r="AI48" s="630">
        <v>47.709999999999987</v>
      </c>
      <c r="AJ48" s="633">
        <v>50.26</v>
      </c>
      <c r="AK48" s="76"/>
      <c r="AL48" s="118" t="e">
        <f>C45</f>
        <v>#VALUE!</v>
      </c>
      <c r="AM48" s="118" t="e">
        <f>INDEX(P46:AJ65,MATCH(AL48,O46:O61,0),D51)</f>
        <v>#VALUE!</v>
      </c>
      <c r="AN48" s="118" t="e">
        <f>(((AN47-AM47)/(AO47-AM47))*(AO48-AM48))+AM48</f>
        <v>#VALUE!</v>
      </c>
      <c r="AO48" s="118" t="e">
        <f>INDEX(P46:AJ65,MATCH(AL48,O46:O61,0),E51)</f>
        <v>#VALUE!</v>
      </c>
      <c r="AP48" s="45"/>
      <c r="AQ48" s="46"/>
    </row>
    <row r="49" spans="1:59" ht="16.5" thickBot="1" x14ac:dyDescent="0.3">
      <c r="B49" s="643"/>
      <c r="C49" s="646"/>
      <c r="D49" s="647" t="s">
        <v>64</v>
      </c>
      <c r="E49" s="663" t="s">
        <v>65</v>
      </c>
      <c r="F49" s="668"/>
      <c r="G49" s="436"/>
      <c r="H49" s="436"/>
      <c r="I49" s="436"/>
      <c r="J49" s="193"/>
      <c r="K49" s="193"/>
      <c r="L49" s="193"/>
      <c r="N49" s="79"/>
      <c r="O49" s="423">
        <v>30.65</v>
      </c>
      <c r="P49" s="184">
        <v>5</v>
      </c>
      <c r="Q49" s="491"/>
      <c r="R49" s="298">
        <v>5.0999999999999996</v>
      </c>
      <c r="S49" s="298">
        <v>8.02</v>
      </c>
      <c r="T49" s="298">
        <v>10.93</v>
      </c>
      <c r="U49" s="298">
        <v>13.85</v>
      </c>
      <c r="V49" s="298">
        <v>16.77</v>
      </c>
      <c r="W49" s="298">
        <v>19.690000000000001</v>
      </c>
      <c r="X49" s="298">
        <v>22.61</v>
      </c>
      <c r="Y49" s="298">
        <v>25.53</v>
      </c>
      <c r="Z49" s="298">
        <v>28.45</v>
      </c>
      <c r="AA49" s="633">
        <v>31.36</v>
      </c>
      <c r="AB49" s="630">
        <v>34.28</v>
      </c>
      <c r="AC49" s="630">
        <v>37.200000000000003</v>
      </c>
      <c r="AD49" s="630">
        <v>40.120000000000005</v>
      </c>
      <c r="AE49" s="630">
        <v>43.040000000000006</v>
      </c>
      <c r="AF49" s="630">
        <v>45.960000000000008</v>
      </c>
      <c r="AG49" s="630">
        <v>48.88000000000001</v>
      </c>
      <c r="AH49" s="630">
        <v>51.800000000000011</v>
      </c>
      <c r="AI49" s="630">
        <v>54.720000000000013</v>
      </c>
      <c r="AJ49" s="633">
        <v>57.63</v>
      </c>
      <c r="AK49" s="45"/>
      <c r="AL49" s="413"/>
      <c r="AM49" s="118"/>
      <c r="AN49" s="119"/>
      <c r="AO49" s="118"/>
      <c r="AP49" s="45"/>
      <c r="AQ49" s="46"/>
    </row>
    <row r="50" spans="1:59" ht="16.5" thickBot="1" x14ac:dyDescent="0.3">
      <c r="B50" s="643"/>
      <c r="C50" s="648"/>
      <c r="D50" s="649" t="e">
        <f>IF(AND(C44&lt;18,C44&gt;=H3),12,FLOOR(C44/6,1)*6)</f>
        <v>#VALUE!</v>
      </c>
      <c r="E50" s="664" t="e">
        <f>IF(D50&lt;12,12,D50+6)</f>
        <v>#VALUE!</v>
      </c>
      <c r="F50" s="668"/>
      <c r="G50" s="436"/>
      <c r="H50" s="436"/>
      <c r="I50" s="436"/>
      <c r="J50" s="193"/>
      <c r="K50" s="193"/>
      <c r="L50" s="193"/>
      <c r="N50" s="79"/>
      <c r="O50" s="423">
        <v>35.65</v>
      </c>
      <c r="P50" s="184">
        <v>6</v>
      </c>
      <c r="Q50" s="491"/>
      <c r="R50" s="298">
        <v>5.84</v>
      </c>
      <c r="S50" s="298">
        <v>9.1199999999999992</v>
      </c>
      <c r="T50" s="298">
        <v>12.41</v>
      </c>
      <c r="U50" s="298">
        <v>15.7</v>
      </c>
      <c r="V50" s="298">
        <v>18.98</v>
      </c>
      <c r="W50" s="298">
        <v>22.27</v>
      </c>
      <c r="X50" s="298">
        <v>25.56</v>
      </c>
      <c r="Y50" s="298">
        <v>28.84</v>
      </c>
      <c r="Z50" s="298">
        <v>32.130000000000003</v>
      </c>
      <c r="AA50" s="633">
        <v>35.42</v>
      </c>
      <c r="AB50" s="630">
        <v>38.700000000000003</v>
      </c>
      <c r="AC50" s="630">
        <v>41.980000000000004</v>
      </c>
      <c r="AD50" s="630">
        <v>45.260000000000005</v>
      </c>
      <c r="AE50" s="630">
        <v>48.540000000000006</v>
      </c>
      <c r="AF50" s="630">
        <v>51.820000000000007</v>
      </c>
      <c r="AG50" s="630">
        <v>55.100000000000009</v>
      </c>
      <c r="AH50" s="630">
        <v>58.38000000000001</v>
      </c>
      <c r="AI50" s="630">
        <v>61.660000000000011</v>
      </c>
      <c r="AJ50" s="633">
        <v>65</v>
      </c>
      <c r="AK50" s="45"/>
      <c r="AL50" s="117"/>
      <c r="AM50" s="118"/>
      <c r="AN50" s="118"/>
      <c r="AO50" s="118"/>
      <c r="AP50" s="45"/>
      <c r="AQ50" s="46"/>
    </row>
    <row r="51" spans="1:59" ht="15.75" thickBot="1" x14ac:dyDescent="0.3">
      <c r="B51" s="643"/>
      <c r="C51" s="648" t="s">
        <v>34</v>
      </c>
      <c r="D51" s="649" t="e">
        <f>HLOOKUP(D50,P44:AJ45,2)</f>
        <v>#VALUE!</v>
      </c>
      <c r="E51" s="664" t="e">
        <f>HLOOKUP(E50,P44:AJ45,2)</f>
        <v>#VALUE!</v>
      </c>
      <c r="F51" s="668"/>
      <c r="G51" s="436"/>
      <c r="H51" s="436"/>
      <c r="I51" s="436"/>
      <c r="J51" s="193"/>
      <c r="K51" s="193"/>
      <c r="L51" s="193"/>
      <c r="N51" s="79"/>
      <c r="O51" s="423">
        <v>40.65</v>
      </c>
      <c r="P51" s="184">
        <v>7</v>
      </c>
      <c r="Q51" s="491"/>
      <c r="R51" s="298">
        <v>6.57</v>
      </c>
      <c r="S51" s="298">
        <v>10.23</v>
      </c>
      <c r="T51" s="298">
        <v>13.88</v>
      </c>
      <c r="U51" s="298">
        <v>17.54</v>
      </c>
      <c r="V51" s="298">
        <v>21.19</v>
      </c>
      <c r="W51" s="298">
        <v>24.85</v>
      </c>
      <c r="X51" s="298">
        <v>28.51</v>
      </c>
      <c r="Y51" s="298">
        <v>32.159999999999997</v>
      </c>
      <c r="Z51" s="298">
        <v>35.82</v>
      </c>
      <c r="AA51" s="633">
        <v>39.47</v>
      </c>
      <c r="AB51" s="630">
        <v>43.12</v>
      </c>
      <c r="AC51" s="630">
        <v>46.78</v>
      </c>
      <c r="AD51" s="630">
        <v>50.44</v>
      </c>
      <c r="AE51" s="630">
        <v>54.099999999999994</v>
      </c>
      <c r="AF51" s="630">
        <v>57.759999999999991</v>
      </c>
      <c r="AG51" s="630">
        <v>61.419999999999987</v>
      </c>
      <c r="AH51" s="630">
        <v>65.079999999999984</v>
      </c>
      <c r="AI51" s="630">
        <v>68.739999999999981</v>
      </c>
      <c r="AJ51" s="633">
        <v>72.37</v>
      </c>
      <c r="AK51" s="45"/>
      <c r="AL51" s="45"/>
      <c r="AM51" s="45"/>
      <c r="AN51" s="45"/>
      <c r="AO51" s="45"/>
      <c r="AP51" s="45"/>
      <c r="AQ51" s="46"/>
    </row>
    <row r="52" spans="1:59" ht="16.5" thickBot="1" x14ac:dyDescent="0.3">
      <c r="B52" s="643"/>
      <c r="C52" s="650"/>
      <c r="D52" s="651"/>
      <c r="E52" s="665"/>
      <c r="F52" s="668"/>
      <c r="G52" s="436"/>
      <c r="H52" s="436"/>
      <c r="I52" s="436"/>
      <c r="J52" s="193"/>
      <c r="K52" s="193"/>
      <c r="L52" s="193"/>
      <c r="N52" s="79"/>
      <c r="O52" s="423">
        <v>45.65</v>
      </c>
      <c r="P52" s="184">
        <v>8</v>
      </c>
      <c r="Q52" s="491"/>
      <c r="R52" s="298">
        <v>7.31</v>
      </c>
      <c r="S52" s="298">
        <v>11.33</v>
      </c>
      <c r="T52" s="298">
        <v>15.36</v>
      </c>
      <c r="U52" s="298">
        <v>19.38</v>
      </c>
      <c r="V52" s="298">
        <v>23.41</v>
      </c>
      <c r="W52" s="298">
        <v>27.43</v>
      </c>
      <c r="X52" s="298">
        <v>31.45</v>
      </c>
      <c r="Y52" s="298">
        <v>35.479999999999997</v>
      </c>
      <c r="Z52" s="298">
        <v>39.5</v>
      </c>
      <c r="AA52" s="633">
        <v>43.53</v>
      </c>
      <c r="AB52" s="630">
        <v>47.55</v>
      </c>
      <c r="AC52" s="630">
        <v>51.569999999999993</v>
      </c>
      <c r="AD52" s="630">
        <v>55.589999999999989</v>
      </c>
      <c r="AE52" s="630">
        <v>59.609999999999985</v>
      </c>
      <c r="AF52" s="630">
        <v>63.629999999999981</v>
      </c>
      <c r="AG52" s="630">
        <v>67.649999999999977</v>
      </c>
      <c r="AH52" s="630">
        <v>71.669999999999973</v>
      </c>
      <c r="AI52" s="630">
        <v>75.689999999999969</v>
      </c>
      <c r="AJ52" s="633">
        <v>79.75</v>
      </c>
      <c r="AK52" s="45"/>
      <c r="AL52" s="117"/>
      <c r="AM52" s="117" t="e">
        <f>D62</f>
        <v>#VALUE!</v>
      </c>
      <c r="AN52" s="118" t="e">
        <f>C56</f>
        <v>#VALUE!</v>
      </c>
      <c r="AO52" s="117" t="e">
        <f>E62</f>
        <v>#VALUE!</v>
      </c>
      <c r="AP52" s="45"/>
      <c r="AQ52" s="46"/>
    </row>
    <row r="53" spans="1:59" ht="16.5" thickBot="1" x14ac:dyDescent="0.3">
      <c r="A53" s="71"/>
      <c r="B53" s="643"/>
      <c r="C53" s="471"/>
      <c r="D53" s="471"/>
      <c r="E53" s="666"/>
      <c r="F53" s="169"/>
      <c r="G53" s="193"/>
      <c r="H53" s="193"/>
      <c r="I53" s="193"/>
      <c r="J53" s="193"/>
      <c r="K53" s="193"/>
      <c r="L53" s="193"/>
      <c r="N53" s="79"/>
      <c r="O53" s="423">
        <v>50.65</v>
      </c>
      <c r="P53" s="184">
        <v>9</v>
      </c>
      <c r="Q53" s="491"/>
      <c r="R53" s="298">
        <v>8.0500000000000007</v>
      </c>
      <c r="S53" s="298">
        <v>12.44</v>
      </c>
      <c r="T53" s="298">
        <v>16.829999999999998</v>
      </c>
      <c r="U53" s="298">
        <v>21.23</v>
      </c>
      <c r="V53" s="298">
        <v>25.62</v>
      </c>
      <c r="W53" s="298">
        <v>30.01</v>
      </c>
      <c r="X53" s="298">
        <v>34.4</v>
      </c>
      <c r="Y53" s="298">
        <v>38.799999999999997</v>
      </c>
      <c r="Z53" s="298">
        <v>43.19</v>
      </c>
      <c r="AA53" s="633">
        <v>47.58</v>
      </c>
      <c r="AB53" s="630">
        <v>51.97</v>
      </c>
      <c r="AC53" s="630">
        <v>56.36</v>
      </c>
      <c r="AD53" s="630">
        <v>60.75</v>
      </c>
      <c r="AE53" s="630">
        <v>65.14</v>
      </c>
      <c r="AF53" s="630">
        <v>69.53</v>
      </c>
      <c r="AG53" s="630">
        <v>73.92</v>
      </c>
      <c r="AH53" s="630">
        <v>78.31</v>
      </c>
      <c r="AI53" s="630">
        <v>82.7</v>
      </c>
      <c r="AJ53" s="633">
        <v>87.12</v>
      </c>
      <c r="AK53" s="45"/>
      <c r="AL53" s="118" t="e">
        <f>C57</f>
        <v>#VALUE!</v>
      </c>
      <c r="AM53" s="118" t="e">
        <f>INDEX(P46:AJ65,MATCH(AL53,O46:O61,0),D63)</f>
        <v>#VALUE!</v>
      </c>
      <c r="AN53" s="118" t="e">
        <f>(((AN52-AM52)/(AO52-AM52))*(AO53-AM53))+AM53</f>
        <v>#VALUE!</v>
      </c>
      <c r="AO53" s="118" t="e">
        <f>INDEX(P46:AJ65,MATCH(AL53,O46:O61,0),E63)</f>
        <v>#VALUE!</v>
      </c>
      <c r="AP53" s="45"/>
      <c r="AQ53" s="46"/>
    </row>
    <row r="54" spans="1:59" ht="21.75" thickBot="1" x14ac:dyDescent="0.4">
      <c r="B54" s="652"/>
      <c r="C54" s="471"/>
      <c r="D54" s="40"/>
      <c r="E54" s="666"/>
      <c r="F54" s="169"/>
      <c r="G54" s="193"/>
      <c r="H54" s="193"/>
      <c r="I54" s="658"/>
      <c r="J54" s="658"/>
      <c r="K54" s="658"/>
      <c r="L54" s="193"/>
      <c r="N54" s="79"/>
      <c r="O54" s="423">
        <v>55.65</v>
      </c>
      <c r="P54" s="184">
        <v>10</v>
      </c>
      <c r="Q54" s="491"/>
      <c r="R54" s="630">
        <v>8.7799999999999994</v>
      </c>
      <c r="S54" s="630">
        <v>13.55</v>
      </c>
      <c r="T54" s="630">
        <v>18.309999999999999</v>
      </c>
      <c r="U54" s="630">
        <v>23.07</v>
      </c>
      <c r="V54" s="630">
        <v>27.83</v>
      </c>
      <c r="W54" s="630">
        <v>32.589999999999996</v>
      </c>
      <c r="X54" s="630">
        <v>37.349999999999994</v>
      </c>
      <c r="Y54" s="630">
        <v>42.109999999999992</v>
      </c>
      <c r="Z54" s="630">
        <v>46.86999999999999</v>
      </c>
      <c r="AA54" s="630">
        <v>51.629999999999988</v>
      </c>
      <c r="AB54" s="630">
        <v>56.389999999999986</v>
      </c>
      <c r="AC54" s="630">
        <v>61.149999999999984</v>
      </c>
      <c r="AD54" s="630">
        <v>65.909999999999982</v>
      </c>
      <c r="AE54" s="630">
        <v>70.669999999999987</v>
      </c>
      <c r="AF54" s="630">
        <v>75.429999999999993</v>
      </c>
      <c r="AG54" s="630">
        <v>80.19</v>
      </c>
      <c r="AH54" s="630">
        <v>84.95</v>
      </c>
      <c r="AI54" s="630">
        <v>89.710000000000008</v>
      </c>
      <c r="AJ54" s="633">
        <v>94.49</v>
      </c>
      <c r="AK54" s="45"/>
      <c r="AL54" s="413"/>
      <c r="AM54" s="118"/>
      <c r="AN54" s="119"/>
      <c r="AO54" s="118"/>
      <c r="AP54" s="45"/>
      <c r="AQ54" s="46"/>
    </row>
    <row r="55" spans="1:59" ht="19.5" thickBot="1" x14ac:dyDescent="0.35">
      <c r="B55" s="643"/>
      <c r="C55" s="471"/>
      <c r="D55" s="653"/>
      <c r="E55" s="667"/>
      <c r="F55" s="669"/>
      <c r="G55" s="425"/>
      <c r="H55" s="193"/>
      <c r="I55" s="658"/>
      <c r="J55" s="658"/>
      <c r="K55" s="658"/>
      <c r="L55" s="193"/>
      <c r="N55" s="79"/>
      <c r="O55" s="423">
        <v>60.65</v>
      </c>
      <c r="P55" s="184">
        <v>11</v>
      </c>
      <c r="Q55" s="491"/>
      <c r="R55" s="298">
        <v>9.52</v>
      </c>
      <c r="S55" s="298">
        <v>14.65</v>
      </c>
      <c r="T55" s="298">
        <v>19.78</v>
      </c>
      <c r="U55" s="298">
        <v>24.91</v>
      </c>
      <c r="V55" s="298">
        <v>30.04</v>
      </c>
      <c r="W55" s="298">
        <v>35.17</v>
      </c>
      <c r="X55" s="298">
        <v>40.299999999999997</v>
      </c>
      <c r="Y55" s="298">
        <v>45.43</v>
      </c>
      <c r="Z55" s="298">
        <v>50.56</v>
      </c>
      <c r="AA55" s="633">
        <v>55.69</v>
      </c>
      <c r="AB55" s="633">
        <v>60.82</v>
      </c>
      <c r="AC55" s="633">
        <v>65.95</v>
      </c>
      <c r="AD55" s="633">
        <v>71.08</v>
      </c>
      <c r="AE55" s="633">
        <v>76.209999999999994</v>
      </c>
      <c r="AF55" s="633">
        <v>81.339999999999989</v>
      </c>
      <c r="AG55" s="633">
        <v>86.469999999999985</v>
      </c>
      <c r="AH55" s="633">
        <v>91.59999999999998</v>
      </c>
      <c r="AI55" s="633">
        <v>96.729999999999976</v>
      </c>
      <c r="AJ55" s="633">
        <v>101.85999999999997</v>
      </c>
      <c r="AK55" s="45"/>
      <c r="AL55" s="117"/>
      <c r="AM55" s="118"/>
      <c r="AN55" s="118"/>
      <c r="AO55" s="118"/>
      <c r="AP55" s="185"/>
      <c r="AQ55" s="46"/>
    </row>
    <row r="56" spans="1:59" ht="19.5" thickBot="1" x14ac:dyDescent="0.35">
      <c r="B56" s="639" t="s">
        <v>38</v>
      </c>
      <c r="C56" s="640" t="e">
        <f>C4+5.955+2.045</f>
        <v>#VALUE!</v>
      </c>
      <c r="D56" s="471"/>
      <c r="E56" s="666"/>
      <c r="F56" s="169"/>
      <c r="G56" s="656"/>
      <c r="H56" s="193"/>
      <c r="I56" s="658"/>
      <c r="J56" s="658"/>
      <c r="K56" s="658"/>
      <c r="L56" s="193"/>
      <c r="N56" s="79"/>
      <c r="O56" s="423">
        <v>65.650000000000006</v>
      </c>
      <c r="P56" s="184">
        <v>12</v>
      </c>
      <c r="Q56" s="491"/>
      <c r="R56" s="298">
        <v>10.26</v>
      </c>
      <c r="S56" s="298">
        <v>15.76</v>
      </c>
      <c r="T56" s="298">
        <v>21.26</v>
      </c>
      <c r="U56" s="298">
        <v>26.75</v>
      </c>
      <c r="V56" s="298">
        <v>32.25</v>
      </c>
      <c r="W56" s="298">
        <v>37.75</v>
      </c>
      <c r="X56" s="298">
        <v>43.25</v>
      </c>
      <c r="Y56" s="298">
        <v>48.75</v>
      </c>
      <c r="Z56" s="298">
        <v>54.25</v>
      </c>
      <c r="AA56" s="633">
        <v>59.75</v>
      </c>
      <c r="AB56" s="633">
        <v>65.25</v>
      </c>
      <c r="AC56" s="633">
        <v>70.75</v>
      </c>
      <c r="AD56" s="633">
        <v>76.25</v>
      </c>
      <c r="AE56" s="633">
        <v>81.75</v>
      </c>
      <c r="AF56" s="633">
        <v>87.25</v>
      </c>
      <c r="AG56" s="633">
        <v>92.75</v>
      </c>
      <c r="AH56" s="633">
        <v>98.25</v>
      </c>
      <c r="AI56" s="633">
        <v>103.75</v>
      </c>
      <c r="AJ56" s="633">
        <v>109.25</v>
      </c>
      <c r="AK56" s="45"/>
      <c r="AL56" s="327"/>
      <c r="AM56" s="327"/>
      <c r="AN56" s="327"/>
      <c r="AO56" s="327"/>
      <c r="AP56" s="327"/>
      <c r="AQ56" s="46"/>
    </row>
    <row r="57" spans="1:59" ht="19.5" thickBot="1" x14ac:dyDescent="0.35">
      <c r="B57" s="639" t="s">
        <v>39</v>
      </c>
      <c r="C57" s="906" t="e">
        <f>VALUE(FIXED(C5,3))</f>
        <v>#VALUE!</v>
      </c>
      <c r="D57" s="40"/>
      <c r="E57" s="666"/>
      <c r="F57" s="169"/>
      <c r="G57" s="656"/>
      <c r="H57" s="193"/>
      <c r="I57" s="658"/>
      <c r="J57" s="658"/>
      <c r="K57" s="658"/>
      <c r="L57" s="193"/>
      <c r="N57" s="79"/>
      <c r="O57" s="423">
        <v>70.650000000000006</v>
      </c>
      <c r="P57" s="184">
        <v>13</v>
      </c>
      <c r="Q57" s="491"/>
      <c r="R57" s="298">
        <v>11</v>
      </c>
      <c r="S57" s="298">
        <v>16.86</v>
      </c>
      <c r="T57" s="298">
        <v>22.73</v>
      </c>
      <c r="U57" s="298">
        <v>28.6</v>
      </c>
      <c r="V57" s="298">
        <v>34.46</v>
      </c>
      <c r="W57" s="298">
        <v>40.33</v>
      </c>
      <c r="X57" s="298">
        <v>46.2</v>
      </c>
      <c r="Y57" s="298">
        <v>52.07</v>
      </c>
      <c r="Z57" s="298">
        <v>57.93</v>
      </c>
      <c r="AA57" s="633">
        <v>63.8</v>
      </c>
      <c r="AB57" s="633">
        <v>69.67</v>
      </c>
      <c r="AC57" s="633">
        <v>75.540000000000006</v>
      </c>
      <c r="AD57" s="633">
        <v>81.410000000000011</v>
      </c>
      <c r="AE57" s="633">
        <v>87.280000000000015</v>
      </c>
      <c r="AF57" s="633">
        <v>93.15000000000002</v>
      </c>
      <c r="AG57" s="633">
        <v>99.020000000000024</v>
      </c>
      <c r="AH57" s="633">
        <v>104.89000000000003</v>
      </c>
      <c r="AI57" s="633">
        <v>110.76000000000003</v>
      </c>
      <c r="AJ57" s="633">
        <v>116.6</v>
      </c>
      <c r="AK57" s="45"/>
      <c r="AL57" s="45"/>
      <c r="AM57" s="327"/>
      <c r="AN57" s="186"/>
      <c r="AO57" s="185"/>
      <c r="AP57" s="325"/>
      <c r="AQ57" s="46"/>
    </row>
    <row r="58" spans="1:59" ht="21.75" thickBot="1" x14ac:dyDescent="0.4">
      <c r="B58" s="642" t="s">
        <v>63</v>
      </c>
      <c r="C58" s="471"/>
      <c r="D58" s="471"/>
      <c r="E58" s="666"/>
      <c r="F58" s="169"/>
      <c r="G58" s="656"/>
      <c r="H58" s="193"/>
      <c r="I58" s="658"/>
      <c r="J58" s="658"/>
      <c r="K58" s="658"/>
      <c r="L58" s="193"/>
      <c r="N58" s="79"/>
      <c r="O58" s="124"/>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AN48</f>
        <v>#VALUE!</v>
      </c>
      <c r="AP58" s="325" t="s">
        <v>141</v>
      </c>
      <c r="AQ58" s="46"/>
    </row>
    <row r="59" spans="1:59" ht="19.5" thickBot="1" x14ac:dyDescent="0.35">
      <c r="B59" s="643"/>
      <c r="C59" s="40"/>
      <c r="D59" s="471"/>
      <c r="E59" s="666"/>
      <c r="F59" s="169"/>
      <c r="G59" s="193"/>
      <c r="H59" s="193"/>
      <c r="I59" s="658"/>
      <c r="J59" s="658"/>
      <c r="K59" s="658"/>
      <c r="L59" s="193"/>
      <c r="N59" s="79"/>
      <c r="O59" s="124"/>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AN53</f>
        <v>#VALUE!</v>
      </c>
      <c r="AP59" s="185" t="s">
        <v>141</v>
      </c>
      <c r="AQ59" s="77"/>
    </row>
    <row r="60" spans="1:59" ht="15.75" thickBot="1" x14ac:dyDescent="0.3">
      <c r="B60" s="643"/>
      <c r="C60" s="644"/>
      <c r="D60" s="645" t="s">
        <v>32</v>
      </c>
      <c r="E60" s="662"/>
      <c r="F60" s="668"/>
      <c r="G60" s="193"/>
      <c r="H60" s="193"/>
      <c r="I60" s="193"/>
      <c r="J60" s="193"/>
      <c r="K60" s="193"/>
      <c r="L60" s="193"/>
      <c r="N60" s="79"/>
      <c r="O60" s="124"/>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59" ht="15.75" thickBot="1" x14ac:dyDescent="0.3">
      <c r="B61" s="643"/>
      <c r="C61" s="646"/>
      <c r="D61" s="647" t="s">
        <v>64</v>
      </c>
      <c r="E61" s="663" t="s">
        <v>65</v>
      </c>
      <c r="F61" s="668"/>
      <c r="G61" s="193"/>
      <c r="H61" s="193"/>
      <c r="I61" s="193"/>
      <c r="J61" s="193"/>
      <c r="K61" s="193"/>
      <c r="L61" s="193"/>
      <c r="N61" s="79"/>
      <c r="O61" s="124"/>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59" ht="15.75" thickBot="1" x14ac:dyDescent="0.3">
      <c r="A62" s="2"/>
      <c r="B62" s="643"/>
      <c r="C62" s="648"/>
      <c r="D62" s="649" t="e">
        <f>IF(AND(C56&lt;18,C56&gt;=H4),12,FLOOR(C56/6,1)*6)</f>
        <v>#VALUE!</v>
      </c>
      <c r="E62" s="664" t="e">
        <f>IF(D62&lt;12,12,D62+6)</f>
        <v>#VALUE!</v>
      </c>
      <c r="F62" s="668"/>
      <c r="G62" s="193"/>
      <c r="H62" s="193"/>
      <c r="I62" s="193"/>
      <c r="J62" s="193"/>
      <c r="K62" s="193"/>
      <c r="L62" s="193"/>
      <c r="N62" s="79"/>
      <c r="O62" s="124"/>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5.75" thickBot="1" x14ac:dyDescent="0.3">
      <c r="A63" s="2"/>
      <c r="B63" s="643"/>
      <c r="C63" s="648" t="s">
        <v>34</v>
      </c>
      <c r="D63" s="649" t="e">
        <f>HLOOKUP(D62,P44:AJ45,2)</f>
        <v>#VALUE!</v>
      </c>
      <c r="E63" s="664" t="e">
        <f>HLOOKUP(E62,P44:AJ45,2)</f>
        <v>#VALUE!</v>
      </c>
      <c r="F63" s="668"/>
      <c r="G63" s="193"/>
      <c r="H63" s="193"/>
      <c r="I63" s="193"/>
      <c r="J63" s="193"/>
      <c r="K63" s="193"/>
      <c r="L63" s="193"/>
      <c r="N63" s="79"/>
      <c r="O63" s="124"/>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5.75" thickBot="1" x14ac:dyDescent="0.3">
      <c r="B64" s="643"/>
      <c r="C64" s="650"/>
      <c r="D64" s="651"/>
      <c r="E64" s="665"/>
      <c r="F64" s="668"/>
      <c r="G64" s="193"/>
      <c r="H64" s="193"/>
      <c r="I64" s="193"/>
      <c r="J64" s="193"/>
      <c r="K64" s="193"/>
      <c r="L64" s="193"/>
      <c r="N64" s="79"/>
      <c r="O64" s="124"/>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15.75" thickBot="1" x14ac:dyDescent="0.3">
      <c r="B65" s="42"/>
      <c r="C65" s="43"/>
      <c r="D65" s="43"/>
      <c r="E65" s="43"/>
      <c r="F65" s="170"/>
      <c r="G65" s="193"/>
      <c r="H65" s="193"/>
      <c r="I65" s="193"/>
      <c r="J65" s="193"/>
      <c r="K65" s="193"/>
      <c r="L65" s="193"/>
      <c r="N65" s="79"/>
      <c r="O65" s="124"/>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193"/>
      <c r="C66" s="193"/>
      <c r="D66" s="193"/>
      <c r="E66" s="193"/>
      <c r="F66" s="193"/>
      <c r="G66" s="193"/>
      <c r="H66" s="193"/>
      <c r="I66" s="193"/>
      <c r="J66" s="193"/>
      <c r="K66" s="193"/>
      <c r="L66" s="193"/>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193"/>
      <c r="C67" s="436"/>
      <c r="D67" s="436"/>
      <c r="E67" s="436"/>
      <c r="F67" s="436"/>
      <c r="G67" s="436"/>
      <c r="H67" s="436"/>
      <c r="I67" s="436"/>
      <c r="J67" s="193"/>
      <c r="K67" s="193"/>
      <c r="L67" s="193"/>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193"/>
      <c r="C68" s="436"/>
      <c r="D68" s="436"/>
      <c r="E68" s="436"/>
      <c r="F68" s="436"/>
      <c r="G68" s="436"/>
      <c r="H68" s="436"/>
      <c r="I68" s="436"/>
      <c r="J68" s="193"/>
      <c r="K68" s="193"/>
      <c r="L68" s="193"/>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193"/>
      <c r="C69" s="436"/>
      <c r="D69" s="436"/>
      <c r="E69" s="436"/>
      <c r="F69" s="436"/>
      <c r="G69" s="436"/>
      <c r="H69" s="436"/>
      <c r="I69" s="436"/>
      <c r="J69" s="193"/>
      <c r="K69" s="193"/>
      <c r="L69" s="193"/>
      <c r="BG69" s="2"/>
      <c r="BH69" s="2"/>
    </row>
    <row r="70" spans="1:79" ht="24" thickBot="1" x14ac:dyDescent="0.4">
      <c r="A70" s="2"/>
      <c r="B70" s="193"/>
      <c r="C70" s="436"/>
      <c r="D70" s="436"/>
      <c r="E70" s="436"/>
      <c r="F70" s="436"/>
      <c r="G70" s="436"/>
      <c r="H70" s="436"/>
      <c r="I70" s="436"/>
      <c r="J70" s="193"/>
      <c r="K70" s="193"/>
      <c r="L70" s="193"/>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193"/>
      <c r="C71" s="436"/>
      <c r="D71" s="436"/>
      <c r="E71" s="436"/>
      <c r="F71" s="436"/>
      <c r="G71" s="436"/>
      <c r="H71" s="436"/>
      <c r="I71" s="436"/>
      <c r="J71" s="193"/>
      <c r="K71" s="193"/>
      <c r="L71" s="193"/>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193"/>
      <c r="C72" s="193"/>
      <c r="D72" s="193"/>
      <c r="E72" s="193"/>
      <c r="F72" s="193"/>
      <c r="G72" s="193"/>
      <c r="H72" s="193"/>
      <c r="I72" s="193"/>
      <c r="J72" s="193"/>
      <c r="K72" s="193"/>
      <c r="L72" s="193"/>
      <c r="N72" s="997"/>
      <c r="O72" s="423" t="s">
        <v>379</v>
      </c>
      <c r="P72" s="422"/>
      <c r="Q72" s="40"/>
      <c r="R72" s="423" t="s">
        <v>378</v>
      </c>
      <c r="S72" s="40"/>
      <c r="T72" s="40"/>
      <c r="U72" s="423" t="s">
        <v>249</v>
      </c>
      <c r="V72" s="40"/>
      <c r="W72" s="169"/>
      <c r="X72" s="193"/>
      <c r="Y72" s="41"/>
      <c r="Z72" s="496" t="s">
        <v>149</v>
      </c>
      <c r="AA72" s="40"/>
      <c r="AB72" s="40" t="e">
        <f>(AO58*2)+(AO59*2)</f>
        <v>#VALUE!</v>
      </c>
      <c r="AC72" s="40" t="s">
        <v>141</v>
      </c>
      <c r="AD72" s="40"/>
      <c r="AE72" s="40"/>
      <c r="AF72" s="40"/>
      <c r="AG72" s="40"/>
      <c r="AH72" s="40"/>
      <c r="AI72" s="40"/>
      <c r="AJ72" s="169"/>
      <c r="BF72" s="2"/>
      <c r="BG72" s="2"/>
    </row>
    <row r="73" spans="1:79" ht="21" x14ac:dyDescent="0.35">
      <c r="A73" s="2"/>
      <c r="B73" s="655"/>
      <c r="C73" s="193"/>
      <c r="D73" s="193"/>
      <c r="E73" s="193"/>
      <c r="F73" s="193"/>
      <c r="G73" s="193"/>
      <c r="H73" s="193"/>
      <c r="I73" s="193"/>
      <c r="J73" s="193"/>
      <c r="K73" s="193"/>
      <c r="L73" s="193"/>
      <c r="N73" s="629"/>
      <c r="O73" s="223" t="s">
        <v>142</v>
      </c>
      <c r="P73" s="40">
        <v>0.12740000000000001</v>
      </c>
      <c r="Q73" s="40" t="s">
        <v>139</v>
      </c>
      <c r="R73" s="40" t="s">
        <v>376</v>
      </c>
      <c r="S73" s="40">
        <f>0.14</f>
        <v>0.14000000000000001</v>
      </c>
      <c r="T73" s="40" t="s">
        <v>141</v>
      </c>
      <c r="U73" s="581" t="str">
        <f>IF(C4&gt;108.977,"GA_7.088",IF(AND(C3&lt;=108.977,C4&lt;=36.977),"OP_7.088","SE_7.088"))</f>
        <v>GA_7.088</v>
      </c>
      <c r="V73" s="583" t="e">
        <f>INDEX(MC_ROOF!J2:K10, MATCH(U73,MC_ROOF!J2:J10,0),2)</f>
        <v>#VALUE!</v>
      </c>
      <c r="W73" s="169" t="s">
        <v>141</v>
      </c>
      <c r="X73" s="193"/>
      <c r="Y73" s="41"/>
      <c r="Z73" s="496" t="s">
        <v>341</v>
      </c>
      <c r="AA73" s="40"/>
      <c r="AB73" s="415" t="e">
        <f>P76</f>
        <v>#N/A</v>
      </c>
      <c r="AC73" s="40" t="s">
        <v>141</v>
      </c>
      <c r="AD73" s="40"/>
      <c r="AE73" s="40"/>
      <c r="AF73" s="40"/>
      <c r="AG73" s="40"/>
      <c r="AH73" s="40"/>
      <c r="AI73" s="40"/>
      <c r="AJ73" s="169"/>
      <c r="BF73" s="2"/>
    </row>
    <row r="74" spans="1:79" ht="15.75" x14ac:dyDescent="0.25">
      <c r="A74" s="2"/>
      <c r="B74" s="193"/>
      <c r="C74" s="193"/>
      <c r="D74" s="425"/>
      <c r="E74" s="425"/>
      <c r="F74" s="426"/>
      <c r="G74" s="425"/>
      <c r="H74" s="193"/>
      <c r="I74" s="193"/>
      <c r="J74" s="193"/>
      <c r="K74" s="193"/>
      <c r="L74" s="193"/>
      <c r="N74" s="420"/>
      <c r="O74" s="40" t="s">
        <v>231</v>
      </c>
      <c r="P74" s="40" t="e">
        <f>C5</f>
        <v>#VALUE!</v>
      </c>
      <c r="Q74" s="40" t="s">
        <v>151</v>
      </c>
      <c r="R74" s="40" t="s">
        <v>244</v>
      </c>
      <c r="S74" s="40" t="e">
        <f>P75</f>
        <v>#N/A</v>
      </c>
      <c r="T74" s="40"/>
      <c r="U74" s="40"/>
      <c r="V74" s="40"/>
      <c r="W74" s="169"/>
      <c r="X74" s="193"/>
      <c r="Y74" s="41"/>
      <c r="Z74" s="496" t="s">
        <v>148</v>
      </c>
      <c r="AA74" s="40"/>
      <c r="AB74" s="415" t="e">
        <f>P83</f>
        <v>#VALUE!</v>
      </c>
      <c r="AC74" s="40" t="s">
        <v>141</v>
      </c>
      <c r="AD74" s="40"/>
      <c r="AE74" s="40"/>
      <c r="AF74" s="40"/>
      <c r="AG74" s="40"/>
      <c r="AH74" s="40"/>
      <c r="AI74" s="40"/>
      <c r="AJ74" s="169"/>
    </row>
    <row r="75" spans="1:79" ht="15.75" x14ac:dyDescent="0.25">
      <c r="A75" s="2"/>
      <c r="B75" s="193"/>
      <c r="C75" s="193"/>
      <c r="D75" s="425"/>
      <c r="E75" s="656"/>
      <c r="F75" s="656"/>
      <c r="G75" s="656"/>
      <c r="H75" s="193"/>
      <c r="I75" s="193"/>
      <c r="J75" s="193"/>
      <c r="K75" s="193"/>
      <c r="L75" s="193"/>
      <c r="N75" s="41"/>
      <c r="O75" s="40" t="s">
        <v>336</v>
      </c>
      <c r="P75" s="40" t="e">
        <f>IF(G13=1,8,IF(G13=2,12,IF(G13=3,14,IF(G13=4,24,IF(G13=5,24,"N/A")))))</f>
        <v>#N/A</v>
      </c>
      <c r="Q75" s="40"/>
      <c r="R75" s="40"/>
      <c r="S75" s="40"/>
      <c r="T75" s="40"/>
      <c r="U75" s="40"/>
      <c r="V75" s="40"/>
      <c r="W75" s="169"/>
      <c r="X75" s="193"/>
      <c r="Y75" s="41"/>
      <c r="Z75" s="496" t="s">
        <v>342</v>
      </c>
      <c r="AA75" s="40"/>
      <c r="AB75" s="40" t="e">
        <f>S76</f>
        <v>#N/A</v>
      </c>
      <c r="AC75" s="40" t="s">
        <v>141</v>
      </c>
      <c r="AD75" s="40"/>
      <c r="AE75" s="40"/>
      <c r="AF75" s="40"/>
      <c r="AG75" s="40"/>
      <c r="AH75" s="40"/>
      <c r="AI75" s="40"/>
      <c r="AJ75" s="169"/>
    </row>
    <row r="76" spans="1:79" ht="18.75" x14ac:dyDescent="0.3">
      <c r="A76" s="2"/>
      <c r="B76" s="193"/>
      <c r="C76" s="193"/>
      <c r="D76" s="425"/>
      <c r="E76" s="656"/>
      <c r="F76" s="657"/>
      <c r="G76" s="656"/>
      <c r="H76" s="193"/>
      <c r="I76" s="658"/>
      <c r="J76" s="658"/>
      <c r="K76" s="658"/>
      <c r="L76" s="193"/>
      <c r="N76" s="41"/>
      <c r="O76" s="672" t="s">
        <v>380</v>
      </c>
      <c r="P76" s="40" t="e">
        <f>P75*(P73*P74)</f>
        <v>#N/A</v>
      </c>
      <c r="Q76" s="40" t="s">
        <v>141</v>
      </c>
      <c r="R76" s="495" t="s">
        <v>248</v>
      </c>
      <c r="S76" s="40" t="e">
        <f>S74*2*S73</f>
        <v>#N/A</v>
      </c>
      <c r="T76" s="40" t="s">
        <v>141</v>
      </c>
      <c r="U76" s="582" t="s">
        <v>249</v>
      </c>
      <c r="V76" s="583" t="e">
        <f>V73</f>
        <v>#VALUE!</v>
      </c>
      <c r="W76" s="169" t="s">
        <v>141</v>
      </c>
      <c r="X76" s="193"/>
      <c r="Y76" s="41"/>
      <c r="Z76" s="496" t="s">
        <v>254</v>
      </c>
      <c r="AA76" s="40"/>
      <c r="AB76" s="40" t="e">
        <f>S83</f>
        <v>#N/A</v>
      </c>
      <c r="AC76" s="40" t="s">
        <v>141</v>
      </c>
      <c r="AD76" s="40"/>
      <c r="AE76" s="40"/>
      <c r="AF76" s="40"/>
      <c r="AG76" s="40"/>
      <c r="AH76" s="40"/>
      <c r="AI76" s="40"/>
      <c r="AJ76" s="169"/>
      <c r="BS76" s="2"/>
      <c r="BT76" s="2"/>
      <c r="BU76" s="2"/>
      <c r="BV76" s="2"/>
      <c r="BW76" s="2"/>
      <c r="BX76" s="2"/>
      <c r="BY76" s="2"/>
      <c r="BZ76" s="2"/>
      <c r="CA76" s="2"/>
    </row>
    <row r="77" spans="1:79" ht="18.75" x14ac:dyDescent="0.3">
      <c r="B77" s="193"/>
      <c r="C77" s="193"/>
      <c r="D77" s="425"/>
      <c r="E77" s="656"/>
      <c r="F77" s="656"/>
      <c r="G77" s="656"/>
      <c r="H77" s="193"/>
      <c r="I77" s="658"/>
      <c r="J77" s="658"/>
      <c r="K77" s="658"/>
      <c r="L77" s="193"/>
      <c r="N77" s="41"/>
      <c r="O77" s="423"/>
      <c r="P77" s="40"/>
      <c r="Q77" s="40"/>
      <c r="R77" s="40"/>
      <c r="S77" s="40"/>
      <c r="T77" s="40"/>
      <c r="U77" s="40"/>
      <c r="V77" s="40"/>
      <c r="W77" s="169"/>
      <c r="X77" s="193"/>
      <c r="Y77" s="41"/>
      <c r="Z77" s="496" t="s">
        <v>249</v>
      </c>
      <c r="AA77" s="40"/>
      <c r="AB77" s="40" t="e">
        <f>V76</f>
        <v>#VALUE!</v>
      </c>
      <c r="AC77" s="40" t="s">
        <v>141</v>
      </c>
      <c r="AD77" s="40"/>
      <c r="AE77" s="40"/>
      <c r="AF77" s="40"/>
      <c r="AG77" s="40"/>
      <c r="AH77" s="40"/>
      <c r="AI77" s="40"/>
      <c r="AJ77" s="169"/>
      <c r="BS77" s="2"/>
      <c r="BT77" s="2"/>
      <c r="BU77" s="2"/>
      <c r="BV77" s="2"/>
      <c r="BW77" s="2"/>
      <c r="BX77" s="2"/>
      <c r="BY77" s="2"/>
      <c r="BZ77" s="2"/>
      <c r="CA77" s="2"/>
    </row>
    <row r="78" spans="1:79" x14ac:dyDescent="0.25">
      <c r="B78" s="193"/>
      <c r="C78" s="193"/>
      <c r="D78" s="193"/>
      <c r="E78" s="193"/>
      <c r="F78" s="193"/>
      <c r="G78" s="193"/>
      <c r="H78" s="193"/>
      <c r="I78" s="193"/>
      <c r="J78" s="193"/>
      <c r="K78" s="193"/>
      <c r="L78" s="193"/>
      <c r="N78" s="41"/>
      <c r="O78" s="423"/>
      <c r="P78" s="40"/>
      <c r="Q78" s="40"/>
      <c r="R78" s="40"/>
      <c r="S78" s="40"/>
      <c r="T78" s="40"/>
      <c r="U78" s="40"/>
      <c r="V78" s="40"/>
      <c r="W78" s="169"/>
      <c r="X78" s="193"/>
      <c r="Y78" s="41"/>
      <c r="Z78" s="496"/>
      <c r="AA78" s="40"/>
      <c r="AB78" s="40"/>
      <c r="AC78" s="40"/>
      <c r="AD78" s="40"/>
      <c r="AE78" s="40"/>
      <c r="AF78" s="40"/>
      <c r="AG78" s="40"/>
      <c r="AH78" s="40"/>
      <c r="AI78" s="40"/>
      <c r="AJ78" s="169"/>
      <c r="BS78" s="2"/>
      <c r="BT78" s="2"/>
      <c r="BU78" s="2"/>
      <c r="BV78" s="2"/>
      <c r="BW78" s="2"/>
      <c r="BX78" s="2"/>
      <c r="BY78" s="2"/>
      <c r="BZ78" s="2"/>
      <c r="CA78" s="2"/>
    </row>
    <row r="79" spans="1:79" x14ac:dyDescent="0.25">
      <c r="B79" s="193"/>
      <c r="C79" s="193"/>
      <c r="D79" s="193"/>
      <c r="E79" s="193"/>
      <c r="F79" s="193"/>
      <c r="G79" s="193"/>
      <c r="H79" s="193"/>
      <c r="I79" s="193"/>
      <c r="J79" s="193"/>
      <c r="K79" s="193"/>
      <c r="L79" s="193"/>
      <c r="N79" s="41"/>
      <c r="O79" s="423" t="s">
        <v>148</v>
      </c>
      <c r="P79" s="40"/>
      <c r="Q79" s="40"/>
      <c r="R79" s="423" t="s">
        <v>253</v>
      </c>
      <c r="S79" s="40"/>
      <c r="T79" s="40"/>
      <c r="U79" s="423"/>
      <c r="V79" s="40"/>
      <c r="W79" s="169"/>
      <c r="X79" s="193"/>
      <c r="Y79" s="41"/>
      <c r="AA79" s="40"/>
      <c r="AB79" s="40"/>
      <c r="AC79" s="40"/>
      <c r="AD79" s="40"/>
      <c r="AE79" s="40"/>
      <c r="AF79" s="40"/>
      <c r="AG79" s="40"/>
      <c r="AH79" s="40"/>
      <c r="AI79" s="40"/>
      <c r="AJ79" s="169"/>
      <c r="BS79" s="2"/>
      <c r="BT79" s="2"/>
      <c r="BU79" s="2"/>
      <c r="BV79" s="2"/>
      <c r="BW79" s="2"/>
      <c r="BX79" s="2"/>
      <c r="BY79" s="2"/>
      <c r="BZ79" s="2"/>
      <c r="CA79" s="2"/>
    </row>
    <row r="80" spans="1:79" x14ac:dyDescent="0.25">
      <c r="B80" s="193"/>
      <c r="C80" s="193"/>
      <c r="D80" s="193"/>
      <c r="E80" s="193"/>
      <c r="F80" s="193"/>
      <c r="G80" s="193"/>
      <c r="H80" s="193"/>
      <c r="I80" s="193"/>
      <c r="J80" s="193"/>
      <c r="K80" s="193"/>
      <c r="L80" s="193"/>
      <c r="N80" s="41"/>
      <c r="O80" s="223" t="s">
        <v>142</v>
      </c>
      <c r="P80" s="40">
        <v>8.9999999999999998E-4</v>
      </c>
      <c r="Q80" s="40" t="s">
        <v>147</v>
      </c>
      <c r="R80" s="40" t="s">
        <v>142</v>
      </c>
      <c r="S80" s="40">
        <v>2.2602375158275841E-2</v>
      </c>
      <c r="T80" s="40" t="s">
        <v>141</v>
      </c>
      <c r="U80" s="40"/>
      <c r="V80" s="40"/>
      <c r="W80" s="169"/>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79" ht="21" x14ac:dyDescent="0.35">
      <c r="B81" s="655"/>
      <c r="C81" s="193"/>
      <c r="D81" s="193"/>
      <c r="E81" s="193"/>
      <c r="F81" s="193"/>
      <c r="G81" s="193"/>
      <c r="H81" s="193"/>
      <c r="I81" s="193"/>
      <c r="J81" s="193"/>
      <c r="K81" s="193"/>
      <c r="L81" s="193"/>
      <c r="N81" s="41"/>
      <c r="O81" s="223" t="s">
        <v>152</v>
      </c>
      <c r="P81" s="40" t="e">
        <f>(C3*C5*2)+(C4*C5*2)</f>
        <v>#VALUE!</v>
      </c>
      <c r="Q81" s="40" t="s">
        <v>153</v>
      </c>
      <c r="R81" s="40" t="s">
        <v>231</v>
      </c>
      <c r="S81" s="40" t="e">
        <f>C5</f>
        <v>#VALUE!</v>
      </c>
      <c r="T81" s="40" t="s">
        <v>151</v>
      </c>
      <c r="U81" s="40"/>
      <c r="V81" s="40"/>
      <c r="W81" s="169"/>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79" ht="18.75" x14ac:dyDescent="0.3">
      <c r="A82" s="2"/>
      <c r="B82" s="436"/>
      <c r="C82" s="193"/>
      <c r="D82" s="854"/>
      <c r="E82" s="855"/>
      <c r="F82" s="193"/>
      <c r="G82" s="193"/>
      <c r="H82" s="856"/>
      <c r="I82" s="854"/>
      <c r="J82" s="854"/>
      <c r="K82" s="193"/>
      <c r="L82" s="193"/>
      <c r="N82" s="41"/>
      <c r="O82" s="223"/>
      <c r="P82" s="40"/>
      <c r="Q82" s="40"/>
      <c r="R82" s="40" t="s">
        <v>377</v>
      </c>
      <c r="S82" s="40" t="e">
        <f>IF(G13=1,2,IF(G13=2,4,IF(G13=3,4,IF(G13=4,8,IF(G13=5,8,"N/A")))))</f>
        <v>#N/A</v>
      </c>
      <c r="T82" s="40"/>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79" ht="18.75" x14ac:dyDescent="0.3">
      <c r="A83" s="2"/>
      <c r="B83" s="436"/>
      <c r="C83" s="193"/>
      <c r="D83" s="854"/>
      <c r="E83" s="855"/>
      <c r="F83" s="193"/>
      <c r="G83" s="193"/>
      <c r="H83" s="436"/>
      <c r="I83" s="854"/>
      <c r="J83" s="854"/>
      <c r="K83" s="193"/>
      <c r="L83" s="193"/>
      <c r="N83" s="41"/>
      <c r="O83" s="435" t="s">
        <v>148</v>
      </c>
      <c r="P83" s="415" t="e">
        <f>P80*P81</f>
        <v>#VALUE!</v>
      </c>
      <c r="Q83" s="40" t="s">
        <v>141</v>
      </c>
      <c r="R83" s="495" t="s">
        <v>254</v>
      </c>
      <c r="S83" s="40" t="e">
        <f>S82*(S80*S81)</f>
        <v>#N/A</v>
      </c>
      <c r="T83" s="40" t="s">
        <v>141</v>
      </c>
      <c r="U83" s="495"/>
      <c r="V83" s="40"/>
      <c r="W83" s="169"/>
      <c r="X83" s="193"/>
      <c r="Y83" s="41"/>
      <c r="Z83" s="40"/>
      <c r="AA83" s="40"/>
      <c r="AB83" s="40"/>
      <c r="AC83" s="40"/>
      <c r="AD83" s="40"/>
      <c r="AE83" s="40"/>
      <c r="AF83" s="40"/>
      <c r="AG83" s="40"/>
      <c r="AH83" s="40"/>
      <c r="AI83" s="40"/>
      <c r="AJ83" s="169"/>
      <c r="BS83" s="2"/>
      <c r="BT83" s="2"/>
      <c r="BU83" s="2"/>
      <c r="BV83" s="2"/>
      <c r="BW83" s="2"/>
      <c r="BX83" s="2"/>
      <c r="BY83" s="2"/>
      <c r="BZ83" s="2"/>
      <c r="CA83" s="2"/>
    </row>
    <row r="84" spans="1:79" ht="18.75" x14ac:dyDescent="0.3">
      <c r="A84" s="2"/>
      <c r="B84" s="436"/>
      <c r="C84" s="193"/>
      <c r="D84" s="854"/>
      <c r="E84" s="855"/>
      <c r="F84" s="193"/>
      <c r="G84" s="193"/>
      <c r="H84" s="436"/>
      <c r="I84" s="854"/>
      <c r="J84" s="854"/>
      <c r="K84" s="193"/>
      <c r="L84" s="193"/>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79" ht="18.75" x14ac:dyDescent="0.3">
      <c r="A85" s="2"/>
      <c r="B85" s="436"/>
      <c r="C85" s="193"/>
      <c r="D85" s="854"/>
      <c r="E85" s="855"/>
      <c r="F85" s="193"/>
      <c r="G85" s="193"/>
      <c r="H85" s="436"/>
      <c r="I85" s="854"/>
      <c r="J85" s="854"/>
      <c r="K85" s="193"/>
      <c r="L85" s="193"/>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79" ht="19.5" thickBot="1" x14ac:dyDescent="0.35">
      <c r="A86" s="2"/>
      <c r="B86" s="193"/>
      <c r="C86" s="857"/>
      <c r="D86" s="193"/>
      <c r="E86" s="193"/>
      <c r="F86" s="193"/>
      <c r="G86" s="193"/>
      <c r="H86" s="436"/>
      <c r="I86" s="858"/>
      <c r="J86" s="855"/>
      <c r="K86" s="193"/>
      <c r="L86" s="193"/>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79" ht="18.75" x14ac:dyDescent="0.3">
      <c r="B87" s="436"/>
      <c r="C87" s="193"/>
      <c r="D87" s="858"/>
      <c r="E87" s="855"/>
      <c r="F87" s="193"/>
      <c r="G87" s="859"/>
      <c r="H87" s="857"/>
      <c r="I87" s="854"/>
      <c r="J87" s="855"/>
      <c r="K87" s="193"/>
      <c r="L87" s="193"/>
      <c r="BS87" s="2"/>
      <c r="BT87" s="2"/>
      <c r="BU87" s="2"/>
      <c r="BV87" s="2"/>
      <c r="BW87" s="2"/>
      <c r="BX87" s="2"/>
      <c r="BY87" s="2"/>
      <c r="BZ87" s="2"/>
      <c r="CA87" s="2"/>
    </row>
    <row r="88" spans="1:79" ht="18.75" x14ac:dyDescent="0.3">
      <c r="B88" s="859"/>
      <c r="C88" s="857"/>
      <c r="D88" s="858"/>
      <c r="E88" s="855"/>
      <c r="F88" s="193"/>
      <c r="G88" s="193"/>
      <c r="H88" s="857"/>
      <c r="I88" s="854"/>
      <c r="J88" s="855"/>
      <c r="K88" s="193"/>
      <c r="L88" s="193"/>
      <c r="BS88" s="2"/>
      <c r="BT88" s="2"/>
      <c r="BU88" s="2"/>
      <c r="BV88" s="2"/>
      <c r="BW88" s="2"/>
      <c r="BX88" s="2"/>
      <c r="BY88" s="2"/>
      <c r="BZ88" s="2"/>
      <c r="CA88" s="2"/>
    </row>
    <row r="89" spans="1:79" ht="19.5" thickBot="1" x14ac:dyDescent="0.35">
      <c r="B89" s="193"/>
      <c r="C89" s="857"/>
      <c r="D89" s="858"/>
      <c r="E89" s="855"/>
      <c r="F89" s="193"/>
      <c r="G89" s="193"/>
      <c r="H89" s="193"/>
      <c r="I89" s="193"/>
      <c r="J89" s="193"/>
      <c r="K89" s="193"/>
      <c r="L89" s="193"/>
      <c r="O89" s="918" t="s">
        <v>412</v>
      </c>
      <c r="P89" s="919"/>
      <c r="Q89" s="920"/>
      <c r="R89" s="920"/>
      <c r="S89" s="920"/>
      <c r="T89" s="920"/>
      <c r="U89" s="920"/>
      <c r="V89" s="920"/>
      <c r="W89" s="920"/>
      <c r="X89" s="920"/>
      <c r="Y89" s="920"/>
      <c r="Z89" s="920"/>
      <c r="AA89" s="919"/>
      <c r="AB89" s="934"/>
      <c r="AC89" s="934"/>
      <c r="AD89" s="934"/>
      <c r="AE89" s="934"/>
      <c r="AF89" s="934"/>
      <c r="AG89" s="934"/>
      <c r="AH89" s="934"/>
      <c r="AI89" s="934"/>
      <c r="AJ89" s="934"/>
      <c r="AK89" s="919"/>
      <c r="AL89" s="919"/>
      <c r="AM89" s="921"/>
      <c r="BS89" s="2"/>
      <c r="BT89" s="2"/>
      <c r="BU89" s="2"/>
      <c r="BV89" s="2"/>
      <c r="BW89" s="2"/>
      <c r="BX89" s="2"/>
      <c r="BY89" s="2"/>
      <c r="BZ89" s="2"/>
      <c r="CA89" s="2"/>
    </row>
    <row r="90" spans="1:79" ht="15.75" thickBot="1" x14ac:dyDescent="0.3">
      <c r="A90" s="2"/>
      <c r="B90" s="193"/>
      <c r="C90" s="193"/>
      <c r="D90" s="193"/>
      <c r="E90" s="193"/>
      <c r="F90" s="193"/>
      <c r="G90" s="193"/>
      <c r="H90" s="193"/>
      <c r="I90" s="193"/>
      <c r="J90" s="193"/>
      <c r="K90" s="193"/>
      <c r="L90" s="193"/>
      <c r="O90" s="922"/>
      <c r="P90" s="913"/>
      <c r="Q90" s="914">
        <v>9</v>
      </c>
      <c r="R90" s="915">
        <v>12</v>
      </c>
      <c r="S90" s="915">
        <v>18</v>
      </c>
      <c r="T90" s="915">
        <v>24</v>
      </c>
      <c r="U90" s="915">
        <v>30</v>
      </c>
      <c r="V90" s="915">
        <v>36</v>
      </c>
      <c r="W90" s="915">
        <v>42</v>
      </c>
      <c r="X90" s="915">
        <v>48</v>
      </c>
      <c r="Y90" s="915">
        <v>54</v>
      </c>
      <c r="Z90" s="915">
        <v>60</v>
      </c>
      <c r="AA90" s="913" t="s">
        <v>413</v>
      </c>
      <c r="AB90" s="932"/>
      <c r="AC90" s="932"/>
      <c r="AD90" s="932"/>
      <c r="AE90" s="932"/>
      <c r="AF90" s="932"/>
      <c r="AG90" s="932"/>
      <c r="AH90" s="932"/>
      <c r="AI90" s="932"/>
      <c r="AJ90" s="932"/>
      <c r="AK90" s="913"/>
      <c r="AL90" s="913"/>
      <c r="AM90" s="923"/>
      <c r="BS90" s="2"/>
      <c r="BT90" s="2"/>
      <c r="BU90" s="2"/>
      <c r="BV90" s="2"/>
      <c r="BW90" s="2"/>
      <c r="BX90" s="2"/>
      <c r="BY90" s="2"/>
      <c r="BZ90" s="2"/>
      <c r="CA90" s="2"/>
    </row>
    <row r="91" spans="1:79" ht="15.75" thickBot="1" x14ac:dyDescent="0.3">
      <c r="A91" s="2"/>
      <c r="B91" s="193"/>
      <c r="C91" s="193"/>
      <c r="D91" s="193"/>
      <c r="E91" s="193"/>
      <c r="F91" s="193"/>
      <c r="G91" s="193"/>
      <c r="H91" s="193"/>
      <c r="I91" s="193"/>
      <c r="J91" s="193"/>
      <c r="K91" s="193"/>
      <c r="L91" s="193"/>
      <c r="O91" s="935">
        <f>O46</f>
        <v>15.65</v>
      </c>
      <c r="P91" s="913"/>
      <c r="Q91" s="924" t="s">
        <v>414</v>
      </c>
      <c r="R91" s="924" t="s">
        <v>414</v>
      </c>
      <c r="S91" s="925">
        <f t="shared" ref="S91:Z102" si="1">S46-R46</f>
        <v>1.81</v>
      </c>
      <c r="T91" s="925">
        <f t="shared" si="1"/>
        <v>1.8099999999999996</v>
      </c>
      <c r="U91" s="925">
        <f t="shared" si="1"/>
        <v>1.8100000000000005</v>
      </c>
      <c r="V91" s="925">
        <f t="shared" si="1"/>
        <v>1.8200000000000003</v>
      </c>
      <c r="W91" s="925">
        <f t="shared" si="1"/>
        <v>1.8099999999999987</v>
      </c>
      <c r="X91" s="925">
        <f t="shared" si="1"/>
        <v>1.8100000000000005</v>
      </c>
      <c r="Y91" s="925">
        <f t="shared" si="1"/>
        <v>1.8200000000000003</v>
      </c>
      <c r="Z91" s="925">
        <f t="shared" si="1"/>
        <v>1.8100000000000005</v>
      </c>
      <c r="AA91" s="913" t="s">
        <v>415</v>
      </c>
      <c r="AB91" s="932"/>
      <c r="AC91" s="932"/>
      <c r="AD91" s="932"/>
      <c r="AE91" s="932"/>
      <c r="AF91" s="932"/>
      <c r="AG91" s="932"/>
      <c r="AH91" s="932"/>
      <c r="AI91" s="932"/>
      <c r="AJ91" s="932"/>
      <c r="AK91" s="913"/>
      <c r="AL91" s="913"/>
      <c r="AM91" s="923"/>
      <c r="BS91" s="2"/>
      <c r="BT91" s="2"/>
      <c r="BU91" s="2"/>
      <c r="BV91" s="2"/>
      <c r="BW91" s="2"/>
      <c r="BX91" s="2"/>
      <c r="BY91" s="2"/>
      <c r="BZ91" s="2"/>
      <c r="CA91" s="2"/>
    </row>
    <row r="92" spans="1:79" ht="15.75" thickBot="1" x14ac:dyDescent="0.3">
      <c r="A92" s="2"/>
      <c r="B92" s="193"/>
      <c r="C92" s="193"/>
      <c r="D92" s="193"/>
      <c r="E92" s="193"/>
      <c r="F92" s="193"/>
      <c r="G92" s="193"/>
      <c r="H92" s="193"/>
      <c r="I92" s="193"/>
      <c r="J92" s="193"/>
      <c r="K92" s="193"/>
      <c r="L92" s="193"/>
      <c r="O92" s="935">
        <f t="shared" ref="O92:O102" si="2">O47</f>
        <v>20.65</v>
      </c>
      <c r="P92" s="913"/>
      <c r="Q92" s="925" t="s">
        <v>414</v>
      </c>
      <c r="R92" s="925" t="s">
        <v>414</v>
      </c>
      <c r="S92" s="925">
        <f t="shared" si="1"/>
        <v>2.1799999999999997</v>
      </c>
      <c r="T92" s="925">
        <f t="shared" si="1"/>
        <v>2.1900000000000004</v>
      </c>
      <c r="U92" s="925">
        <f t="shared" si="1"/>
        <v>2.1799999999999997</v>
      </c>
      <c r="V92" s="925">
        <f t="shared" si="1"/>
        <v>2.1799999999999997</v>
      </c>
      <c r="W92" s="925">
        <f t="shared" si="1"/>
        <v>2.1799999999999997</v>
      </c>
      <c r="X92" s="925">
        <f t="shared" si="1"/>
        <v>2.1800000000000015</v>
      </c>
      <c r="Y92" s="925">
        <f t="shared" si="1"/>
        <v>2.1799999999999997</v>
      </c>
      <c r="Z92" s="925">
        <f t="shared" si="1"/>
        <v>2.1799999999999997</v>
      </c>
      <c r="AA92" s="913"/>
      <c r="AB92" s="932"/>
      <c r="AC92" s="932"/>
      <c r="AD92" s="932"/>
      <c r="AE92" s="932"/>
      <c r="AF92" s="932"/>
      <c r="AG92" s="932"/>
      <c r="AH92" s="932"/>
      <c r="AI92" s="932"/>
      <c r="AJ92" s="932"/>
      <c r="AK92" s="913"/>
      <c r="AL92" s="913"/>
      <c r="AM92" s="923"/>
      <c r="BS92" s="2"/>
      <c r="BT92" s="2"/>
      <c r="BU92" s="2"/>
      <c r="BV92" s="2"/>
      <c r="BW92" s="2"/>
      <c r="BX92" s="2"/>
      <c r="BY92" s="2"/>
      <c r="BZ92" s="2"/>
      <c r="CA92" s="2"/>
    </row>
    <row r="93" spans="1:79" ht="15.75" thickBot="1" x14ac:dyDescent="0.3">
      <c r="A93" s="2"/>
      <c r="B93" s="193"/>
      <c r="C93" s="193"/>
      <c r="D93" s="193"/>
      <c r="E93" s="193"/>
      <c r="F93" s="193"/>
      <c r="G93" s="193"/>
      <c r="H93" s="193"/>
      <c r="I93" s="193"/>
      <c r="J93" s="193"/>
      <c r="K93" s="193"/>
      <c r="L93" s="193"/>
      <c r="O93" s="935">
        <f t="shared" si="2"/>
        <v>25.65</v>
      </c>
      <c r="P93" s="913"/>
      <c r="Q93" s="925" t="s">
        <v>414</v>
      </c>
      <c r="R93" s="925" t="s">
        <v>414</v>
      </c>
      <c r="S93" s="925">
        <f t="shared" si="1"/>
        <v>2.5499999999999998</v>
      </c>
      <c r="T93" s="925">
        <f t="shared" si="1"/>
        <v>2.5500000000000007</v>
      </c>
      <c r="U93" s="925">
        <f t="shared" si="1"/>
        <v>2.5499999999999989</v>
      </c>
      <c r="V93" s="925">
        <f t="shared" si="1"/>
        <v>2.5499999999999989</v>
      </c>
      <c r="W93" s="925">
        <f t="shared" si="1"/>
        <v>2.5500000000000007</v>
      </c>
      <c r="X93" s="925">
        <f t="shared" si="1"/>
        <v>2.5500000000000007</v>
      </c>
      <c r="Y93" s="925">
        <f t="shared" si="1"/>
        <v>2.5500000000000007</v>
      </c>
      <c r="Z93" s="925">
        <f t="shared" si="1"/>
        <v>2.5500000000000007</v>
      </c>
      <c r="AA93" s="913"/>
      <c r="AB93" s="932"/>
      <c r="AC93" s="932"/>
      <c r="AD93" s="932"/>
      <c r="AE93" s="932"/>
      <c r="AF93" s="932"/>
      <c r="AG93" s="932"/>
      <c r="AH93" s="932"/>
      <c r="AI93" s="932"/>
      <c r="AJ93" s="932"/>
      <c r="AK93" s="913"/>
      <c r="AL93" s="913"/>
      <c r="AM93" s="923"/>
      <c r="BS93" s="2"/>
      <c r="BT93" s="2"/>
      <c r="BU93" s="2"/>
      <c r="BV93" s="2"/>
      <c r="BW93" s="2"/>
      <c r="BX93" s="2"/>
      <c r="BY93" s="2"/>
      <c r="BZ93" s="2"/>
      <c r="CA93" s="2"/>
    </row>
    <row r="94" spans="1:79" ht="18.75" customHeight="1" thickBot="1" x14ac:dyDescent="0.3">
      <c r="A94" s="2"/>
      <c r="B94" s="193"/>
      <c r="C94" s="193"/>
      <c r="D94" s="193"/>
      <c r="E94" s="193"/>
      <c r="F94" s="193"/>
      <c r="G94" s="193"/>
      <c r="H94" s="193"/>
      <c r="I94" s="193"/>
      <c r="J94" s="193"/>
      <c r="K94" s="193"/>
      <c r="L94" s="193"/>
      <c r="N94" s="193"/>
      <c r="O94" s="935">
        <f t="shared" si="2"/>
        <v>30.65</v>
      </c>
      <c r="P94" s="913"/>
      <c r="Q94" s="925" t="s">
        <v>414</v>
      </c>
      <c r="R94" s="925" t="s">
        <v>414</v>
      </c>
      <c r="S94" s="925">
        <f t="shared" si="1"/>
        <v>2.92</v>
      </c>
      <c r="T94" s="925">
        <f t="shared" si="1"/>
        <v>2.91</v>
      </c>
      <c r="U94" s="925">
        <f t="shared" si="1"/>
        <v>2.92</v>
      </c>
      <c r="V94" s="925">
        <f t="shared" si="1"/>
        <v>2.92</v>
      </c>
      <c r="W94" s="925">
        <f t="shared" si="1"/>
        <v>2.9200000000000017</v>
      </c>
      <c r="X94" s="925">
        <f t="shared" si="1"/>
        <v>2.9199999999999982</v>
      </c>
      <c r="Y94" s="925">
        <f t="shared" si="1"/>
        <v>2.9200000000000017</v>
      </c>
      <c r="Z94" s="925">
        <f t="shared" si="1"/>
        <v>2.9199999999999982</v>
      </c>
      <c r="AA94" s="913"/>
      <c r="AB94" s="932"/>
      <c r="AC94" s="932"/>
      <c r="AD94" s="932"/>
      <c r="AE94" s="932"/>
      <c r="AF94" s="932"/>
      <c r="AG94" s="932"/>
      <c r="AH94" s="932"/>
      <c r="AI94" s="932"/>
      <c r="AJ94" s="932"/>
      <c r="AK94" s="913"/>
      <c r="AL94" s="913"/>
      <c r="AM94" s="923"/>
      <c r="BS94" s="2"/>
      <c r="BT94" s="2"/>
      <c r="BU94" s="2"/>
      <c r="BV94" s="2"/>
      <c r="BW94" s="2"/>
      <c r="BX94" s="2"/>
      <c r="BY94" s="2"/>
      <c r="BZ94" s="2"/>
      <c r="CA94" s="2"/>
    </row>
    <row r="95" spans="1:79" ht="18.75" customHeight="1" thickBot="1" x14ac:dyDescent="0.3">
      <c r="A95" s="2"/>
      <c r="N95" s="193"/>
      <c r="O95" s="935">
        <f t="shared" si="2"/>
        <v>35.65</v>
      </c>
      <c r="P95" s="913"/>
      <c r="Q95" s="925" t="s">
        <v>414</v>
      </c>
      <c r="R95" s="925" t="s">
        <v>414</v>
      </c>
      <c r="S95" s="925">
        <f t="shared" si="1"/>
        <v>3.2799999999999994</v>
      </c>
      <c r="T95" s="925">
        <f t="shared" si="1"/>
        <v>3.2900000000000009</v>
      </c>
      <c r="U95" s="925">
        <f t="shared" si="1"/>
        <v>3.2899999999999991</v>
      </c>
      <c r="V95" s="925">
        <f t="shared" si="1"/>
        <v>3.2800000000000011</v>
      </c>
      <c r="W95" s="925">
        <f t="shared" si="1"/>
        <v>3.2899999999999991</v>
      </c>
      <c r="X95" s="925">
        <f t="shared" si="1"/>
        <v>3.2899999999999991</v>
      </c>
      <c r="Y95" s="925">
        <f t="shared" si="1"/>
        <v>3.2800000000000011</v>
      </c>
      <c r="Z95" s="925">
        <f t="shared" si="1"/>
        <v>3.2900000000000027</v>
      </c>
      <c r="AA95" s="913"/>
      <c r="AB95" s="932"/>
      <c r="AC95" s="932"/>
      <c r="AD95" s="932"/>
      <c r="AE95" s="932"/>
      <c r="AF95" s="932"/>
      <c r="AG95" s="932"/>
      <c r="AH95" s="932"/>
      <c r="AI95" s="932"/>
      <c r="AJ95" s="932"/>
      <c r="AK95" s="913"/>
      <c r="AL95" s="913"/>
      <c r="AM95" s="923"/>
      <c r="BS95" s="2"/>
      <c r="BT95" s="2"/>
      <c r="BU95" s="2"/>
      <c r="BV95" s="2"/>
      <c r="BW95" s="2"/>
      <c r="BX95" s="2"/>
      <c r="BY95" s="2"/>
      <c r="BZ95" s="2"/>
      <c r="CA95" s="2"/>
    </row>
    <row r="96" spans="1:79" ht="15.75" thickBot="1" x14ac:dyDescent="0.3">
      <c r="A96" s="193"/>
      <c r="G96" s="193"/>
      <c r="H96" s="193"/>
      <c r="I96" s="193"/>
      <c r="J96" s="193"/>
      <c r="K96" s="193"/>
      <c r="L96" s="193"/>
      <c r="M96" s="193"/>
      <c r="N96" s="193"/>
      <c r="O96" s="935">
        <f t="shared" si="2"/>
        <v>40.65</v>
      </c>
      <c r="P96" s="913"/>
      <c r="Q96" s="925" t="s">
        <v>414</v>
      </c>
      <c r="R96" s="925" t="s">
        <v>414</v>
      </c>
      <c r="S96" s="925">
        <f t="shared" si="1"/>
        <v>3.66</v>
      </c>
      <c r="T96" s="925">
        <f t="shared" si="1"/>
        <v>3.6500000000000004</v>
      </c>
      <c r="U96" s="925">
        <f t="shared" si="1"/>
        <v>3.6599999999999984</v>
      </c>
      <c r="V96" s="925">
        <f t="shared" si="1"/>
        <v>3.6500000000000021</v>
      </c>
      <c r="W96" s="925">
        <f t="shared" si="1"/>
        <v>3.66</v>
      </c>
      <c r="X96" s="925">
        <f t="shared" si="1"/>
        <v>3.66</v>
      </c>
      <c r="Y96" s="925">
        <f t="shared" si="1"/>
        <v>3.649999999999995</v>
      </c>
      <c r="Z96" s="925">
        <f t="shared" si="1"/>
        <v>3.6600000000000037</v>
      </c>
      <c r="AA96" s="913"/>
      <c r="AB96" s="932"/>
      <c r="AC96" s="932"/>
      <c r="AD96" s="932"/>
      <c r="AE96" s="932"/>
      <c r="AF96" s="932"/>
      <c r="AG96" s="932"/>
      <c r="AH96" s="932"/>
      <c r="AI96" s="932"/>
      <c r="AJ96" s="932"/>
      <c r="AK96" s="913"/>
      <c r="AL96" s="913"/>
      <c r="AM96" s="923"/>
      <c r="BS96" s="2"/>
      <c r="BT96" s="2"/>
      <c r="BU96" s="2"/>
      <c r="BV96" s="2"/>
      <c r="BW96" s="2"/>
      <c r="BX96" s="2"/>
      <c r="BY96" s="2"/>
      <c r="BZ96" s="2"/>
      <c r="CA96" s="2"/>
    </row>
    <row r="97" spans="1:79" ht="15.75" thickBot="1" x14ac:dyDescent="0.3">
      <c r="A97" s="193"/>
      <c r="G97" s="193"/>
      <c r="H97" s="193"/>
      <c r="I97" s="193"/>
      <c r="J97" s="193"/>
      <c r="K97" s="193"/>
      <c r="L97" s="193"/>
      <c r="M97" s="193"/>
      <c r="N97" s="193"/>
      <c r="O97" s="935">
        <f t="shared" si="2"/>
        <v>45.65</v>
      </c>
      <c r="P97" s="913"/>
      <c r="Q97" s="925" t="s">
        <v>414</v>
      </c>
      <c r="R97" s="925" t="s">
        <v>414</v>
      </c>
      <c r="S97" s="925">
        <f t="shared" si="1"/>
        <v>4.0200000000000005</v>
      </c>
      <c r="T97" s="925">
        <f t="shared" si="1"/>
        <v>4.0299999999999994</v>
      </c>
      <c r="U97" s="925">
        <f t="shared" si="1"/>
        <v>4.0199999999999996</v>
      </c>
      <c r="V97" s="925">
        <f t="shared" si="1"/>
        <v>4.0300000000000011</v>
      </c>
      <c r="W97" s="925">
        <f t="shared" si="1"/>
        <v>4.0199999999999996</v>
      </c>
      <c r="X97" s="925">
        <f t="shared" si="1"/>
        <v>4.0199999999999996</v>
      </c>
      <c r="Y97" s="925">
        <f t="shared" si="1"/>
        <v>4.0299999999999976</v>
      </c>
      <c r="Z97" s="925">
        <f t="shared" si="1"/>
        <v>4.0200000000000031</v>
      </c>
      <c r="AA97" s="913"/>
      <c r="AB97" s="932"/>
      <c r="AC97" s="932"/>
      <c r="AD97" s="932"/>
      <c r="AE97" s="932"/>
      <c r="AF97" s="932"/>
      <c r="AG97" s="932"/>
      <c r="AH97" s="932"/>
      <c r="AI97" s="932"/>
      <c r="AJ97" s="932"/>
      <c r="AK97" s="913"/>
      <c r="AL97" s="913"/>
      <c r="AM97" s="923"/>
      <c r="BS97" s="2"/>
      <c r="BT97" s="2"/>
      <c r="BU97" s="2"/>
      <c r="BV97" s="2"/>
      <c r="BW97" s="2"/>
      <c r="BX97" s="2"/>
      <c r="BY97" s="2"/>
      <c r="BZ97" s="2"/>
      <c r="CA97" s="2"/>
    </row>
    <row r="98" spans="1:79" ht="15.75" thickBot="1" x14ac:dyDescent="0.3">
      <c r="A98" s="193"/>
      <c r="G98" s="193"/>
      <c r="H98" s="193"/>
      <c r="I98" s="193"/>
      <c r="J98" s="193"/>
      <c r="K98" s="193"/>
      <c r="L98" s="193"/>
      <c r="M98" s="193"/>
      <c r="N98" s="193"/>
      <c r="O98" s="935">
        <f t="shared" si="2"/>
        <v>50.65</v>
      </c>
      <c r="P98" s="913"/>
      <c r="Q98" s="925" t="s">
        <v>414</v>
      </c>
      <c r="R98" s="925" t="s">
        <v>414</v>
      </c>
      <c r="S98" s="925">
        <f t="shared" si="1"/>
        <v>4.3899999999999988</v>
      </c>
      <c r="T98" s="925">
        <f t="shared" si="1"/>
        <v>4.3899999999999988</v>
      </c>
      <c r="U98" s="925">
        <f t="shared" si="1"/>
        <v>4.4000000000000021</v>
      </c>
      <c r="V98" s="925">
        <f t="shared" si="1"/>
        <v>4.3900000000000006</v>
      </c>
      <c r="W98" s="925">
        <f t="shared" si="1"/>
        <v>4.3900000000000006</v>
      </c>
      <c r="X98" s="925">
        <f t="shared" si="1"/>
        <v>4.389999999999997</v>
      </c>
      <c r="Y98" s="925">
        <f t="shared" si="1"/>
        <v>4.3999999999999986</v>
      </c>
      <c r="Z98" s="925">
        <f t="shared" si="1"/>
        <v>4.3900000000000006</v>
      </c>
      <c r="AA98" s="913"/>
      <c r="AB98" s="932"/>
      <c r="AC98" s="932"/>
      <c r="AD98" s="932"/>
      <c r="AE98" s="932"/>
      <c r="AF98" s="932"/>
      <c r="AG98" s="932"/>
      <c r="AH98" s="932"/>
      <c r="AI98" s="932"/>
      <c r="AJ98" s="932"/>
      <c r="AK98" s="913"/>
      <c r="AL98" s="913"/>
      <c r="AM98" s="923"/>
      <c r="BS98" s="2"/>
      <c r="BT98" s="2"/>
      <c r="BU98" s="2"/>
      <c r="BV98" s="2"/>
      <c r="BW98" s="2"/>
      <c r="BX98" s="2"/>
      <c r="BY98" s="2"/>
      <c r="BZ98" s="2"/>
      <c r="CA98" s="2"/>
    </row>
    <row r="99" spans="1:79" ht="15.75" thickBot="1" x14ac:dyDescent="0.3">
      <c r="A99" s="193"/>
      <c r="G99" s="193"/>
      <c r="H99" s="193"/>
      <c r="I99" s="193"/>
      <c r="J99" s="193"/>
      <c r="K99" s="193"/>
      <c r="L99" s="193"/>
      <c r="M99" s="193"/>
      <c r="N99" s="193"/>
      <c r="O99" s="935">
        <f t="shared" si="2"/>
        <v>55.65</v>
      </c>
      <c r="P99" s="913"/>
      <c r="Q99" s="925" t="s">
        <v>414</v>
      </c>
      <c r="R99" s="925" t="s">
        <v>414</v>
      </c>
      <c r="S99" s="925">
        <f t="shared" si="1"/>
        <v>4.7700000000000014</v>
      </c>
      <c r="T99" s="925">
        <f t="shared" si="1"/>
        <v>4.759999999999998</v>
      </c>
      <c r="U99" s="925">
        <f t="shared" si="1"/>
        <v>4.7600000000000016</v>
      </c>
      <c r="V99" s="925">
        <f t="shared" si="1"/>
        <v>4.759999999999998</v>
      </c>
      <c r="W99" s="925">
        <f t="shared" si="1"/>
        <v>4.759999999999998</v>
      </c>
      <c r="X99" s="925">
        <f t="shared" si="1"/>
        <v>4.759999999999998</v>
      </c>
      <c r="Y99" s="925">
        <f t="shared" si="1"/>
        <v>4.759999999999998</v>
      </c>
      <c r="Z99" s="925">
        <f t="shared" si="1"/>
        <v>4.759999999999998</v>
      </c>
      <c r="AA99" s="913"/>
      <c r="AB99" s="932"/>
      <c r="AC99" s="932"/>
      <c r="AD99" s="932"/>
      <c r="AE99" s="932"/>
      <c r="AF99" s="932"/>
      <c r="AG99" s="932"/>
      <c r="AH99" s="932"/>
      <c r="AI99" s="932"/>
      <c r="AJ99" s="932"/>
      <c r="AK99" s="913"/>
      <c r="AL99" s="913"/>
      <c r="AM99" s="923"/>
      <c r="BS99" s="2"/>
      <c r="BT99" s="2"/>
      <c r="BU99" s="2"/>
      <c r="BV99" s="2"/>
      <c r="BW99" s="2"/>
      <c r="BX99" s="2"/>
      <c r="BY99" s="2"/>
      <c r="BZ99" s="2"/>
      <c r="CA99" s="2"/>
    </row>
    <row r="100" spans="1:79" ht="15.75" thickBot="1" x14ac:dyDescent="0.3">
      <c r="A100" s="193"/>
      <c r="G100" s="193"/>
      <c r="H100" s="193"/>
      <c r="I100" s="193"/>
      <c r="J100" s="193"/>
      <c r="K100" s="193"/>
      <c r="L100" s="193"/>
      <c r="M100" s="193"/>
      <c r="N100" s="193"/>
      <c r="O100" s="935">
        <f t="shared" si="2"/>
        <v>60.65</v>
      </c>
      <c r="P100" s="913"/>
      <c r="Q100" s="925" t="s">
        <v>414</v>
      </c>
      <c r="R100" s="925" t="s">
        <v>414</v>
      </c>
      <c r="S100" s="925">
        <f t="shared" si="1"/>
        <v>5.1300000000000008</v>
      </c>
      <c r="T100" s="925">
        <f t="shared" si="1"/>
        <v>5.1300000000000008</v>
      </c>
      <c r="U100" s="925">
        <f t="shared" si="1"/>
        <v>5.129999999999999</v>
      </c>
      <c r="V100" s="925">
        <f t="shared" si="1"/>
        <v>5.129999999999999</v>
      </c>
      <c r="W100" s="925">
        <f t="shared" si="1"/>
        <v>5.1300000000000026</v>
      </c>
      <c r="X100" s="925">
        <f t="shared" si="1"/>
        <v>5.1299999999999955</v>
      </c>
      <c r="Y100" s="925">
        <f t="shared" si="1"/>
        <v>5.1300000000000026</v>
      </c>
      <c r="Z100" s="925">
        <f t="shared" si="1"/>
        <v>5.1300000000000026</v>
      </c>
      <c r="AA100" s="913"/>
      <c r="AB100" s="932"/>
      <c r="AC100" s="932"/>
      <c r="AD100" s="932"/>
      <c r="AE100" s="932"/>
      <c r="AF100" s="932"/>
      <c r="AG100" s="932"/>
      <c r="AH100" s="932"/>
      <c r="AI100" s="932"/>
      <c r="AJ100" s="932"/>
      <c r="AK100" s="913"/>
      <c r="AL100" s="913"/>
      <c r="AM100" s="923"/>
      <c r="BS100" s="2"/>
      <c r="BT100" s="2"/>
      <c r="BU100" s="2"/>
      <c r="BV100" s="2"/>
      <c r="BW100" s="2"/>
      <c r="BX100" s="2"/>
      <c r="BY100" s="2"/>
      <c r="BZ100" s="2"/>
      <c r="CA100" s="2"/>
    </row>
    <row r="101" spans="1:79" ht="15.75" thickBot="1" x14ac:dyDescent="0.3">
      <c r="A101" s="193"/>
      <c r="G101" s="436"/>
      <c r="H101" s="436"/>
      <c r="I101" s="436"/>
      <c r="J101" s="193"/>
      <c r="K101" s="193"/>
      <c r="L101" s="193"/>
      <c r="M101" s="193"/>
      <c r="N101" s="193"/>
      <c r="O101" s="935">
        <f t="shared" si="2"/>
        <v>65.650000000000006</v>
      </c>
      <c r="P101" s="913"/>
      <c r="Q101" s="925" t="s">
        <v>414</v>
      </c>
      <c r="R101" s="925" t="s">
        <v>414</v>
      </c>
      <c r="S101" s="925">
        <f t="shared" si="1"/>
        <v>5.5</v>
      </c>
      <c r="T101" s="925">
        <f t="shared" si="1"/>
        <v>5.5000000000000018</v>
      </c>
      <c r="U101" s="925">
        <f t="shared" si="1"/>
        <v>5.4899999999999984</v>
      </c>
      <c r="V101" s="925">
        <f t="shared" si="1"/>
        <v>5.5</v>
      </c>
      <c r="W101" s="925">
        <f t="shared" si="1"/>
        <v>5.5</v>
      </c>
      <c r="X101" s="925">
        <f t="shared" si="1"/>
        <v>5.5</v>
      </c>
      <c r="Y101" s="925">
        <f t="shared" si="1"/>
        <v>5.5</v>
      </c>
      <c r="Z101" s="925">
        <f t="shared" si="1"/>
        <v>5.5</v>
      </c>
      <c r="AA101" s="913"/>
      <c r="AB101" s="913"/>
      <c r="AC101" s="913"/>
      <c r="AD101" s="913"/>
      <c r="AE101" s="913"/>
      <c r="AF101" s="913"/>
      <c r="AG101" s="913"/>
      <c r="AH101" s="913"/>
      <c r="AI101" s="913"/>
      <c r="AJ101" s="913"/>
      <c r="AK101" s="913"/>
      <c r="AL101" s="913"/>
      <c r="AM101" s="923"/>
      <c r="BS101" s="2"/>
      <c r="BT101" s="2"/>
      <c r="BU101" s="2"/>
      <c r="BV101" s="2"/>
      <c r="BW101" s="2"/>
      <c r="BX101" s="2"/>
      <c r="BY101" s="2"/>
      <c r="BZ101" s="2"/>
      <c r="CA101" s="2"/>
    </row>
    <row r="102" spans="1:79" ht="15.75" thickBot="1" x14ac:dyDescent="0.3">
      <c r="A102" s="193"/>
      <c r="G102" s="436"/>
      <c r="H102" s="436"/>
      <c r="I102" s="436"/>
      <c r="J102" s="193"/>
      <c r="K102" s="193"/>
      <c r="L102" s="193"/>
      <c r="M102" s="193"/>
      <c r="N102" s="193"/>
      <c r="O102" s="935">
        <f t="shared" si="2"/>
        <v>70.650000000000006</v>
      </c>
      <c r="P102" s="913"/>
      <c r="Q102" s="925" t="s">
        <v>414</v>
      </c>
      <c r="R102" s="925" t="s">
        <v>414</v>
      </c>
      <c r="S102" s="925">
        <f t="shared" si="1"/>
        <v>5.8599999999999994</v>
      </c>
      <c r="T102" s="925">
        <f t="shared" si="1"/>
        <v>5.870000000000001</v>
      </c>
      <c r="U102" s="925">
        <f t="shared" si="1"/>
        <v>5.870000000000001</v>
      </c>
      <c r="V102" s="925">
        <f t="shared" si="1"/>
        <v>5.8599999999999994</v>
      </c>
      <c r="W102" s="925">
        <f t="shared" si="1"/>
        <v>5.8699999999999974</v>
      </c>
      <c r="X102" s="925">
        <f t="shared" si="1"/>
        <v>5.8700000000000045</v>
      </c>
      <c r="Y102" s="925">
        <f t="shared" si="1"/>
        <v>5.8699999999999974</v>
      </c>
      <c r="Z102" s="925">
        <f t="shared" si="1"/>
        <v>5.8599999999999994</v>
      </c>
      <c r="AA102" s="913"/>
      <c r="AB102" s="913"/>
      <c r="AC102" s="913"/>
      <c r="AD102" s="913"/>
      <c r="AE102" s="913"/>
      <c r="AF102" s="913"/>
      <c r="AG102" s="913"/>
      <c r="AH102" s="913"/>
      <c r="AI102" s="913"/>
      <c r="AJ102" s="913"/>
      <c r="AK102" s="913"/>
      <c r="AL102" s="913"/>
      <c r="AM102" s="923"/>
      <c r="BS102" s="2"/>
      <c r="BT102" s="2"/>
      <c r="BU102" s="2"/>
      <c r="BV102" s="2"/>
      <c r="BW102" s="2"/>
      <c r="BX102" s="2"/>
      <c r="BY102" s="2"/>
      <c r="BZ102" s="2"/>
      <c r="CA102" s="2"/>
    </row>
    <row r="103" spans="1:79" ht="15.75" thickBot="1" x14ac:dyDescent="0.3">
      <c r="A103" s="193"/>
      <c r="G103" s="436"/>
      <c r="H103" s="436"/>
      <c r="I103" s="436"/>
      <c r="J103" s="193"/>
      <c r="K103" s="193"/>
      <c r="L103" s="193"/>
      <c r="M103" s="193"/>
      <c r="N103" s="193"/>
      <c r="O103" s="935"/>
      <c r="P103" s="913"/>
      <c r="Q103" s="925"/>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23"/>
      <c r="BS103" s="2"/>
      <c r="BT103" s="2"/>
      <c r="BU103" s="2"/>
      <c r="BV103" s="2"/>
      <c r="BW103" s="2"/>
      <c r="BX103" s="2"/>
      <c r="BY103" s="2"/>
      <c r="BZ103" s="2"/>
      <c r="CA103" s="2"/>
    </row>
    <row r="104" spans="1:79" ht="15.75" thickBot="1" x14ac:dyDescent="0.3">
      <c r="A104" s="193"/>
      <c r="G104" s="436"/>
      <c r="H104" s="436"/>
      <c r="I104" s="436"/>
      <c r="J104" s="193"/>
      <c r="K104" s="193"/>
      <c r="L104" s="193"/>
      <c r="M104" s="193"/>
      <c r="N104" s="193"/>
      <c r="O104" s="935"/>
      <c r="P104" s="913"/>
      <c r="Q104" s="925"/>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23"/>
      <c r="BS104" s="2"/>
      <c r="BT104" s="2"/>
      <c r="BU104" s="2"/>
      <c r="BV104" s="2"/>
      <c r="BW104" s="2"/>
      <c r="BX104" s="2"/>
      <c r="BY104" s="2"/>
      <c r="BZ104" s="2"/>
      <c r="CA104" s="2"/>
    </row>
    <row r="105" spans="1:79" ht="15.75" thickBot="1" x14ac:dyDescent="0.3">
      <c r="A105" s="193"/>
      <c r="G105" s="436"/>
      <c r="H105" s="436"/>
      <c r="I105" s="436"/>
      <c r="J105" s="193"/>
      <c r="K105" s="193"/>
      <c r="L105" s="193"/>
      <c r="M105" s="193"/>
      <c r="N105" s="193"/>
      <c r="O105" s="935"/>
      <c r="P105" s="913"/>
      <c r="Q105" s="925"/>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23"/>
      <c r="BS105" s="2"/>
      <c r="BT105" s="2"/>
      <c r="BU105" s="2"/>
      <c r="BV105" s="2"/>
      <c r="BW105" s="2"/>
      <c r="BX105" s="2"/>
      <c r="BY105" s="2"/>
      <c r="BZ105" s="2"/>
      <c r="CA105" s="2"/>
    </row>
    <row r="106" spans="1:79" ht="15.75" thickBot="1" x14ac:dyDescent="0.3">
      <c r="A106" s="193"/>
      <c r="G106" s="193"/>
      <c r="H106" s="193"/>
      <c r="I106" s="193"/>
      <c r="J106" s="193"/>
      <c r="K106" s="193"/>
      <c r="L106" s="193"/>
      <c r="M106" s="193"/>
      <c r="N106" s="193"/>
      <c r="O106" s="935"/>
      <c r="P106" s="913"/>
      <c r="Q106" s="925"/>
      <c r="R106" s="925"/>
      <c r="S106" s="925"/>
      <c r="T106" s="925"/>
      <c r="U106" s="925"/>
      <c r="V106" s="925"/>
      <c r="W106" s="925"/>
      <c r="X106" s="925"/>
      <c r="Y106" s="925"/>
      <c r="Z106" s="925"/>
      <c r="AA106" s="913"/>
      <c r="AB106" s="913"/>
      <c r="AC106" s="913"/>
      <c r="AD106" s="913"/>
      <c r="AE106" s="913"/>
      <c r="AF106" s="913"/>
      <c r="AG106" s="913"/>
      <c r="AH106" s="913"/>
      <c r="AI106" s="913"/>
      <c r="AJ106" s="913"/>
      <c r="AK106" s="913"/>
      <c r="AL106" s="913"/>
      <c r="AM106" s="923"/>
      <c r="BS106" s="2"/>
      <c r="BT106" s="2"/>
      <c r="BU106" s="2"/>
      <c r="BV106" s="2"/>
      <c r="BW106" s="2"/>
      <c r="BX106" s="2"/>
      <c r="BY106" s="2"/>
      <c r="BZ106" s="2"/>
      <c r="CA106" s="2"/>
    </row>
    <row r="107" spans="1:79" ht="18.75" x14ac:dyDescent="0.3">
      <c r="A107" s="193"/>
      <c r="G107" s="193"/>
      <c r="H107" s="193"/>
      <c r="I107" s="658"/>
      <c r="J107" s="658"/>
      <c r="K107" s="658"/>
      <c r="L107" s="193"/>
      <c r="M107" s="193"/>
      <c r="N107" s="193"/>
      <c r="O107" s="922"/>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23"/>
    </row>
    <row r="108" spans="1:79" ht="19.5" thickBot="1" x14ac:dyDescent="0.35">
      <c r="A108" s="193"/>
      <c r="G108" s="425"/>
      <c r="H108" s="193"/>
      <c r="I108" s="658"/>
      <c r="J108" s="658"/>
      <c r="K108" s="658"/>
      <c r="L108" s="193"/>
      <c r="M108" s="193"/>
      <c r="N108" s="193"/>
      <c r="O108" s="922" t="s">
        <v>416</v>
      </c>
      <c r="P108" s="913"/>
      <c r="Q108" s="924"/>
      <c r="R108" s="924"/>
      <c r="S108" s="924"/>
      <c r="T108" s="924"/>
      <c r="U108" s="924"/>
      <c r="V108" s="924"/>
      <c r="W108" s="924"/>
      <c r="X108" s="924"/>
      <c r="Y108" s="924"/>
      <c r="Z108" s="924"/>
      <c r="AA108" s="913"/>
      <c r="AB108" s="913"/>
      <c r="AC108" s="913"/>
      <c r="AD108" s="913"/>
      <c r="AE108" s="913"/>
      <c r="AF108" s="913"/>
      <c r="AG108" s="913"/>
      <c r="AH108" s="913"/>
      <c r="AI108" s="913"/>
      <c r="AJ108" s="913"/>
      <c r="AK108" s="913"/>
      <c r="AL108" s="913"/>
      <c r="AM108" s="923"/>
    </row>
    <row r="109" spans="1:79" ht="19.5" thickBot="1" x14ac:dyDescent="0.35">
      <c r="A109" s="193"/>
      <c r="G109" s="193"/>
      <c r="H109" s="193"/>
      <c r="I109" s="193"/>
      <c r="J109" s="658"/>
      <c r="K109" s="658"/>
      <c r="L109" s="193"/>
      <c r="M109" s="193"/>
      <c r="N109" s="193"/>
      <c r="O109" s="922"/>
      <c r="P109" s="913"/>
      <c r="Q109" s="914">
        <v>9</v>
      </c>
      <c r="R109" s="915">
        <v>12</v>
      </c>
      <c r="S109" s="915">
        <f t="shared" ref="S109:Z109" si="3">R109+6</f>
        <v>18</v>
      </c>
      <c r="T109" s="915">
        <f t="shared" si="3"/>
        <v>24</v>
      </c>
      <c r="U109" s="915">
        <f t="shared" si="3"/>
        <v>30</v>
      </c>
      <c r="V109" s="915">
        <f t="shared" si="3"/>
        <v>36</v>
      </c>
      <c r="W109" s="915">
        <f t="shared" si="3"/>
        <v>42</v>
      </c>
      <c r="X109" s="915">
        <f t="shared" si="3"/>
        <v>48</v>
      </c>
      <c r="Y109" s="915">
        <f t="shared" si="3"/>
        <v>54</v>
      </c>
      <c r="Z109" s="915">
        <f t="shared" si="3"/>
        <v>60</v>
      </c>
      <c r="AA109" s="913" t="s">
        <v>413</v>
      </c>
      <c r="AB109" s="913"/>
      <c r="AC109" s="913"/>
      <c r="AD109" s="913"/>
      <c r="AE109" s="913"/>
      <c r="AF109" s="913"/>
      <c r="AG109" s="913"/>
      <c r="AH109" s="913"/>
      <c r="AI109" s="913"/>
      <c r="AJ109" s="913"/>
      <c r="AK109" s="913"/>
      <c r="AL109" s="913"/>
      <c r="AM109" s="923"/>
    </row>
    <row r="110" spans="1:79" ht="19.5" thickBot="1" x14ac:dyDescent="0.35">
      <c r="A110" s="193"/>
      <c r="G110" s="193"/>
      <c r="H110" s="193"/>
      <c r="I110" s="193"/>
      <c r="J110" s="658"/>
      <c r="K110" s="658"/>
      <c r="L110" s="193"/>
      <c r="M110" s="193"/>
      <c r="N110" s="193"/>
      <c r="O110" s="935">
        <f>O46</f>
        <v>15.65</v>
      </c>
      <c r="P110" s="913"/>
      <c r="Q110" s="924" t="s">
        <v>414</v>
      </c>
      <c r="R110" s="924" t="s">
        <v>414</v>
      </c>
      <c r="S110" s="924" t="s">
        <v>414</v>
      </c>
      <c r="T110" s="924" t="s">
        <v>414</v>
      </c>
      <c r="U110" s="924" t="s">
        <v>414</v>
      </c>
      <c r="V110" s="924" t="s">
        <v>414</v>
      </c>
      <c r="W110" s="924" t="s">
        <v>414</v>
      </c>
      <c r="X110" s="924" t="s">
        <v>414</v>
      </c>
      <c r="Y110" s="924" t="s">
        <v>414</v>
      </c>
      <c r="Z110" s="924" t="s">
        <v>414</v>
      </c>
      <c r="AA110" s="913" t="s">
        <v>424</v>
      </c>
      <c r="AB110" s="913"/>
      <c r="AC110" s="913"/>
      <c r="AD110" s="913"/>
      <c r="AE110" s="913"/>
      <c r="AF110" s="913"/>
      <c r="AG110" s="913"/>
      <c r="AH110" s="913"/>
      <c r="AI110" s="913"/>
      <c r="AJ110" s="913"/>
      <c r="AK110" s="913"/>
      <c r="AL110" s="913"/>
      <c r="AM110" s="923"/>
    </row>
    <row r="111" spans="1:79" ht="19.5" thickBot="1" x14ac:dyDescent="0.35">
      <c r="A111" s="193"/>
      <c r="G111" s="193"/>
      <c r="H111" s="193"/>
      <c r="I111" s="193"/>
      <c r="J111" s="658"/>
      <c r="K111" s="658"/>
      <c r="L111" s="193"/>
      <c r="M111" s="193"/>
      <c r="N111" s="193"/>
      <c r="O111" s="935">
        <f t="shared" ref="O111:O121" si="4">O47</f>
        <v>20.65</v>
      </c>
      <c r="P111" s="913"/>
      <c r="Q111" s="925"/>
      <c r="R111" s="932">
        <f t="shared" ref="R111:Z121" si="5">R47-R46</f>
        <v>0.73</v>
      </c>
      <c r="S111" s="932">
        <f t="shared" si="5"/>
        <v>1.0999999999999996</v>
      </c>
      <c r="T111" s="932">
        <f t="shared" si="5"/>
        <v>1.4800000000000004</v>
      </c>
      <c r="U111" s="932">
        <f t="shared" si="5"/>
        <v>1.8499999999999996</v>
      </c>
      <c r="V111" s="932">
        <f t="shared" si="5"/>
        <v>2.2099999999999991</v>
      </c>
      <c r="W111" s="932">
        <f t="shared" si="5"/>
        <v>2.58</v>
      </c>
      <c r="X111" s="932">
        <f t="shared" si="5"/>
        <v>2.9500000000000011</v>
      </c>
      <c r="Y111" s="932">
        <f t="shared" si="5"/>
        <v>3.3100000000000005</v>
      </c>
      <c r="Z111" s="932">
        <f t="shared" si="5"/>
        <v>3.6799999999999997</v>
      </c>
      <c r="AA111" s="913"/>
      <c r="AB111" s="913"/>
      <c r="AC111" s="913"/>
      <c r="AD111" s="913"/>
      <c r="AE111" s="913"/>
      <c r="AF111" s="913"/>
      <c r="AG111" s="913"/>
      <c r="AH111" s="913"/>
      <c r="AI111" s="913"/>
      <c r="AJ111" s="913"/>
      <c r="AK111" s="913"/>
      <c r="AL111" s="913"/>
      <c r="AM111" s="923"/>
    </row>
    <row r="112" spans="1:79" ht="19.5" thickBot="1" x14ac:dyDescent="0.35">
      <c r="A112" s="193"/>
      <c r="G112" s="193"/>
      <c r="H112" s="193"/>
      <c r="I112" s="193"/>
      <c r="J112" s="658"/>
      <c r="K112" s="658"/>
      <c r="L112" s="193"/>
      <c r="M112" s="193"/>
      <c r="N112" s="193"/>
      <c r="O112" s="935">
        <f t="shared" si="4"/>
        <v>25.65</v>
      </c>
      <c r="P112" s="913"/>
      <c r="Q112" s="925"/>
      <c r="R112" s="932">
        <f t="shared" si="5"/>
        <v>0.74000000000000021</v>
      </c>
      <c r="S112" s="932">
        <f t="shared" si="5"/>
        <v>1.1100000000000003</v>
      </c>
      <c r="T112" s="932">
        <f t="shared" si="5"/>
        <v>1.4700000000000006</v>
      </c>
      <c r="U112" s="932">
        <f t="shared" si="5"/>
        <v>1.8399999999999999</v>
      </c>
      <c r="V112" s="932">
        <f t="shared" si="5"/>
        <v>2.2099999999999991</v>
      </c>
      <c r="W112" s="932">
        <f t="shared" si="5"/>
        <v>2.58</v>
      </c>
      <c r="X112" s="932">
        <f t="shared" si="5"/>
        <v>2.9499999999999993</v>
      </c>
      <c r="Y112" s="932">
        <f t="shared" si="5"/>
        <v>3.3200000000000003</v>
      </c>
      <c r="Z112" s="932">
        <f t="shared" si="5"/>
        <v>3.6900000000000013</v>
      </c>
      <c r="AA112" s="913"/>
      <c r="AB112" s="913"/>
      <c r="AC112" s="913"/>
      <c r="AD112" s="913"/>
      <c r="AE112" s="913"/>
      <c r="AF112" s="913"/>
      <c r="AG112" s="913"/>
      <c r="AH112" s="913"/>
      <c r="AI112" s="913"/>
      <c r="AJ112" s="913"/>
      <c r="AK112" s="913"/>
      <c r="AL112" s="913"/>
      <c r="AM112" s="923"/>
    </row>
    <row r="113" spans="1:39" ht="15.75" thickBot="1" x14ac:dyDescent="0.3">
      <c r="A113" s="193"/>
      <c r="G113" s="436"/>
      <c r="H113" s="436"/>
      <c r="I113" s="436"/>
      <c r="J113" s="193"/>
      <c r="K113" s="193"/>
      <c r="L113" s="193"/>
      <c r="M113" s="193"/>
      <c r="N113" s="193"/>
      <c r="O113" s="935">
        <f t="shared" si="4"/>
        <v>30.65</v>
      </c>
      <c r="P113" s="913"/>
      <c r="Q113" s="925"/>
      <c r="R113" s="932">
        <f t="shared" si="5"/>
        <v>0.73999999999999932</v>
      </c>
      <c r="S113" s="932">
        <f t="shared" si="5"/>
        <v>1.1099999999999994</v>
      </c>
      <c r="T113" s="932">
        <f t="shared" si="5"/>
        <v>1.4699999999999989</v>
      </c>
      <c r="U113" s="932">
        <f t="shared" si="5"/>
        <v>1.8399999999999999</v>
      </c>
      <c r="V113" s="932">
        <f t="shared" si="5"/>
        <v>2.2100000000000009</v>
      </c>
      <c r="W113" s="932">
        <f t="shared" si="5"/>
        <v>2.5800000000000018</v>
      </c>
      <c r="X113" s="932">
        <f t="shared" si="5"/>
        <v>2.9499999999999993</v>
      </c>
      <c r="Y113" s="932">
        <f t="shared" si="5"/>
        <v>3.3200000000000003</v>
      </c>
      <c r="Z113" s="932">
        <f t="shared" si="5"/>
        <v>3.6899999999999977</v>
      </c>
      <c r="AA113" s="913"/>
      <c r="AB113" s="913"/>
      <c r="AC113" s="913"/>
      <c r="AD113" s="913"/>
      <c r="AE113" s="913"/>
      <c r="AF113" s="913"/>
      <c r="AG113" s="913"/>
      <c r="AH113" s="913"/>
      <c r="AI113" s="913"/>
      <c r="AJ113" s="913"/>
      <c r="AK113" s="913"/>
      <c r="AL113" s="913"/>
      <c r="AM113" s="923"/>
    </row>
    <row r="114" spans="1:39" ht="15.75" thickBot="1" x14ac:dyDescent="0.3">
      <c r="A114" s="193"/>
      <c r="G114" s="436"/>
      <c r="H114" s="436"/>
      <c r="I114" s="436"/>
      <c r="J114" s="193"/>
      <c r="K114" s="193"/>
      <c r="L114" s="193"/>
      <c r="M114" s="193"/>
      <c r="O114" s="935">
        <f t="shared" si="4"/>
        <v>35.65</v>
      </c>
      <c r="P114" s="913"/>
      <c r="Q114" s="925"/>
      <c r="R114" s="932">
        <f t="shared" si="5"/>
        <v>0.74000000000000021</v>
      </c>
      <c r="S114" s="932">
        <f t="shared" si="5"/>
        <v>1.0999999999999996</v>
      </c>
      <c r="T114" s="932">
        <f t="shared" si="5"/>
        <v>1.4800000000000004</v>
      </c>
      <c r="U114" s="932">
        <f t="shared" si="5"/>
        <v>1.8499999999999996</v>
      </c>
      <c r="V114" s="932">
        <f t="shared" si="5"/>
        <v>2.2100000000000009</v>
      </c>
      <c r="W114" s="932">
        <f t="shared" si="5"/>
        <v>2.5799999999999983</v>
      </c>
      <c r="X114" s="932">
        <f t="shared" si="5"/>
        <v>2.9499999999999993</v>
      </c>
      <c r="Y114" s="932">
        <f t="shared" si="5"/>
        <v>3.3099999999999987</v>
      </c>
      <c r="Z114" s="932">
        <f t="shared" si="5"/>
        <v>3.6800000000000033</v>
      </c>
      <c r="AA114" s="913"/>
      <c r="AB114" s="913"/>
      <c r="AC114" s="913"/>
      <c r="AD114" s="913"/>
      <c r="AE114" s="913"/>
      <c r="AF114" s="913"/>
      <c r="AG114" s="913"/>
      <c r="AH114" s="913"/>
      <c r="AI114" s="913"/>
      <c r="AJ114" s="913"/>
      <c r="AK114" s="913"/>
      <c r="AL114" s="913"/>
      <c r="AM114" s="923"/>
    </row>
    <row r="115" spans="1:39" ht="15.75" thickBot="1" x14ac:dyDescent="0.3">
      <c r="A115" s="193"/>
      <c r="G115" s="436"/>
      <c r="H115" s="436"/>
      <c r="I115" s="436"/>
      <c r="J115" s="193"/>
      <c r="K115" s="193"/>
      <c r="L115" s="193"/>
      <c r="M115" s="193"/>
      <c r="O115" s="935">
        <f t="shared" si="4"/>
        <v>40.65</v>
      </c>
      <c r="P115" s="913"/>
      <c r="Q115" s="925"/>
      <c r="R115" s="932">
        <f t="shared" si="5"/>
        <v>0.73000000000000043</v>
      </c>
      <c r="S115" s="932">
        <f t="shared" si="5"/>
        <v>1.1100000000000012</v>
      </c>
      <c r="T115" s="932">
        <f t="shared" si="5"/>
        <v>1.4700000000000006</v>
      </c>
      <c r="U115" s="932">
        <f t="shared" si="5"/>
        <v>1.8399999999999999</v>
      </c>
      <c r="V115" s="932">
        <f t="shared" si="5"/>
        <v>2.2100000000000009</v>
      </c>
      <c r="W115" s="932">
        <f t="shared" si="5"/>
        <v>2.5800000000000018</v>
      </c>
      <c r="X115" s="932">
        <f t="shared" si="5"/>
        <v>2.9500000000000028</v>
      </c>
      <c r="Y115" s="932">
        <f t="shared" si="5"/>
        <v>3.3199999999999967</v>
      </c>
      <c r="Z115" s="932">
        <f t="shared" si="5"/>
        <v>3.6899999999999977</v>
      </c>
      <c r="AA115" s="913"/>
      <c r="AB115" s="913"/>
      <c r="AC115" s="913"/>
      <c r="AD115" s="913"/>
      <c r="AE115" s="913"/>
      <c r="AF115" s="913"/>
      <c r="AG115" s="913"/>
      <c r="AH115" s="913"/>
      <c r="AI115" s="913"/>
      <c r="AJ115" s="913"/>
      <c r="AK115" s="913"/>
      <c r="AL115" s="913"/>
      <c r="AM115" s="923"/>
    </row>
    <row r="116" spans="1:39" ht="15.75" thickBot="1" x14ac:dyDescent="0.3">
      <c r="A116" s="193"/>
      <c r="G116" s="436"/>
      <c r="H116" s="436"/>
      <c r="I116" s="436"/>
      <c r="J116" s="193"/>
      <c r="K116" s="193"/>
      <c r="L116" s="193"/>
      <c r="M116" s="193"/>
      <c r="O116" s="935">
        <f t="shared" si="4"/>
        <v>45.65</v>
      </c>
      <c r="P116" s="913"/>
      <c r="Q116" s="925"/>
      <c r="R116" s="932">
        <f t="shared" si="5"/>
        <v>0.73999999999999932</v>
      </c>
      <c r="S116" s="932">
        <f t="shared" si="5"/>
        <v>1.0999999999999996</v>
      </c>
      <c r="T116" s="932">
        <f t="shared" si="5"/>
        <v>1.4799999999999986</v>
      </c>
      <c r="U116" s="932">
        <f t="shared" si="5"/>
        <v>1.8399999999999999</v>
      </c>
      <c r="V116" s="932">
        <f t="shared" si="5"/>
        <v>2.2199999999999989</v>
      </c>
      <c r="W116" s="932">
        <f t="shared" si="5"/>
        <v>2.5799999999999983</v>
      </c>
      <c r="X116" s="932">
        <f t="shared" si="5"/>
        <v>2.9399999999999977</v>
      </c>
      <c r="Y116" s="932">
        <f t="shared" si="5"/>
        <v>3.3200000000000003</v>
      </c>
      <c r="Z116" s="932">
        <f t="shared" si="5"/>
        <v>3.6799999999999997</v>
      </c>
      <c r="AA116" s="913"/>
      <c r="AB116" s="913"/>
      <c r="AC116" s="913"/>
      <c r="AD116" s="913"/>
      <c r="AE116" s="913"/>
      <c r="AF116" s="913"/>
      <c r="AG116" s="913"/>
      <c r="AH116" s="913"/>
      <c r="AI116" s="913"/>
      <c r="AJ116" s="913"/>
      <c r="AK116" s="913"/>
      <c r="AL116" s="913"/>
      <c r="AM116" s="923"/>
    </row>
    <row r="117" spans="1:39" ht="15.75" thickBot="1" x14ac:dyDescent="0.3">
      <c r="A117" s="193"/>
      <c r="G117" s="436"/>
      <c r="H117" s="436"/>
      <c r="I117" s="436"/>
      <c r="J117" s="193"/>
      <c r="K117" s="193"/>
      <c r="L117" s="193"/>
      <c r="M117" s="193"/>
      <c r="O117" s="935">
        <f t="shared" si="4"/>
        <v>50.65</v>
      </c>
      <c r="P117" s="913"/>
      <c r="Q117" s="925"/>
      <c r="R117" s="932">
        <f t="shared" si="5"/>
        <v>0.7400000000000011</v>
      </c>
      <c r="S117" s="932">
        <f t="shared" si="5"/>
        <v>1.1099999999999994</v>
      </c>
      <c r="T117" s="932">
        <f t="shared" si="5"/>
        <v>1.4699999999999989</v>
      </c>
      <c r="U117" s="932">
        <f t="shared" si="5"/>
        <v>1.8500000000000014</v>
      </c>
      <c r="V117" s="932">
        <f t="shared" si="5"/>
        <v>2.2100000000000009</v>
      </c>
      <c r="W117" s="932">
        <f t="shared" si="5"/>
        <v>2.5800000000000018</v>
      </c>
      <c r="X117" s="932">
        <f t="shared" si="5"/>
        <v>2.9499999999999993</v>
      </c>
      <c r="Y117" s="932">
        <f t="shared" si="5"/>
        <v>3.3200000000000003</v>
      </c>
      <c r="Z117" s="932">
        <f t="shared" si="5"/>
        <v>3.6899999999999977</v>
      </c>
      <c r="AA117" s="913"/>
      <c r="AB117" s="913"/>
      <c r="AC117" s="913"/>
      <c r="AD117" s="913"/>
      <c r="AE117" s="913"/>
      <c r="AF117" s="913"/>
      <c r="AG117" s="913"/>
      <c r="AH117" s="913"/>
      <c r="AI117" s="913"/>
      <c r="AJ117" s="913"/>
      <c r="AK117" s="913"/>
      <c r="AL117" s="913"/>
      <c r="AM117" s="923"/>
    </row>
    <row r="118" spans="1:39" ht="15.75" thickBot="1" x14ac:dyDescent="0.3">
      <c r="A118" s="193"/>
      <c r="G118" s="193"/>
      <c r="H118" s="193"/>
      <c r="I118" s="193"/>
      <c r="J118" s="193"/>
      <c r="K118" s="193"/>
      <c r="L118" s="193"/>
      <c r="M118" s="193"/>
      <c r="O118" s="935">
        <f t="shared" si="4"/>
        <v>55.65</v>
      </c>
      <c r="P118" s="913"/>
      <c r="Q118" s="925"/>
      <c r="R118" s="932">
        <f t="shared" si="5"/>
        <v>0.72999999999999865</v>
      </c>
      <c r="S118" s="932">
        <f t="shared" si="5"/>
        <v>1.1100000000000012</v>
      </c>
      <c r="T118" s="932">
        <f t="shared" si="5"/>
        <v>1.4800000000000004</v>
      </c>
      <c r="U118" s="932">
        <f t="shared" si="5"/>
        <v>1.8399999999999999</v>
      </c>
      <c r="V118" s="932">
        <f t="shared" si="5"/>
        <v>2.2099999999999973</v>
      </c>
      <c r="W118" s="932">
        <f t="shared" si="5"/>
        <v>2.5799999999999947</v>
      </c>
      <c r="X118" s="932">
        <f t="shared" si="5"/>
        <v>2.9499999999999957</v>
      </c>
      <c r="Y118" s="932">
        <f t="shared" si="5"/>
        <v>3.3099999999999952</v>
      </c>
      <c r="Z118" s="932">
        <f t="shared" si="5"/>
        <v>3.6799999999999926</v>
      </c>
      <c r="AA118" s="913"/>
      <c r="AB118" s="913"/>
      <c r="AC118" s="913"/>
      <c r="AD118" s="913"/>
      <c r="AE118" s="913"/>
      <c r="AF118" s="913"/>
      <c r="AG118" s="913"/>
      <c r="AH118" s="913"/>
      <c r="AI118" s="913"/>
      <c r="AJ118" s="913"/>
      <c r="AK118" s="913"/>
      <c r="AL118" s="913"/>
      <c r="AM118" s="923"/>
    </row>
    <row r="119" spans="1:39" ht="15.75" thickBot="1" x14ac:dyDescent="0.3">
      <c r="A119" s="193"/>
      <c r="B119" s="193"/>
      <c r="C119" s="193"/>
      <c r="D119" s="193"/>
      <c r="E119" s="193"/>
      <c r="F119" s="193"/>
      <c r="G119" s="193"/>
      <c r="H119" s="193"/>
      <c r="I119" s="193"/>
      <c r="J119" s="193"/>
      <c r="K119" s="193"/>
      <c r="L119" s="193"/>
      <c r="M119" s="193"/>
      <c r="O119" s="935">
        <f t="shared" si="4"/>
        <v>60.65</v>
      </c>
      <c r="P119" s="913"/>
      <c r="Q119" s="925"/>
      <c r="R119" s="932">
        <f t="shared" si="5"/>
        <v>0.74000000000000021</v>
      </c>
      <c r="S119" s="932">
        <f t="shared" si="5"/>
        <v>1.0999999999999996</v>
      </c>
      <c r="T119" s="932">
        <f t="shared" si="5"/>
        <v>1.4700000000000024</v>
      </c>
      <c r="U119" s="932">
        <f t="shared" si="5"/>
        <v>1.8399999999999999</v>
      </c>
      <c r="V119" s="932">
        <f t="shared" si="5"/>
        <v>2.2100000000000009</v>
      </c>
      <c r="W119" s="932">
        <f t="shared" si="5"/>
        <v>2.5800000000000054</v>
      </c>
      <c r="X119" s="932">
        <f t="shared" si="5"/>
        <v>2.9500000000000028</v>
      </c>
      <c r="Y119" s="932">
        <f t="shared" si="5"/>
        <v>3.3200000000000074</v>
      </c>
      <c r="Z119" s="932">
        <f t="shared" si="5"/>
        <v>3.6900000000000119</v>
      </c>
      <c r="AA119" s="913"/>
      <c r="AB119" s="913"/>
      <c r="AC119" s="913"/>
      <c r="AD119" s="913"/>
      <c r="AE119" s="913"/>
      <c r="AF119" s="913"/>
      <c r="AG119" s="913"/>
      <c r="AH119" s="913"/>
      <c r="AI119" s="913"/>
      <c r="AJ119" s="913"/>
      <c r="AK119" s="913"/>
      <c r="AL119" s="913"/>
      <c r="AM119" s="923"/>
    </row>
    <row r="120" spans="1:39" ht="15.75" thickBot="1" x14ac:dyDescent="0.3">
      <c r="A120" s="193"/>
      <c r="B120" s="193"/>
      <c r="C120" s="193"/>
      <c r="D120" s="193"/>
      <c r="E120" s="193"/>
      <c r="F120" s="193"/>
      <c r="G120" s="193"/>
      <c r="H120" s="193"/>
      <c r="I120" s="193"/>
      <c r="J120" s="193"/>
      <c r="K120" s="193"/>
      <c r="L120" s="193"/>
      <c r="M120" s="193"/>
      <c r="O120" s="935">
        <f t="shared" si="4"/>
        <v>65.650000000000006</v>
      </c>
      <c r="P120" s="913"/>
      <c r="Q120" s="925"/>
      <c r="R120" s="932">
        <f t="shared" si="5"/>
        <v>0.74000000000000021</v>
      </c>
      <c r="S120" s="932">
        <f t="shared" si="5"/>
        <v>1.1099999999999994</v>
      </c>
      <c r="T120" s="932">
        <f t="shared" si="5"/>
        <v>1.4800000000000004</v>
      </c>
      <c r="U120" s="932">
        <f t="shared" si="5"/>
        <v>1.8399999999999999</v>
      </c>
      <c r="V120" s="932">
        <f t="shared" si="5"/>
        <v>2.2100000000000009</v>
      </c>
      <c r="W120" s="932">
        <f t="shared" si="5"/>
        <v>2.5799999999999983</v>
      </c>
      <c r="X120" s="932">
        <f t="shared" si="5"/>
        <v>2.9500000000000028</v>
      </c>
      <c r="Y120" s="932">
        <f t="shared" si="5"/>
        <v>3.3200000000000003</v>
      </c>
      <c r="Z120" s="932">
        <f t="shared" si="5"/>
        <v>3.6899999999999977</v>
      </c>
      <c r="AA120" s="913"/>
      <c r="AB120" s="913"/>
      <c r="AC120" s="913"/>
      <c r="AD120" s="913"/>
      <c r="AE120" s="913"/>
      <c r="AF120" s="913"/>
      <c r="AG120" s="913"/>
      <c r="AH120" s="913"/>
      <c r="AI120" s="913"/>
      <c r="AJ120" s="913"/>
      <c r="AK120" s="913"/>
      <c r="AL120" s="913"/>
      <c r="AM120" s="923"/>
    </row>
    <row r="121" spans="1:39" ht="15.75" thickBot="1" x14ac:dyDescent="0.3">
      <c r="A121" s="193"/>
      <c r="B121" s="193"/>
      <c r="C121" s="193"/>
      <c r="D121" s="193"/>
      <c r="E121" s="193"/>
      <c r="F121" s="193"/>
      <c r="G121" s="193"/>
      <c r="H121" s="193"/>
      <c r="I121" s="193"/>
      <c r="J121" s="193"/>
      <c r="K121" s="193"/>
      <c r="L121" s="193"/>
      <c r="M121" s="193"/>
      <c r="O121" s="935">
        <f t="shared" si="4"/>
        <v>70.650000000000006</v>
      </c>
      <c r="P121" s="913"/>
      <c r="Q121" s="925"/>
      <c r="R121" s="932">
        <f t="shared" si="5"/>
        <v>0.74000000000000021</v>
      </c>
      <c r="S121" s="932">
        <f t="shared" si="5"/>
        <v>1.0999999999999996</v>
      </c>
      <c r="T121" s="932">
        <f t="shared" si="5"/>
        <v>1.4699999999999989</v>
      </c>
      <c r="U121" s="932">
        <f t="shared" si="5"/>
        <v>1.8500000000000014</v>
      </c>
      <c r="V121" s="932">
        <f t="shared" si="5"/>
        <v>2.2100000000000009</v>
      </c>
      <c r="W121" s="932">
        <f t="shared" si="5"/>
        <v>2.5799999999999983</v>
      </c>
      <c r="X121" s="932">
        <f t="shared" si="5"/>
        <v>2.9500000000000028</v>
      </c>
      <c r="Y121" s="932">
        <f t="shared" si="5"/>
        <v>3.3200000000000003</v>
      </c>
      <c r="Z121" s="932">
        <f t="shared" si="5"/>
        <v>3.6799999999999997</v>
      </c>
      <c r="AA121" s="913"/>
      <c r="AB121" s="913"/>
      <c r="AC121" s="913"/>
      <c r="AD121" s="913"/>
      <c r="AE121" s="913"/>
      <c r="AF121" s="913"/>
      <c r="AG121" s="913"/>
      <c r="AH121" s="913"/>
      <c r="AI121" s="913"/>
      <c r="AJ121" s="913"/>
      <c r="AK121" s="913"/>
      <c r="AL121" s="913"/>
      <c r="AM121" s="923"/>
    </row>
    <row r="122" spans="1:39" ht="15.75" thickBot="1" x14ac:dyDescent="0.3">
      <c r="A122" s="193"/>
      <c r="B122" s="193"/>
      <c r="C122" s="193"/>
      <c r="D122" s="193"/>
      <c r="E122" s="193"/>
      <c r="F122" s="193"/>
      <c r="G122" s="193"/>
      <c r="H122" s="193"/>
      <c r="I122" s="193"/>
      <c r="J122" s="193"/>
      <c r="K122" s="193"/>
      <c r="L122" s="193"/>
      <c r="M122" s="193"/>
      <c r="O122" s="935"/>
      <c r="P122" s="913"/>
      <c r="Q122" s="913"/>
      <c r="R122" s="932"/>
      <c r="S122" s="932"/>
      <c r="T122" s="932"/>
      <c r="U122" s="932"/>
      <c r="V122" s="932"/>
      <c r="W122" s="932"/>
      <c r="X122" s="932"/>
      <c r="Y122" s="932"/>
      <c r="Z122" s="932"/>
      <c r="AA122" s="913"/>
      <c r="AB122" s="913"/>
      <c r="AC122" s="913"/>
      <c r="AD122" s="913"/>
      <c r="AE122" s="913"/>
      <c r="AF122" s="913"/>
      <c r="AG122" s="913"/>
      <c r="AH122" s="913"/>
      <c r="AI122" s="913"/>
      <c r="AJ122" s="913"/>
      <c r="AK122" s="913"/>
      <c r="AL122" s="913"/>
      <c r="AM122" s="923"/>
    </row>
    <row r="123" spans="1:39" x14ac:dyDescent="0.25">
      <c r="A123" s="193"/>
      <c r="B123" s="193"/>
      <c r="C123" s="193"/>
      <c r="D123" s="193"/>
      <c r="E123" s="193"/>
      <c r="F123" s="193"/>
      <c r="G123" s="193"/>
      <c r="H123" s="193"/>
      <c r="I123" s="193"/>
      <c r="J123" s="193"/>
      <c r="K123" s="193"/>
      <c r="L123" s="193"/>
      <c r="M123" s="193"/>
      <c r="O123" s="936"/>
      <c r="P123" s="929"/>
      <c r="Q123" s="929"/>
      <c r="R123" s="938"/>
      <c r="S123" s="938"/>
      <c r="T123" s="938"/>
      <c r="U123" s="938"/>
      <c r="V123" s="938"/>
      <c r="W123" s="938"/>
      <c r="X123" s="938"/>
      <c r="Y123" s="938"/>
      <c r="Z123" s="938"/>
      <c r="AA123" s="929"/>
      <c r="AB123" s="929"/>
      <c r="AC123" s="929"/>
      <c r="AD123" s="929"/>
      <c r="AE123" s="929"/>
      <c r="AF123" s="929"/>
      <c r="AG123" s="929"/>
      <c r="AH123" s="929"/>
      <c r="AI123" s="929"/>
      <c r="AJ123" s="929"/>
      <c r="AK123" s="929"/>
      <c r="AL123" s="929"/>
      <c r="AM123" s="930"/>
    </row>
    <row r="124" spans="1:39" x14ac:dyDescent="0.25">
      <c r="A124" s="193"/>
      <c r="B124" s="193"/>
      <c r="C124" s="193"/>
      <c r="D124" s="193"/>
      <c r="E124" s="193"/>
      <c r="F124" s="193"/>
      <c r="G124" s="193"/>
      <c r="H124" s="193"/>
      <c r="I124" s="193"/>
      <c r="J124" s="193"/>
      <c r="K124" s="193"/>
      <c r="L124" s="193"/>
      <c r="M124" s="193"/>
    </row>
    <row r="125" spans="1:39" x14ac:dyDescent="0.25">
      <c r="A125" s="193"/>
      <c r="B125" s="193"/>
      <c r="C125" s="193"/>
      <c r="D125" s="193"/>
      <c r="E125" s="193"/>
      <c r="F125" s="193"/>
      <c r="G125" s="193"/>
      <c r="H125" s="193"/>
      <c r="I125" s="193"/>
      <c r="J125" s="193"/>
      <c r="K125" s="193"/>
      <c r="L125" s="193"/>
      <c r="M125" s="193"/>
    </row>
    <row r="141" ht="150.75" customHeight="1" x14ac:dyDescent="0.25"/>
    <row r="150" spans="3:3" x14ac:dyDescent="0.25">
      <c r="C150" s="138"/>
    </row>
    <row r="151" spans="3:3" x14ac:dyDescent="0.25">
      <c r="C151" s="138"/>
    </row>
    <row r="282" spans="24:25" x14ac:dyDescent="0.25">
      <c r="X282" s="110"/>
      <c r="Y282" s="109"/>
    </row>
  </sheetData>
  <sheetProtection algorithmName="SHA-512" hashValue="PPJ3oY6VRJafDeTIxy1mRsOt0CsEqRhHa71kTeB0JRSN8OuVr4Xjg0jq2WcWY21a3j3Gh+UMQaEK4WwcHLzl0w==" saltValue="SkEFjY7y8uLxJkCyO5HYVg==" spinCount="100000" sheet="1" objects="1" scenarios="1"/>
  <mergeCells count="6">
    <mergeCell ref="N71:N72"/>
    <mergeCell ref="N44:N45"/>
    <mergeCell ref="D17:D18"/>
    <mergeCell ref="E17:E18"/>
    <mergeCell ref="F17:F18"/>
    <mergeCell ref="G17:G18"/>
  </mergeCells>
  <conditionalFormatting sqref="R48:AI48 AB49:AI53 R54:AI54">
    <cfRule type="colorScale" priority="18">
      <colorScale>
        <cfvo type="min"/>
        <cfvo type="percentile" val="50"/>
        <cfvo type="max"/>
        <color rgb="FF63BE7B"/>
        <color rgb="FFFFEB84"/>
        <color rgb="FFF8696B"/>
      </colorScale>
    </cfRule>
  </conditionalFormatting>
  <conditionalFormatting sqref="R48:AI48 AB49:AI53 R54:AJ54">
    <cfRule type="colorScale" priority="15">
      <colorScale>
        <cfvo type="min"/>
        <cfvo type="percentile" val="50"/>
        <cfvo type="max"/>
        <color rgb="FF63BE7B"/>
        <color rgb="FFFFEB84"/>
        <color rgb="FFF8696B"/>
      </colorScale>
    </cfRule>
  </conditionalFormatting>
  <conditionalFormatting sqref="R55:Z57">
    <cfRule type="colorScale" priority="14">
      <colorScale>
        <cfvo type="min"/>
        <cfvo type="percentile" val="50"/>
        <cfvo type="max"/>
        <color rgb="FF63BE7B"/>
        <color rgb="FFFFEB84"/>
        <color rgb="FFF8696B"/>
      </colorScale>
    </cfRule>
  </conditionalFormatting>
  <conditionalFormatting sqref="R55:AA57">
    <cfRule type="colorScale" priority="13">
      <colorScale>
        <cfvo type="min"/>
        <cfvo type="percentile" val="50"/>
        <cfvo type="max"/>
        <color rgb="FF63BE7B"/>
        <color rgb="FFFFEB84"/>
        <color rgb="FFF8696B"/>
      </colorScale>
    </cfRule>
  </conditionalFormatting>
  <conditionalFormatting sqref="R50:Z53">
    <cfRule type="colorScale" priority="12">
      <colorScale>
        <cfvo type="min"/>
        <cfvo type="percentile" val="50"/>
        <cfvo type="max"/>
        <color rgb="FF63BE7B"/>
        <color rgb="FFFFEB84"/>
        <color rgb="FFF8696B"/>
      </colorScale>
    </cfRule>
  </conditionalFormatting>
  <conditionalFormatting sqref="R50:AA53">
    <cfRule type="colorScale" priority="11">
      <colorScale>
        <cfvo type="min"/>
        <cfvo type="percentile" val="50"/>
        <cfvo type="max"/>
        <color rgb="FF63BE7B"/>
        <color rgb="FFFFEB84"/>
        <color rgb="FFF8696B"/>
      </colorScale>
    </cfRule>
  </conditionalFormatting>
  <conditionalFormatting sqref="R49:Z49">
    <cfRule type="colorScale" priority="10">
      <colorScale>
        <cfvo type="min"/>
        <cfvo type="percentile" val="50"/>
        <cfvo type="max"/>
        <color rgb="FF63BE7B"/>
        <color rgb="FFFFEB84"/>
        <color rgb="FFF8696B"/>
      </colorScale>
    </cfRule>
  </conditionalFormatting>
  <conditionalFormatting sqref="R49:AA49">
    <cfRule type="colorScale" priority="9">
      <colorScale>
        <cfvo type="min"/>
        <cfvo type="percentile" val="50"/>
        <cfvo type="max"/>
        <color rgb="FF63BE7B"/>
        <color rgb="FFFFEB84"/>
        <color rgb="FFF8696B"/>
      </colorScale>
    </cfRule>
  </conditionalFormatting>
  <conditionalFormatting sqref="R46:Z47">
    <cfRule type="colorScale" priority="8">
      <colorScale>
        <cfvo type="min"/>
        <cfvo type="percentile" val="50"/>
        <cfvo type="max"/>
        <color rgb="FF63BE7B"/>
        <color rgb="FFFFEB84"/>
        <color rgb="FFF8696B"/>
      </colorScale>
    </cfRule>
  </conditionalFormatting>
  <conditionalFormatting sqref="R46:AA47">
    <cfRule type="colorScale" priority="7">
      <colorScale>
        <cfvo type="min"/>
        <cfvo type="percentile" val="50"/>
        <cfvo type="max"/>
        <color rgb="FF63BE7B"/>
        <color rgb="FFFFEB84"/>
        <color rgb="FFF8696B"/>
      </colorScale>
    </cfRule>
  </conditionalFormatting>
  <conditionalFormatting sqref="R46:AJ57">
    <cfRule type="colorScale" priority="6">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Q111:Z121 R122:Z123">
    <cfRule type="colorScale" priority="4">
      <colorScale>
        <cfvo type="min"/>
        <cfvo type="percentile" val="50"/>
        <cfvo type="max"/>
        <color rgb="FF63BE7B"/>
        <color rgb="FFFFEB84"/>
        <color rgb="FFF8696B"/>
      </colorScale>
    </cfRule>
  </conditionalFormatting>
  <conditionalFormatting sqref="Q92:Z106">
    <cfRule type="colorScale" priority="3">
      <colorScale>
        <cfvo type="min"/>
        <cfvo type="percentile" val="50"/>
        <cfvo type="max"/>
        <color rgb="FF63BE7B"/>
        <color rgb="FFFFEB84"/>
        <color rgb="FFF8696B"/>
      </colorScale>
    </cfRule>
  </conditionalFormatting>
  <conditionalFormatting sqref="S91:Z106">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zoomScale="85" zoomScaleNormal="85" workbookViewId="0">
      <selection activeCell="T39" sqref="T39"/>
    </sheetView>
  </sheetViews>
  <sheetFormatPr defaultRowHeight="15" x14ac:dyDescent="0.25"/>
  <cols>
    <col min="1" max="1" width="18.42578125" customWidth="1"/>
    <col min="2" max="2" width="17.5703125" customWidth="1"/>
    <col min="3" max="3" width="15.42578125" customWidth="1"/>
    <col min="4" max="4" width="15" customWidth="1"/>
    <col min="5" max="5" width="16.28515625" customWidth="1"/>
    <col min="10" max="10" width="10.7109375" customWidth="1"/>
    <col min="11" max="11" width="21.42578125" customWidth="1"/>
    <col min="12" max="12" width="16.85546875" customWidth="1"/>
    <col min="13" max="13" width="15.7109375" customWidth="1"/>
    <col min="14" max="14" width="14.5703125" customWidth="1"/>
    <col min="15" max="15" width="12.5703125" customWidth="1"/>
    <col min="21" max="21" width="19.140625" customWidth="1"/>
    <col min="22" max="22" width="17.140625" customWidth="1"/>
    <col min="23" max="23" width="11.85546875" customWidth="1"/>
    <col min="24" max="24" width="13.7109375" customWidth="1"/>
    <col min="25" max="25" width="13.140625" customWidth="1"/>
  </cols>
  <sheetData>
    <row r="1" spans="1:30" ht="24" thickBot="1" x14ac:dyDescent="0.4">
      <c r="A1" s="533" t="s">
        <v>286</v>
      </c>
      <c r="B1" s="460"/>
      <c r="C1" s="460"/>
      <c r="D1" s="460"/>
      <c r="E1" s="460"/>
      <c r="F1" s="460"/>
      <c r="G1" s="460"/>
      <c r="H1" s="460"/>
      <c r="I1" s="460"/>
      <c r="J1" s="534" t="s">
        <v>286</v>
      </c>
      <c r="K1" s="460"/>
      <c r="L1" s="460"/>
      <c r="M1" s="460"/>
      <c r="N1" s="461"/>
    </row>
    <row r="2" spans="1:30" ht="15.75" x14ac:dyDescent="0.25">
      <c r="A2" s="535" t="s">
        <v>277</v>
      </c>
      <c r="B2" s="536" t="s">
        <v>278</v>
      </c>
      <c r="C2" s="189" t="str">
        <f>IF('DATA ENTRY'!B9="mm",'DATA ENTRY'!B10/25.4,'DATA ENTRY'!B10)</f>
        <v>ENTER LENGTH</v>
      </c>
      <c r="D2" s="189" t="s">
        <v>151</v>
      </c>
      <c r="E2" s="189"/>
      <c r="F2" s="189"/>
      <c r="G2" s="190"/>
      <c r="H2" s="417"/>
      <c r="I2" s="536" t="s">
        <v>280</v>
      </c>
      <c r="J2" s="197" t="s">
        <v>293</v>
      </c>
      <c r="K2" s="189" t="e">
        <f>A23</f>
        <v>#VALUE!</v>
      </c>
      <c r="L2" s="189" t="s">
        <v>141</v>
      </c>
      <c r="M2" s="189"/>
      <c r="N2" s="190"/>
    </row>
    <row r="3" spans="1:30" ht="15.75" x14ac:dyDescent="0.25">
      <c r="A3" s="41"/>
      <c r="B3" s="531" t="s">
        <v>279</v>
      </c>
      <c r="C3" s="40" t="str">
        <f>IF('DATA ENTRY'!B9="mm",'DATA ENTRY'!B11/25.4,'DATA ENTRY'!B11)</f>
        <v>ENTER WIDTH</v>
      </c>
      <c r="D3" s="40" t="s">
        <v>151</v>
      </c>
      <c r="E3" s="40"/>
      <c r="F3" s="40"/>
      <c r="G3" s="169"/>
      <c r="H3" s="41"/>
      <c r="I3" s="40"/>
      <c r="J3" s="422" t="s">
        <v>294</v>
      </c>
      <c r="K3" s="40" t="e">
        <f>A35</f>
        <v>#VALUE!</v>
      </c>
      <c r="L3" s="40" t="s">
        <v>141</v>
      </c>
      <c r="M3" s="40"/>
      <c r="N3" s="169"/>
    </row>
    <row r="4" spans="1:30" ht="15.75" x14ac:dyDescent="0.25">
      <c r="A4" s="41"/>
      <c r="B4" s="531" t="s">
        <v>152</v>
      </c>
      <c r="C4" s="40" t="e">
        <f>C2*C3</f>
        <v>#VALUE!</v>
      </c>
      <c r="D4" s="40" t="s">
        <v>153</v>
      </c>
      <c r="E4" s="40"/>
      <c r="F4" s="40"/>
      <c r="G4" s="169"/>
      <c r="H4" s="41"/>
      <c r="I4" s="40"/>
      <c r="J4" s="422" t="s">
        <v>295</v>
      </c>
      <c r="K4" s="40" t="e">
        <f>A48</f>
        <v>#VALUE!</v>
      </c>
      <c r="L4" s="40" t="s">
        <v>141</v>
      </c>
      <c r="M4" s="40"/>
      <c r="N4" s="169"/>
    </row>
    <row r="5" spans="1:30" ht="15.75" x14ac:dyDescent="0.25">
      <c r="A5" s="41"/>
      <c r="B5" s="531"/>
      <c r="C5" s="40"/>
      <c r="D5" s="40"/>
      <c r="E5" s="40"/>
      <c r="F5" s="40"/>
      <c r="G5" s="169"/>
      <c r="H5" s="41"/>
      <c r="I5" s="40"/>
      <c r="J5" s="422" t="s">
        <v>296</v>
      </c>
      <c r="K5" s="40" t="e">
        <f>K23</f>
        <v>#VALUE!</v>
      </c>
      <c r="L5" s="40" t="s">
        <v>141</v>
      </c>
      <c r="M5" s="40"/>
      <c r="N5" s="169"/>
    </row>
    <row r="6" spans="1:30" ht="15.75" x14ac:dyDescent="0.25">
      <c r="A6" s="41"/>
      <c r="B6" s="579"/>
      <c r="C6" s="542">
        <v>8.25</v>
      </c>
      <c r="D6" s="542">
        <v>12.25</v>
      </c>
      <c r="E6" s="542">
        <v>7.0880000000000001</v>
      </c>
      <c r="F6" s="40"/>
      <c r="G6" s="169"/>
      <c r="H6" s="41"/>
      <c r="I6" s="40"/>
      <c r="J6" s="422" t="s">
        <v>297</v>
      </c>
      <c r="K6" s="40" t="e">
        <f>K35</f>
        <v>#VALUE!</v>
      </c>
      <c r="L6" s="40" t="s">
        <v>141</v>
      </c>
      <c r="M6" s="40"/>
      <c r="N6" s="169"/>
    </row>
    <row r="7" spans="1:30" ht="15.75" x14ac:dyDescent="0.25">
      <c r="A7" s="399" t="s">
        <v>308</v>
      </c>
      <c r="B7" s="578" t="s">
        <v>302</v>
      </c>
      <c r="C7" s="580" t="s">
        <v>303</v>
      </c>
      <c r="D7" s="580" t="s">
        <v>305</v>
      </c>
      <c r="E7" s="580" t="s">
        <v>307</v>
      </c>
      <c r="F7" s="40"/>
      <c r="G7" s="169"/>
      <c r="H7" s="41"/>
      <c r="I7" s="40"/>
      <c r="J7" s="422" t="s">
        <v>298</v>
      </c>
      <c r="K7" s="40" t="e">
        <f>K48</f>
        <v>#VALUE!</v>
      </c>
      <c r="L7" s="40" t="s">
        <v>141</v>
      </c>
      <c r="M7" s="40"/>
      <c r="N7" s="169"/>
    </row>
    <row r="8" spans="1:30" ht="15.75" x14ac:dyDescent="0.25">
      <c r="A8" s="399" t="s">
        <v>309</v>
      </c>
      <c r="B8" s="578" t="s">
        <v>304</v>
      </c>
      <c r="C8" s="580">
        <v>107.815</v>
      </c>
      <c r="D8" s="580">
        <v>103.815</v>
      </c>
      <c r="E8" s="580">
        <v>108.977</v>
      </c>
      <c r="F8" s="40"/>
      <c r="G8" s="169"/>
      <c r="H8" s="41"/>
      <c r="I8" s="40"/>
      <c r="J8" s="422" t="s">
        <v>299</v>
      </c>
      <c r="K8" s="40" t="e">
        <f>U23</f>
        <v>#VALUE!</v>
      </c>
      <c r="L8" s="40" t="s">
        <v>141</v>
      </c>
      <c r="M8" s="40"/>
      <c r="N8" s="169"/>
    </row>
    <row r="9" spans="1:30" ht="15.75" x14ac:dyDescent="0.25">
      <c r="A9" s="41"/>
      <c r="B9" s="578" t="s">
        <v>306</v>
      </c>
      <c r="C9" s="580" t="s">
        <v>310</v>
      </c>
      <c r="D9" s="580" t="s">
        <v>310</v>
      </c>
      <c r="E9" s="580" t="s">
        <v>310</v>
      </c>
      <c r="F9" s="40"/>
      <c r="G9" s="169"/>
      <c r="H9" s="41"/>
      <c r="I9" s="40"/>
      <c r="J9" s="422" t="s">
        <v>300</v>
      </c>
      <c r="K9" s="40" t="e">
        <f>U35</f>
        <v>#VALUE!</v>
      </c>
      <c r="L9" s="40" t="s">
        <v>141</v>
      </c>
      <c r="M9" s="40"/>
      <c r="N9" s="169"/>
    </row>
    <row r="10" spans="1:30" ht="15.75" x14ac:dyDescent="0.25">
      <c r="A10" s="41"/>
      <c r="B10" s="531"/>
      <c r="C10" s="40"/>
      <c r="D10" s="40"/>
      <c r="E10" s="40"/>
      <c r="F10" s="40"/>
      <c r="G10" s="169"/>
      <c r="H10" s="41"/>
      <c r="I10" s="40"/>
      <c r="J10" s="422" t="s">
        <v>301</v>
      </c>
      <c r="K10" s="40" t="e">
        <f>U48</f>
        <v>#VALUE!</v>
      </c>
      <c r="L10" s="40" t="s">
        <v>141</v>
      </c>
      <c r="M10" s="40"/>
      <c r="N10" s="169"/>
    </row>
    <row r="11" spans="1:30" ht="16.5" thickBot="1" x14ac:dyDescent="0.3">
      <c r="A11" s="42"/>
      <c r="B11" s="576"/>
      <c r="C11" s="43"/>
      <c r="D11" s="43"/>
      <c r="E11" s="43"/>
      <c r="F11" s="43"/>
      <c r="G11" s="170"/>
      <c r="H11" s="42"/>
      <c r="I11" s="43"/>
      <c r="J11" s="43"/>
      <c r="K11" s="40"/>
      <c r="L11" s="40"/>
      <c r="M11" s="40"/>
      <c r="N11" s="169"/>
    </row>
    <row r="12" spans="1:30" ht="15.75" x14ac:dyDescent="0.25">
      <c r="A12" s="574" t="s">
        <v>288</v>
      </c>
      <c r="B12" s="562" t="s">
        <v>289</v>
      </c>
      <c r="C12" s="563">
        <v>8.25</v>
      </c>
      <c r="D12" s="563"/>
      <c r="E12" s="575"/>
      <c r="F12" s="573"/>
      <c r="G12" s="573"/>
      <c r="H12" s="573"/>
      <c r="I12" s="573"/>
      <c r="J12" s="577"/>
      <c r="K12" s="551" t="s">
        <v>291</v>
      </c>
      <c r="L12" s="552" t="s">
        <v>289</v>
      </c>
      <c r="M12" s="553">
        <v>8.25</v>
      </c>
      <c r="N12" s="553"/>
      <c r="O12" s="572"/>
      <c r="P12" s="568"/>
      <c r="Q12" s="568"/>
      <c r="R12" s="568"/>
      <c r="S12" s="568"/>
      <c r="T12" s="569"/>
      <c r="U12" s="551" t="s">
        <v>292</v>
      </c>
      <c r="V12" s="552" t="s">
        <v>289</v>
      </c>
      <c r="W12" s="553">
        <v>8.25</v>
      </c>
      <c r="X12" s="553"/>
      <c r="Y12" s="572"/>
      <c r="Z12" s="568"/>
      <c r="AA12" s="568"/>
      <c r="AB12" s="568"/>
      <c r="AC12" s="568"/>
      <c r="AD12" s="569"/>
    </row>
    <row r="13" spans="1:30" x14ac:dyDescent="0.25">
      <c r="A13" s="571"/>
      <c r="B13" s="570" t="s">
        <v>283</v>
      </c>
      <c r="C13" s="564" t="s">
        <v>284</v>
      </c>
      <c r="D13" s="564" t="s">
        <v>282</v>
      </c>
      <c r="E13" s="564" t="s">
        <v>281</v>
      </c>
      <c r="F13" s="557"/>
      <c r="G13" s="557"/>
      <c r="H13" s="557"/>
      <c r="I13" s="557"/>
      <c r="J13" s="558"/>
      <c r="K13" s="571"/>
      <c r="L13" s="570" t="s">
        <v>283</v>
      </c>
      <c r="M13" s="564" t="s">
        <v>284</v>
      </c>
      <c r="N13" s="564" t="s">
        <v>282</v>
      </c>
      <c r="O13" s="564" t="s">
        <v>281</v>
      </c>
      <c r="P13" s="557"/>
      <c r="Q13" s="557"/>
      <c r="R13" s="557"/>
      <c r="S13" s="557"/>
      <c r="T13" s="558"/>
      <c r="U13" s="571"/>
      <c r="V13" s="570" t="s">
        <v>283</v>
      </c>
      <c r="W13" s="564" t="s">
        <v>284</v>
      </c>
      <c r="X13" s="564" t="s">
        <v>282</v>
      </c>
      <c r="Y13" s="564" t="s">
        <v>281</v>
      </c>
      <c r="Z13" s="557"/>
      <c r="AA13" s="557"/>
      <c r="AB13" s="557"/>
      <c r="AC13" s="557"/>
      <c r="AD13" s="558"/>
    </row>
    <row r="14" spans="1:30" x14ac:dyDescent="0.25">
      <c r="A14" s="554"/>
      <c r="B14" s="555">
        <v>12</v>
      </c>
      <c r="C14" s="556">
        <v>12</v>
      </c>
      <c r="D14" s="556">
        <f t="shared" ref="D14:D19" si="0">B14*C14</f>
        <v>144</v>
      </c>
      <c r="E14" s="556">
        <v>4.26</v>
      </c>
      <c r="F14" s="557"/>
      <c r="G14" s="557"/>
      <c r="H14" s="557"/>
      <c r="I14" s="557"/>
      <c r="J14" s="558"/>
      <c r="K14" s="554"/>
      <c r="L14" s="555">
        <v>48</v>
      </c>
      <c r="M14" s="556">
        <v>48</v>
      </c>
      <c r="N14" s="556">
        <f>L14*M14</f>
        <v>2304</v>
      </c>
      <c r="O14" s="556">
        <v>38.86</v>
      </c>
      <c r="P14" s="557"/>
      <c r="Q14" s="557"/>
      <c r="R14" s="557"/>
      <c r="S14" s="557"/>
      <c r="T14" s="558"/>
      <c r="U14" s="554"/>
      <c r="V14" s="555">
        <v>110</v>
      </c>
      <c r="W14" s="556">
        <v>110</v>
      </c>
      <c r="X14" s="556">
        <v>12100</v>
      </c>
      <c r="Y14" s="556">
        <v>211.84</v>
      </c>
      <c r="Z14" s="557"/>
      <c r="AA14" s="557"/>
      <c r="AB14" s="557"/>
      <c r="AC14" s="557"/>
      <c r="AD14" s="558"/>
    </row>
    <row r="15" spans="1:30" x14ac:dyDescent="0.25">
      <c r="A15" s="554"/>
      <c r="B15" s="555">
        <v>36</v>
      </c>
      <c r="C15" s="556">
        <v>24</v>
      </c>
      <c r="D15" s="556">
        <f t="shared" si="0"/>
        <v>864</v>
      </c>
      <c r="E15" s="556">
        <v>13.21</v>
      </c>
      <c r="F15" s="557"/>
      <c r="G15" s="557"/>
      <c r="H15" s="557"/>
      <c r="I15" s="557"/>
      <c r="J15" s="558"/>
      <c r="K15" s="554"/>
      <c r="L15" s="555">
        <v>60</v>
      </c>
      <c r="M15" s="556">
        <v>50</v>
      </c>
      <c r="N15" s="556">
        <f>L15*M15</f>
        <v>3000</v>
      </c>
      <c r="O15" s="556">
        <v>46.08</v>
      </c>
      <c r="P15" s="557"/>
      <c r="Q15" s="557"/>
      <c r="R15" s="557"/>
      <c r="S15" s="557"/>
      <c r="T15" s="558"/>
      <c r="U15" s="554"/>
      <c r="V15" s="555">
        <v>120</v>
      </c>
      <c r="W15" s="556">
        <v>110</v>
      </c>
      <c r="X15" s="556">
        <v>13200</v>
      </c>
      <c r="Y15" s="556">
        <v>234.19</v>
      </c>
      <c r="Z15" s="557"/>
      <c r="AA15" s="557"/>
      <c r="AB15" s="557"/>
      <c r="AC15" s="557"/>
      <c r="AD15" s="558"/>
    </row>
    <row r="16" spans="1:30" x14ac:dyDescent="0.25">
      <c r="A16" s="554"/>
      <c r="B16" s="555">
        <v>48</v>
      </c>
      <c r="C16" s="556">
        <v>30</v>
      </c>
      <c r="D16" s="556">
        <f t="shared" si="0"/>
        <v>1440</v>
      </c>
      <c r="E16" s="556">
        <v>19.41</v>
      </c>
      <c r="F16" s="557"/>
      <c r="G16" s="557"/>
      <c r="H16" s="557"/>
      <c r="I16" s="557"/>
      <c r="J16" s="558"/>
      <c r="K16" s="554"/>
      <c r="L16" s="555">
        <v>72</v>
      </c>
      <c r="M16" s="556">
        <v>72</v>
      </c>
      <c r="N16" s="556">
        <f>L16*M16</f>
        <v>5184</v>
      </c>
      <c r="O16" s="556">
        <v>76.959999999999994</v>
      </c>
      <c r="P16" s="557"/>
      <c r="Q16" s="557"/>
      <c r="R16" s="557"/>
      <c r="S16" s="557"/>
      <c r="T16" s="558"/>
      <c r="U16" s="554"/>
      <c r="V16" s="555">
        <v>130</v>
      </c>
      <c r="W16" s="556">
        <v>115</v>
      </c>
      <c r="X16" s="556">
        <v>14950</v>
      </c>
      <c r="Y16" s="556">
        <v>253.42</v>
      </c>
      <c r="Z16" s="557"/>
      <c r="AA16" s="557"/>
      <c r="AB16" s="557"/>
      <c r="AC16" s="557"/>
      <c r="AD16" s="558"/>
    </row>
    <row r="17" spans="1:30" x14ac:dyDescent="0.25">
      <c r="A17" s="554"/>
      <c r="B17" s="555">
        <v>60</v>
      </c>
      <c r="C17" s="556">
        <v>32</v>
      </c>
      <c r="D17" s="556">
        <f t="shared" si="0"/>
        <v>1920</v>
      </c>
      <c r="E17" s="556">
        <v>24.48</v>
      </c>
      <c r="F17" s="557"/>
      <c r="G17" s="557"/>
      <c r="H17" s="557"/>
      <c r="I17" s="557"/>
      <c r="J17" s="558"/>
      <c r="K17" s="554"/>
      <c r="L17" s="555">
        <v>107.815</v>
      </c>
      <c r="M17" s="556">
        <v>107.815</v>
      </c>
      <c r="N17" s="556">
        <f>L17*M17</f>
        <v>11624.074225</v>
      </c>
      <c r="O17" s="556">
        <v>161.72999999999999</v>
      </c>
      <c r="P17" s="557"/>
      <c r="Q17" s="557"/>
      <c r="R17" s="557"/>
      <c r="S17" s="557"/>
      <c r="T17" s="558"/>
      <c r="U17" s="554"/>
      <c r="V17" s="555">
        <v>150</v>
      </c>
      <c r="W17" s="556">
        <v>115</v>
      </c>
      <c r="X17" s="556">
        <v>17250</v>
      </c>
      <c r="Y17" s="556">
        <v>287.37</v>
      </c>
      <c r="Z17" s="557"/>
      <c r="AA17" s="557"/>
      <c r="AB17" s="557"/>
      <c r="AC17" s="557"/>
      <c r="AD17" s="558"/>
    </row>
    <row r="18" spans="1:30" x14ac:dyDescent="0.25">
      <c r="A18" s="554"/>
      <c r="B18" s="555">
        <v>72</v>
      </c>
      <c r="C18" s="556">
        <v>35.814999999999998</v>
      </c>
      <c r="D18" s="556">
        <f t="shared" si="0"/>
        <v>2578.6799999999998</v>
      </c>
      <c r="E18" s="556">
        <v>31.12</v>
      </c>
      <c r="F18" s="557"/>
      <c r="G18" s="557"/>
      <c r="H18" s="557"/>
      <c r="I18" s="557"/>
      <c r="J18" s="558"/>
      <c r="K18" s="554"/>
      <c r="L18" s="555"/>
      <c r="M18" s="556"/>
      <c r="N18" s="556"/>
      <c r="O18" s="556"/>
      <c r="P18" s="557"/>
      <c r="Q18" s="557"/>
      <c r="R18" s="557"/>
      <c r="S18" s="557"/>
      <c r="T18" s="558"/>
      <c r="U18" s="554"/>
      <c r="V18" s="555">
        <v>180</v>
      </c>
      <c r="W18" s="556">
        <v>120</v>
      </c>
      <c r="X18" s="556">
        <v>21600</v>
      </c>
      <c r="Y18" s="556">
        <v>356.26</v>
      </c>
      <c r="Z18" s="557"/>
      <c r="AA18" s="557"/>
      <c r="AB18" s="557"/>
      <c r="AC18" s="557"/>
      <c r="AD18" s="558"/>
    </row>
    <row r="19" spans="1:30" x14ac:dyDescent="0.25">
      <c r="A19" s="554"/>
      <c r="B19" s="555">
        <v>107.815</v>
      </c>
      <c r="C19" s="556">
        <v>35.814999999999998</v>
      </c>
      <c r="D19" s="556">
        <f t="shared" si="0"/>
        <v>3861.3942249999996</v>
      </c>
      <c r="E19" s="556">
        <v>44.52</v>
      </c>
      <c r="F19" s="557"/>
      <c r="G19" s="557"/>
      <c r="H19" s="557"/>
      <c r="I19" s="557"/>
      <c r="J19" s="558"/>
      <c r="K19" s="554"/>
      <c r="L19" s="555"/>
      <c r="M19" s="556"/>
      <c r="N19" s="556"/>
      <c r="O19" s="556"/>
      <c r="P19" s="557"/>
      <c r="Q19" s="557"/>
      <c r="R19" s="557"/>
      <c r="S19" s="557"/>
      <c r="T19" s="558"/>
      <c r="U19" s="554"/>
      <c r="V19" s="555">
        <v>240</v>
      </c>
      <c r="W19" s="556">
        <v>120</v>
      </c>
      <c r="X19" s="556">
        <v>28800</v>
      </c>
      <c r="Y19" s="556">
        <v>461.76</v>
      </c>
      <c r="Z19" s="557"/>
      <c r="AA19" s="557"/>
      <c r="AB19" s="557"/>
      <c r="AC19" s="557"/>
      <c r="AD19" s="558"/>
    </row>
    <row r="20" spans="1:30" x14ac:dyDescent="0.25">
      <c r="A20" s="554"/>
      <c r="B20" s="555"/>
      <c r="C20" s="556"/>
      <c r="D20" s="556"/>
      <c r="E20" s="556"/>
      <c r="F20" s="557"/>
      <c r="G20" s="557"/>
      <c r="H20" s="557"/>
      <c r="I20" s="557"/>
      <c r="J20" s="558"/>
      <c r="K20" s="554"/>
      <c r="L20" s="555"/>
      <c r="M20" s="556"/>
      <c r="N20" s="556"/>
      <c r="O20" s="556"/>
      <c r="P20" s="557"/>
      <c r="Q20" s="557"/>
      <c r="R20" s="557"/>
      <c r="S20" s="557"/>
      <c r="T20" s="558"/>
      <c r="U20" s="554"/>
      <c r="V20" s="555"/>
      <c r="W20" s="556"/>
      <c r="X20" s="556"/>
      <c r="Y20" s="556"/>
      <c r="Z20" s="557"/>
      <c r="AA20" s="557"/>
      <c r="AB20" s="557"/>
      <c r="AC20" s="557"/>
      <c r="AD20" s="558"/>
    </row>
    <row r="21" spans="1:30" x14ac:dyDescent="0.25">
      <c r="A21" s="554"/>
      <c r="B21" s="555"/>
      <c r="C21" s="556"/>
      <c r="D21" s="556"/>
      <c r="E21" s="556"/>
      <c r="F21" s="557"/>
      <c r="G21" s="557"/>
      <c r="H21" s="557"/>
      <c r="I21" s="557"/>
      <c r="J21" s="558"/>
      <c r="K21" s="554"/>
      <c r="L21" s="555"/>
      <c r="M21" s="556"/>
      <c r="N21" s="556"/>
      <c r="O21" s="556"/>
      <c r="P21" s="557"/>
      <c r="Q21" s="557"/>
      <c r="R21" s="557"/>
      <c r="S21" s="557"/>
      <c r="T21" s="558"/>
      <c r="U21" s="554"/>
      <c r="V21" s="555"/>
      <c r="W21" s="556"/>
      <c r="X21" s="556"/>
      <c r="Y21" s="556"/>
      <c r="Z21" s="557"/>
      <c r="AA21" s="557"/>
      <c r="AB21" s="557"/>
      <c r="AC21" s="557"/>
      <c r="AD21" s="558"/>
    </row>
    <row r="22" spans="1:30" x14ac:dyDescent="0.25">
      <c r="A22" s="567" t="s">
        <v>290</v>
      </c>
      <c r="B22" s="555"/>
      <c r="C22" s="556"/>
      <c r="D22" s="556"/>
      <c r="E22" s="556"/>
      <c r="F22" s="557"/>
      <c r="G22" s="557"/>
      <c r="H22" s="557"/>
      <c r="I22" s="557"/>
      <c r="J22" s="558"/>
      <c r="K22" s="567" t="s">
        <v>290</v>
      </c>
      <c r="L22" s="555"/>
      <c r="M22" s="556"/>
      <c r="N22" s="556"/>
      <c r="O22" s="556"/>
      <c r="P22" s="557"/>
      <c r="Q22" s="557"/>
      <c r="R22" s="557"/>
      <c r="S22" s="557"/>
      <c r="T22" s="558"/>
      <c r="U22" s="567" t="s">
        <v>290</v>
      </c>
      <c r="V22" s="555"/>
      <c r="W22" s="556"/>
      <c r="X22" s="556"/>
      <c r="Y22" s="556"/>
      <c r="Z22" s="557"/>
      <c r="AA22" s="557"/>
      <c r="AB22" s="557"/>
      <c r="AC22" s="557"/>
      <c r="AD22" s="558"/>
    </row>
    <row r="23" spans="1:30" x14ac:dyDescent="0.25">
      <c r="A23" s="554" t="e">
        <f>(0.0107*C4) + 3.53</f>
        <v>#VALUE!</v>
      </c>
      <c r="B23" s="555" t="s">
        <v>141</v>
      </c>
      <c r="C23" s="556"/>
      <c r="D23" s="556"/>
      <c r="E23" s="556"/>
      <c r="F23" s="557"/>
      <c r="G23" s="557"/>
      <c r="H23" s="557"/>
      <c r="I23" s="557"/>
      <c r="J23" s="558"/>
      <c r="K23" s="554" t="e">
        <f>( 0.0133*C4) + 7.5287</f>
        <v>#VALUE!</v>
      </c>
      <c r="L23" s="555" t="s">
        <v>141</v>
      </c>
      <c r="M23" s="556"/>
      <c r="N23" s="556"/>
      <c r="O23" s="556"/>
      <c r="P23" s="557"/>
      <c r="Q23" s="557"/>
      <c r="R23" s="557"/>
      <c r="S23" s="557"/>
      <c r="T23" s="558"/>
      <c r="U23" s="554" t="e">
        <f>(0.0149*C4) + 33.108</f>
        <v>#VALUE!</v>
      </c>
      <c r="V23" s="555" t="s">
        <v>141</v>
      </c>
      <c r="W23" s="556"/>
      <c r="X23" s="556"/>
      <c r="Y23" s="556"/>
      <c r="Z23" s="557"/>
      <c r="AA23" s="557"/>
      <c r="AB23" s="557"/>
      <c r="AC23" s="557"/>
      <c r="AD23" s="558"/>
    </row>
    <row r="24" spans="1:30" ht="15.75" thickBot="1" x14ac:dyDescent="0.3">
      <c r="A24" s="554"/>
      <c r="B24" s="555"/>
      <c r="C24" s="556"/>
      <c r="D24" s="556"/>
      <c r="E24" s="556"/>
      <c r="F24" s="557"/>
      <c r="G24" s="557"/>
      <c r="H24" s="557"/>
      <c r="I24" s="557"/>
      <c r="J24" s="558"/>
      <c r="K24" s="559"/>
      <c r="L24" s="565"/>
      <c r="M24" s="566"/>
      <c r="N24" s="566"/>
      <c r="O24" s="566"/>
      <c r="P24" s="560"/>
      <c r="Q24" s="560"/>
      <c r="R24" s="560"/>
      <c r="S24" s="560"/>
      <c r="T24" s="561"/>
      <c r="U24" s="559"/>
      <c r="V24" s="565"/>
      <c r="W24" s="566"/>
      <c r="X24" s="566"/>
      <c r="Y24" s="566"/>
      <c r="Z24" s="560"/>
      <c r="AA24" s="560"/>
      <c r="AB24" s="560"/>
      <c r="AC24" s="560"/>
      <c r="AD24" s="561"/>
    </row>
    <row r="25" spans="1:30" ht="15.75" x14ac:dyDescent="0.25">
      <c r="A25" s="551"/>
      <c r="B25" s="552" t="s">
        <v>289</v>
      </c>
      <c r="C25" s="553">
        <v>12.25</v>
      </c>
      <c r="D25" s="553"/>
      <c r="E25" s="572"/>
      <c r="F25" s="568"/>
      <c r="G25" s="568"/>
      <c r="H25" s="568"/>
      <c r="I25" s="568"/>
      <c r="J25" s="569"/>
      <c r="K25" s="551"/>
      <c r="L25" s="552" t="s">
        <v>289</v>
      </c>
      <c r="M25" s="553">
        <v>12.25</v>
      </c>
      <c r="N25" s="553"/>
      <c r="O25" s="572"/>
      <c r="P25" s="568"/>
      <c r="Q25" s="568"/>
      <c r="R25" s="568"/>
      <c r="S25" s="568"/>
      <c r="T25" s="569"/>
      <c r="U25" s="551"/>
      <c r="V25" s="552" t="s">
        <v>289</v>
      </c>
      <c r="W25" s="553">
        <v>12.25</v>
      </c>
      <c r="X25" s="553"/>
      <c r="Y25" s="572"/>
      <c r="Z25" s="568"/>
      <c r="AA25" s="568"/>
      <c r="AB25" s="568"/>
      <c r="AC25" s="568"/>
      <c r="AD25" s="569"/>
    </row>
    <row r="26" spans="1:30" x14ac:dyDescent="0.25">
      <c r="A26" s="571"/>
      <c r="B26" s="570" t="s">
        <v>283</v>
      </c>
      <c r="C26" s="564" t="s">
        <v>284</v>
      </c>
      <c r="D26" s="564" t="s">
        <v>282</v>
      </c>
      <c r="E26" s="564" t="s">
        <v>281</v>
      </c>
      <c r="F26" s="557"/>
      <c r="G26" s="557"/>
      <c r="H26" s="557"/>
      <c r="I26" s="557"/>
      <c r="J26" s="558"/>
      <c r="K26" s="571"/>
      <c r="L26" s="570" t="s">
        <v>283</v>
      </c>
      <c r="M26" s="564" t="s">
        <v>284</v>
      </c>
      <c r="N26" s="564" t="s">
        <v>282</v>
      </c>
      <c r="O26" s="564" t="s">
        <v>281</v>
      </c>
      <c r="P26" s="557"/>
      <c r="Q26" s="557"/>
      <c r="R26" s="557"/>
      <c r="S26" s="557"/>
      <c r="T26" s="558"/>
      <c r="U26" s="571"/>
      <c r="V26" s="570" t="s">
        <v>283</v>
      </c>
      <c r="W26" s="564" t="s">
        <v>284</v>
      </c>
      <c r="X26" s="564" t="s">
        <v>282</v>
      </c>
      <c r="Y26" s="564" t="s">
        <v>281</v>
      </c>
      <c r="Z26" s="557"/>
      <c r="AA26" s="557"/>
      <c r="AB26" s="557"/>
      <c r="AC26" s="557"/>
      <c r="AD26" s="558"/>
    </row>
    <row r="27" spans="1:30" x14ac:dyDescent="0.25">
      <c r="A27" s="554"/>
      <c r="B27" s="555">
        <v>12</v>
      </c>
      <c r="C27" s="556">
        <v>12</v>
      </c>
      <c r="D27" s="556">
        <f t="shared" ref="D27:D32" si="1">B27*C27</f>
        <v>144</v>
      </c>
      <c r="E27" s="556">
        <v>5.86</v>
      </c>
      <c r="F27" s="557"/>
      <c r="G27" s="557"/>
      <c r="H27" s="557"/>
      <c r="I27" s="557"/>
      <c r="J27" s="558"/>
      <c r="K27" s="554"/>
      <c r="L27" s="555">
        <v>48</v>
      </c>
      <c r="M27" s="556">
        <v>48</v>
      </c>
      <c r="N27" s="556">
        <f>L27*M27</f>
        <v>2304</v>
      </c>
      <c r="O27" s="556">
        <v>42.81</v>
      </c>
      <c r="P27" s="557"/>
      <c r="Q27" s="557"/>
      <c r="R27" s="557"/>
      <c r="S27" s="557"/>
      <c r="T27" s="558"/>
      <c r="U27" s="554"/>
      <c r="V27" s="555">
        <v>110</v>
      </c>
      <c r="W27" s="556">
        <v>110</v>
      </c>
      <c r="X27" s="556">
        <v>12100</v>
      </c>
      <c r="Y27" s="556">
        <v>221.45</v>
      </c>
      <c r="Z27" s="557"/>
      <c r="AA27" s="557"/>
      <c r="AB27" s="557"/>
      <c r="AC27" s="557"/>
      <c r="AD27" s="558"/>
    </row>
    <row r="28" spans="1:30" x14ac:dyDescent="0.25">
      <c r="A28" s="554"/>
      <c r="B28" s="555">
        <v>36</v>
      </c>
      <c r="C28" s="556">
        <v>24</v>
      </c>
      <c r="D28" s="556">
        <f t="shared" si="1"/>
        <v>864</v>
      </c>
      <c r="E28" s="556">
        <v>15.96</v>
      </c>
      <c r="F28" s="557"/>
      <c r="G28" s="557"/>
      <c r="H28" s="557"/>
      <c r="I28" s="557"/>
      <c r="J28" s="558"/>
      <c r="K28" s="554"/>
      <c r="L28" s="555">
        <v>60</v>
      </c>
      <c r="M28" s="556">
        <v>50</v>
      </c>
      <c r="N28" s="556">
        <f>L28*M28</f>
        <v>3000</v>
      </c>
      <c r="O28" s="556">
        <v>54.32</v>
      </c>
      <c r="P28" s="557"/>
      <c r="Q28" s="557"/>
      <c r="R28" s="557"/>
      <c r="S28" s="557"/>
      <c r="T28" s="558"/>
      <c r="U28" s="554"/>
      <c r="V28" s="555">
        <v>120</v>
      </c>
      <c r="W28" s="556">
        <v>110</v>
      </c>
      <c r="X28" s="556">
        <v>13200</v>
      </c>
      <c r="Y28" s="556">
        <v>244.29</v>
      </c>
      <c r="Z28" s="557"/>
      <c r="AA28" s="557"/>
      <c r="AB28" s="557"/>
      <c r="AC28" s="557"/>
      <c r="AD28" s="558"/>
    </row>
    <row r="29" spans="1:30" x14ac:dyDescent="0.25">
      <c r="A29" s="554"/>
      <c r="B29" s="555">
        <v>48</v>
      </c>
      <c r="C29" s="556">
        <v>30</v>
      </c>
      <c r="D29" s="556">
        <f t="shared" si="1"/>
        <v>1440</v>
      </c>
      <c r="E29" s="556">
        <v>22.73</v>
      </c>
      <c r="F29" s="557"/>
      <c r="G29" s="557"/>
      <c r="H29" s="557"/>
      <c r="I29" s="557"/>
      <c r="J29" s="558"/>
      <c r="K29" s="554"/>
      <c r="L29" s="555">
        <v>72</v>
      </c>
      <c r="M29" s="556">
        <v>72</v>
      </c>
      <c r="N29" s="556">
        <f>L29*M29</f>
        <v>5184</v>
      </c>
      <c r="O29" s="556">
        <v>82.45</v>
      </c>
      <c r="P29" s="557"/>
      <c r="Q29" s="557"/>
      <c r="R29" s="557"/>
      <c r="S29" s="557"/>
      <c r="T29" s="558"/>
      <c r="U29" s="554"/>
      <c r="V29" s="555">
        <v>130</v>
      </c>
      <c r="W29" s="556">
        <v>115</v>
      </c>
      <c r="X29" s="556">
        <v>14950</v>
      </c>
      <c r="Y29" s="556">
        <v>263.89</v>
      </c>
      <c r="Z29" s="557"/>
      <c r="AA29" s="557"/>
      <c r="AB29" s="557"/>
      <c r="AC29" s="557"/>
      <c r="AD29" s="558"/>
    </row>
    <row r="30" spans="1:30" x14ac:dyDescent="0.25">
      <c r="A30" s="554"/>
      <c r="B30" s="555">
        <v>60</v>
      </c>
      <c r="C30" s="556">
        <v>31</v>
      </c>
      <c r="D30" s="556">
        <f t="shared" si="1"/>
        <v>1860</v>
      </c>
      <c r="E30" s="556">
        <v>27.04</v>
      </c>
      <c r="F30" s="557"/>
      <c r="G30" s="557"/>
      <c r="H30" s="557"/>
      <c r="I30" s="557"/>
      <c r="J30" s="558"/>
      <c r="K30" s="554"/>
      <c r="L30" s="555">
        <v>103.815</v>
      </c>
      <c r="M30" s="556">
        <v>103.815</v>
      </c>
      <c r="N30" s="556">
        <f>L30*M30</f>
        <v>10777.554225</v>
      </c>
      <c r="O30" s="556">
        <v>160.06</v>
      </c>
      <c r="P30" s="557"/>
      <c r="Q30" s="557"/>
      <c r="R30" s="557"/>
      <c r="S30" s="557"/>
      <c r="T30" s="558"/>
      <c r="U30" s="554"/>
      <c r="V30" s="555">
        <v>150</v>
      </c>
      <c r="W30" s="556">
        <v>115</v>
      </c>
      <c r="X30" s="556">
        <v>17250</v>
      </c>
      <c r="Y30" s="556">
        <v>311.12</v>
      </c>
      <c r="Z30" s="557"/>
      <c r="AA30" s="557"/>
      <c r="AB30" s="557"/>
      <c r="AC30" s="557"/>
      <c r="AD30" s="558"/>
    </row>
    <row r="31" spans="1:30" x14ac:dyDescent="0.25">
      <c r="A31" s="554"/>
      <c r="B31" s="555">
        <v>72</v>
      </c>
      <c r="C31" s="556">
        <v>31.815000000000001</v>
      </c>
      <c r="D31" s="556">
        <f t="shared" si="1"/>
        <v>2290.6800000000003</v>
      </c>
      <c r="E31" s="556">
        <v>32.619999999999997</v>
      </c>
      <c r="F31" s="557"/>
      <c r="G31" s="557"/>
      <c r="H31" s="557"/>
      <c r="I31" s="557"/>
      <c r="J31" s="558"/>
      <c r="K31" s="554"/>
      <c r="L31" s="555"/>
      <c r="M31" s="556"/>
      <c r="N31" s="556"/>
      <c r="O31" s="556"/>
      <c r="P31" s="557"/>
      <c r="Q31" s="557"/>
      <c r="R31" s="557"/>
      <c r="S31" s="557"/>
      <c r="T31" s="558"/>
      <c r="U31" s="554"/>
      <c r="V31" s="555">
        <v>180</v>
      </c>
      <c r="W31" s="556">
        <v>120</v>
      </c>
      <c r="X31" s="556">
        <v>21600</v>
      </c>
      <c r="Y31" s="556">
        <v>369.13</v>
      </c>
      <c r="Z31" s="557"/>
      <c r="AA31" s="557"/>
      <c r="AB31" s="557"/>
      <c r="AC31" s="557"/>
      <c r="AD31" s="558"/>
    </row>
    <row r="32" spans="1:30" x14ac:dyDescent="0.25">
      <c r="A32" s="554"/>
      <c r="B32" s="555">
        <v>103.815</v>
      </c>
      <c r="C32" s="556">
        <v>31.815000000000001</v>
      </c>
      <c r="D32" s="556">
        <f t="shared" si="1"/>
        <v>3302.874225</v>
      </c>
      <c r="E32" s="556">
        <v>44.52</v>
      </c>
      <c r="F32" s="557"/>
      <c r="G32" s="557"/>
      <c r="H32" s="557"/>
      <c r="I32" s="557"/>
      <c r="J32" s="558"/>
      <c r="K32" s="554"/>
      <c r="L32" s="555"/>
      <c r="M32" s="556"/>
      <c r="N32" s="556"/>
      <c r="O32" s="556"/>
      <c r="P32" s="557"/>
      <c r="Q32" s="557"/>
      <c r="R32" s="557"/>
      <c r="S32" s="557"/>
      <c r="T32" s="558"/>
      <c r="U32" s="554"/>
      <c r="V32" s="555">
        <v>240</v>
      </c>
      <c r="W32" s="556">
        <v>120</v>
      </c>
      <c r="X32" s="556">
        <v>28800</v>
      </c>
      <c r="Y32" s="556">
        <v>489.74</v>
      </c>
      <c r="Z32" s="557"/>
      <c r="AA32" s="557"/>
      <c r="AB32" s="557"/>
      <c r="AC32" s="557"/>
      <c r="AD32" s="558"/>
    </row>
    <row r="33" spans="1:30" x14ac:dyDescent="0.25">
      <c r="A33" s="554"/>
      <c r="B33" s="555"/>
      <c r="C33" s="556"/>
      <c r="D33" s="556"/>
      <c r="E33" s="556"/>
      <c r="F33" s="557"/>
      <c r="G33" s="557"/>
      <c r="H33" s="557"/>
      <c r="I33" s="557"/>
      <c r="J33" s="558"/>
      <c r="K33" s="554"/>
      <c r="L33" s="555"/>
      <c r="M33" s="556"/>
      <c r="N33" s="556"/>
      <c r="O33" s="556"/>
      <c r="P33" s="557"/>
      <c r="Q33" s="557"/>
      <c r="R33" s="557"/>
      <c r="S33" s="557"/>
      <c r="T33" s="558"/>
      <c r="U33" s="554"/>
      <c r="V33" s="555"/>
      <c r="W33" s="556"/>
      <c r="X33" s="556"/>
      <c r="Y33" s="556"/>
      <c r="Z33" s="557"/>
      <c r="AA33" s="557"/>
      <c r="AB33" s="557"/>
      <c r="AC33" s="557"/>
      <c r="AD33" s="558"/>
    </row>
    <row r="34" spans="1:30" x14ac:dyDescent="0.25">
      <c r="A34" s="567" t="s">
        <v>290</v>
      </c>
      <c r="B34" s="555"/>
      <c r="C34" s="556"/>
      <c r="D34" s="556"/>
      <c r="E34" s="556"/>
      <c r="F34" s="557"/>
      <c r="G34" s="557"/>
      <c r="H34" s="557"/>
      <c r="I34" s="557"/>
      <c r="J34" s="558"/>
      <c r="K34" s="567" t="s">
        <v>290</v>
      </c>
      <c r="L34" s="555"/>
      <c r="M34" s="556"/>
      <c r="N34" s="556"/>
      <c r="O34" s="556"/>
      <c r="P34" s="557"/>
      <c r="Q34" s="557"/>
      <c r="R34" s="557"/>
      <c r="S34" s="557"/>
      <c r="T34" s="558"/>
      <c r="U34" s="567" t="s">
        <v>290</v>
      </c>
      <c r="V34" s="555"/>
      <c r="W34" s="556"/>
      <c r="X34" s="556"/>
      <c r="Y34" s="556"/>
      <c r="Z34" s="557"/>
      <c r="AA34" s="557"/>
      <c r="AB34" s="557"/>
      <c r="AC34" s="557"/>
      <c r="AD34" s="558"/>
    </row>
    <row r="35" spans="1:30" x14ac:dyDescent="0.25">
      <c r="A35" s="554" t="e">
        <f>( 0.0121*C4) + 4.8277</f>
        <v>#VALUE!</v>
      </c>
      <c r="B35" s="555" t="s">
        <v>141</v>
      </c>
      <c r="C35" s="556"/>
      <c r="D35" s="556"/>
      <c r="E35" s="556"/>
      <c r="F35" s="557"/>
      <c r="G35" s="557"/>
      <c r="H35" s="557"/>
      <c r="I35" s="557"/>
      <c r="J35" s="558"/>
      <c r="K35" s="554" t="e">
        <f>(0.0137*C4) +11.866</f>
        <v>#VALUE!</v>
      </c>
      <c r="L35" s="555" t="s">
        <v>141</v>
      </c>
      <c r="M35" s="556"/>
      <c r="N35" s="556"/>
      <c r="O35" s="556"/>
      <c r="P35" s="557"/>
      <c r="Q35" s="557"/>
      <c r="R35" s="557"/>
      <c r="S35" s="557"/>
      <c r="T35" s="558"/>
      <c r="U35" s="554" t="e">
        <f>(0.0159*C4) + 31.116</f>
        <v>#VALUE!</v>
      </c>
      <c r="V35" s="555" t="s">
        <v>141</v>
      </c>
      <c r="W35" s="556"/>
      <c r="X35" s="556"/>
      <c r="Y35" s="556"/>
      <c r="Z35" s="557"/>
      <c r="AA35" s="557"/>
      <c r="AB35" s="557"/>
      <c r="AC35" s="557"/>
      <c r="AD35" s="558"/>
    </row>
    <row r="36" spans="1:30" x14ac:dyDescent="0.25">
      <c r="A36" s="554"/>
      <c r="B36" s="555"/>
      <c r="C36" s="556"/>
      <c r="D36" s="556"/>
      <c r="E36" s="556"/>
      <c r="F36" s="557"/>
      <c r="G36" s="557"/>
      <c r="H36" s="557"/>
      <c r="I36" s="557"/>
      <c r="J36" s="558"/>
      <c r="K36" s="554"/>
      <c r="L36" s="555"/>
      <c r="M36" s="556"/>
      <c r="N36" s="556"/>
      <c r="O36" s="556"/>
      <c r="P36" s="557"/>
      <c r="Q36" s="557"/>
      <c r="R36" s="557"/>
      <c r="S36" s="557"/>
      <c r="T36" s="558"/>
      <c r="U36" s="554"/>
      <c r="V36" s="555"/>
      <c r="W36" s="556"/>
      <c r="X36" s="556"/>
      <c r="Y36" s="556"/>
      <c r="Z36" s="557"/>
      <c r="AA36" s="557"/>
      <c r="AB36" s="557"/>
      <c r="AC36" s="557"/>
      <c r="AD36" s="558"/>
    </row>
    <row r="37" spans="1:30" ht="15.75" thickBot="1" x14ac:dyDescent="0.3">
      <c r="A37" s="559"/>
      <c r="B37" s="565"/>
      <c r="C37" s="566"/>
      <c r="D37" s="566"/>
      <c r="E37" s="566"/>
      <c r="F37" s="560"/>
      <c r="G37" s="560"/>
      <c r="H37" s="560"/>
      <c r="I37" s="560"/>
      <c r="J37" s="561"/>
      <c r="K37" s="559"/>
      <c r="L37" s="565"/>
      <c r="M37" s="566"/>
      <c r="N37" s="566"/>
      <c r="O37" s="566"/>
      <c r="P37" s="560"/>
      <c r="Q37" s="560"/>
      <c r="R37" s="560"/>
      <c r="S37" s="560"/>
      <c r="T37" s="561"/>
      <c r="U37" s="559"/>
      <c r="V37" s="565"/>
      <c r="W37" s="566"/>
      <c r="X37" s="566"/>
      <c r="Y37" s="566"/>
      <c r="Z37" s="560"/>
      <c r="AA37" s="560"/>
      <c r="AB37" s="560"/>
      <c r="AC37" s="560"/>
      <c r="AD37" s="561"/>
    </row>
    <row r="38" spans="1:30" ht="15.75" x14ac:dyDescent="0.25">
      <c r="A38" s="551"/>
      <c r="B38" s="552" t="s">
        <v>289</v>
      </c>
      <c r="C38" s="553">
        <v>7.0880000000000001</v>
      </c>
      <c r="D38" s="553"/>
      <c r="E38" s="572"/>
      <c r="F38" s="568"/>
      <c r="G38" s="568"/>
      <c r="H38" s="568"/>
      <c r="I38" s="568"/>
      <c r="J38" s="569"/>
      <c r="K38" s="551"/>
      <c r="L38" s="552" t="s">
        <v>289</v>
      </c>
      <c r="M38" s="553">
        <v>7.0880000000000001</v>
      </c>
      <c r="N38" s="553"/>
      <c r="O38" s="572"/>
      <c r="P38" s="568"/>
      <c r="Q38" s="568"/>
      <c r="R38" s="568"/>
      <c r="S38" s="568"/>
      <c r="T38" s="569"/>
      <c r="U38" s="551"/>
      <c r="V38" s="552" t="s">
        <v>289</v>
      </c>
      <c r="W38" s="553">
        <v>7.0880000000000001</v>
      </c>
      <c r="X38" s="553"/>
      <c r="Y38" s="572"/>
      <c r="Z38" s="568"/>
      <c r="AA38" s="568"/>
      <c r="AB38" s="568"/>
      <c r="AC38" s="568"/>
      <c r="AD38" s="569"/>
    </row>
    <row r="39" spans="1:30" x14ac:dyDescent="0.25">
      <c r="A39" s="571"/>
      <c r="B39" s="570" t="s">
        <v>283</v>
      </c>
      <c r="C39" s="564" t="s">
        <v>284</v>
      </c>
      <c r="D39" s="564" t="s">
        <v>282</v>
      </c>
      <c r="E39" s="564" t="s">
        <v>281</v>
      </c>
      <c r="F39" s="557"/>
      <c r="G39" s="557"/>
      <c r="H39" s="557"/>
      <c r="I39" s="557"/>
      <c r="J39" s="558"/>
      <c r="K39" s="571"/>
      <c r="L39" s="570" t="s">
        <v>283</v>
      </c>
      <c r="M39" s="564" t="s">
        <v>284</v>
      </c>
      <c r="N39" s="564" t="s">
        <v>282</v>
      </c>
      <c r="O39" s="564" t="s">
        <v>281</v>
      </c>
      <c r="P39" s="557"/>
      <c r="Q39" s="557"/>
      <c r="R39" s="557"/>
      <c r="S39" s="557"/>
      <c r="T39" s="558"/>
      <c r="U39" s="571"/>
      <c r="V39" s="570" t="s">
        <v>283</v>
      </c>
      <c r="W39" s="564" t="s">
        <v>284</v>
      </c>
      <c r="X39" s="564" t="s">
        <v>282</v>
      </c>
      <c r="Y39" s="564" t="s">
        <v>281</v>
      </c>
      <c r="Z39" s="557"/>
      <c r="AA39" s="557"/>
      <c r="AB39" s="557"/>
      <c r="AC39" s="557"/>
      <c r="AD39" s="558"/>
    </row>
    <row r="40" spans="1:30" x14ac:dyDescent="0.25">
      <c r="A40" s="554"/>
      <c r="B40" s="555">
        <v>12</v>
      </c>
      <c r="C40" s="556">
        <v>12</v>
      </c>
      <c r="D40" s="556">
        <f t="shared" ref="D40:D45" si="2">B40*C40</f>
        <v>144</v>
      </c>
      <c r="E40" s="556">
        <v>3.84</v>
      </c>
      <c r="F40" s="557"/>
      <c r="G40" s="557"/>
      <c r="H40" s="557"/>
      <c r="I40" s="557"/>
      <c r="J40" s="558"/>
      <c r="K40" s="554"/>
      <c r="L40" s="555">
        <v>48</v>
      </c>
      <c r="M40" s="556">
        <v>48</v>
      </c>
      <c r="N40" s="556">
        <f>L40*M40</f>
        <v>2304</v>
      </c>
      <c r="O40" s="556">
        <v>37.76</v>
      </c>
      <c r="P40" s="557"/>
      <c r="Q40" s="557"/>
      <c r="R40" s="557"/>
      <c r="S40" s="557"/>
      <c r="T40" s="558"/>
      <c r="U40" s="554"/>
      <c r="V40" s="555">
        <v>110</v>
      </c>
      <c r="W40" s="556">
        <v>110</v>
      </c>
      <c r="X40" s="556">
        <v>12100</v>
      </c>
      <c r="Y40" s="556">
        <v>209.12</v>
      </c>
      <c r="Z40" s="557"/>
      <c r="AA40" s="557"/>
      <c r="AB40" s="557"/>
      <c r="AC40" s="557"/>
      <c r="AD40" s="558"/>
    </row>
    <row r="41" spans="1:30" x14ac:dyDescent="0.25">
      <c r="A41" s="554"/>
      <c r="B41" s="555">
        <v>36</v>
      </c>
      <c r="C41" s="556">
        <v>24</v>
      </c>
      <c r="D41" s="556">
        <f t="shared" si="2"/>
        <v>864</v>
      </c>
      <c r="E41" s="556">
        <v>12.46</v>
      </c>
      <c r="F41" s="557"/>
      <c r="G41" s="557"/>
      <c r="H41" s="557"/>
      <c r="I41" s="557"/>
      <c r="J41" s="558"/>
      <c r="K41" s="554"/>
      <c r="L41" s="555">
        <v>60</v>
      </c>
      <c r="M41" s="556">
        <v>50</v>
      </c>
      <c r="N41" s="556">
        <f>L41*M41</f>
        <v>3000</v>
      </c>
      <c r="O41" s="556">
        <v>44.85</v>
      </c>
      <c r="P41" s="557"/>
      <c r="Q41" s="557"/>
      <c r="R41" s="557"/>
      <c r="S41" s="557"/>
      <c r="T41" s="558"/>
      <c r="U41" s="554"/>
      <c r="V41" s="555">
        <v>120</v>
      </c>
      <c r="W41" s="556">
        <v>110</v>
      </c>
      <c r="X41" s="556">
        <v>13200</v>
      </c>
      <c r="Y41" s="556">
        <v>231.33</v>
      </c>
      <c r="Z41" s="557"/>
      <c r="AA41" s="557"/>
      <c r="AB41" s="557"/>
      <c r="AC41" s="557"/>
      <c r="AD41" s="558"/>
    </row>
    <row r="42" spans="1:30" x14ac:dyDescent="0.25">
      <c r="A42" s="554"/>
      <c r="B42" s="555">
        <v>48</v>
      </c>
      <c r="C42" s="556">
        <v>30</v>
      </c>
      <c r="D42" s="556">
        <f t="shared" si="2"/>
        <v>1440</v>
      </c>
      <c r="E42" s="556">
        <v>18.48</v>
      </c>
      <c r="F42" s="557"/>
      <c r="G42" s="557"/>
      <c r="H42" s="557"/>
      <c r="I42" s="557"/>
      <c r="J42" s="558"/>
      <c r="K42" s="554"/>
      <c r="L42" s="555">
        <v>72</v>
      </c>
      <c r="M42" s="556">
        <v>72</v>
      </c>
      <c r="N42" s="556">
        <f>L42*M42</f>
        <v>5184</v>
      </c>
      <c r="O42" s="556">
        <v>75.41</v>
      </c>
      <c r="P42" s="557"/>
      <c r="Q42" s="557"/>
      <c r="R42" s="557"/>
      <c r="S42" s="557"/>
      <c r="T42" s="558"/>
      <c r="U42" s="554"/>
      <c r="V42" s="555">
        <v>130</v>
      </c>
      <c r="W42" s="556">
        <v>115</v>
      </c>
      <c r="X42" s="556">
        <v>14950</v>
      </c>
      <c r="Y42" s="556">
        <v>250.35</v>
      </c>
      <c r="Z42" s="557"/>
      <c r="AA42" s="557"/>
      <c r="AB42" s="557"/>
      <c r="AC42" s="557"/>
      <c r="AD42" s="558"/>
    </row>
    <row r="43" spans="1:30" x14ac:dyDescent="0.25">
      <c r="A43" s="554"/>
      <c r="B43" s="555">
        <v>60</v>
      </c>
      <c r="C43" s="556">
        <v>32</v>
      </c>
      <c r="D43" s="556">
        <f t="shared" si="2"/>
        <v>1920</v>
      </c>
      <c r="E43" s="556">
        <v>23.43</v>
      </c>
      <c r="F43" s="557"/>
      <c r="G43" s="557"/>
      <c r="H43" s="557"/>
      <c r="I43" s="557"/>
      <c r="J43" s="558"/>
      <c r="K43" s="554"/>
      <c r="L43" s="555">
        <v>108.977</v>
      </c>
      <c r="M43" s="556">
        <v>108.977</v>
      </c>
      <c r="N43" s="556">
        <f>L43*M43</f>
        <v>11875.986529000002</v>
      </c>
      <c r="O43" s="556">
        <v>162.22</v>
      </c>
      <c r="P43" s="557"/>
      <c r="Q43" s="557"/>
      <c r="R43" s="557"/>
      <c r="S43" s="557"/>
      <c r="T43" s="558"/>
      <c r="U43" s="554"/>
      <c r="V43" s="555">
        <v>150</v>
      </c>
      <c r="W43" s="556">
        <v>115</v>
      </c>
      <c r="X43" s="556">
        <v>17250</v>
      </c>
      <c r="Y43" s="556">
        <v>284.07</v>
      </c>
      <c r="Z43" s="557"/>
      <c r="AA43" s="557"/>
      <c r="AB43" s="557"/>
      <c r="AC43" s="557"/>
      <c r="AD43" s="558"/>
    </row>
    <row r="44" spans="1:30" x14ac:dyDescent="0.25">
      <c r="A44" s="554"/>
      <c r="B44" s="555">
        <v>72</v>
      </c>
      <c r="C44" s="556">
        <v>34</v>
      </c>
      <c r="D44" s="556">
        <f t="shared" si="2"/>
        <v>2448</v>
      </c>
      <c r="E44" s="556">
        <v>28.75</v>
      </c>
      <c r="F44" s="557"/>
      <c r="G44" s="557"/>
      <c r="H44" s="557"/>
      <c r="I44" s="557"/>
      <c r="J44" s="558"/>
      <c r="K44" s="554"/>
      <c r="L44" s="555"/>
      <c r="M44" s="556"/>
      <c r="N44" s="556"/>
      <c r="O44" s="556"/>
      <c r="P44" s="557"/>
      <c r="Q44" s="557"/>
      <c r="R44" s="557"/>
      <c r="S44" s="557"/>
      <c r="T44" s="558"/>
      <c r="U44" s="554"/>
      <c r="V44" s="555">
        <v>180</v>
      </c>
      <c r="W44" s="556">
        <v>120</v>
      </c>
      <c r="X44" s="556">
        <v>21600</v>
      </c>
      <c r="Y44" s="556">
        <v>352.61</v>
      </c>
      <c r="Z44" s="557"/>
      <c r="AA44" s="557"/>
      <c r="AB44" s="557"/>
      <c r="AC44" s="557"/>
      <c r="AD44" s="558"/>
    </row>
    <row r="45" spans="1:30" x14ac:dyDescent="0.25">
      <c r="A45" s="554"/>
      <c r="B45" s="555">
        <v>108.977</v>
      </c>
      <c r="C45" s="556">
        <v>36.976999999999997</v>
      </c>
      <c r="D45" s="556">
        <f t="shared" si="2"/>
        <v>4029.6425289999997</v>
      </c>
      <c r="E45" s="556">
        <v>44.52</v>
      </c>
      <c r="F45" s="557"/>
      <c r="G45" s="557"/>
      <c r="H45" s="557"/>
      <c r="I45" s="557"/>
      <c r="J45" s="558"/>
      <c r="K45" s="554"/>
      <c r="L45" s="555"/>
      <c r="M45" s="556"/>
      <c r="N45" s="556"/>
      <c r="O45" s="556"/>
      <c r="P45" s="557"/>
      <c r="Q45" s="557"/>
      <c r="R45" s="557"/>
      <c r="S45" s="557"/>
      <c r="T45" s="558"/>
      <c r="U45" s="554"/>
      <c r="V45" s="555">
        <v>240</v>
      </c>
      <c r="W45" s="556">
        <v>120</v>
      </c>
      <c r="X45" s="556">
        <v>28800</v>
      </c>
      <c r="Y45" s="556">
        <v>457.41</v>
      </c>
      <c r="Z45" s="557"/>
      <c r="AA45" s="557"/>
      <c r="AB45" s="557"/>
      <c r="AC45" s="557"/>
      <c r="AD45" s="558"/>
    </row>
    <row r="46" spans="1:30" x14ac:dyDescent="0.25">
      <c r="A46" s="554"/>
      <c r="B46" s="555"/>
      <c r="C46" s="556"/>
      <c r="D46" s="556"/>
      <c r="E46" s="556"/>
      <c r="F46" s="557"/>
      <c r="G46" s="557"/>
      <c r="H46" s="557"/>
      <c r="I46" s="557"/>
      <c r="J46" s="558"/>
      <c r="K46" s="554"/>
      <c r="L46" s="555"/>
      <c r="M46" s="556"/>
      <c r="N46" s="556"/>
      <c r="O46" s="556"/>
      <c r="P46" s="557"/>
      <c r="Q46" s="557"/>
      <c r="R46" s="557"/>
      <c r="S46" s="557"/>
      <c r="T46" s="558"/>
      <c r="U46" s="554"/>
      <c r="V46" s="555"/>
      <c r="W46" s="556"/>
      <c r="X46" s="556"/>
      <c r="Y46" s="556"/>
      <c r="Z46" s="557"/>
      <c r="AA46" s="557"/>
      <c r="AB46" s="557"/>
      <c r="AC46" s="557"/>
      <c r="AD46" s="558"/>
    </row>
    <row r="47" spans="1:30" x14ac:dyDescent="0.25">
      <c r="A47" s="567" t="s">
        <v>290</v>
      </c>
      <c r="B47" s="555"/>
      <c r="C47" s="556"/>
      <c r="D47" s="556"/>
      <c r="E47" s="556"/>
      <c r="F47" s="557"/>
      <c r="G47" s="557"/>
      <c r="H47" s="557"/>
      <c r="I47" s="557"/>
      <c r="J47" s="558"/>
      <c r="K47" s="567" t="s">
        <v>290</v>
      </c>
      <c r="L47" s="555"/>
      <c r="M47" s="556"/>
      <c r="N47" s="556"/>
      <c r="O47" s="556"/>
      <c r="P47" s="557"/>
      <c r="Q47" s="557"/>
      <c r="R47" s="557"/>
      <c r="S47" s="557"/>
      <c r="T47" s="558"/>
      <c r="U47" s="567" t="s">
        <v>290</v>
      </c>
      <c r="V47" s="555"/>
      <c r="W47" s="556"/>
      <c r="X47" s="556"/>
      <c r="Y47" s="556"/>
      <c r="Z47" s="557"/>
      <c r="AA47" s="557"/>
      <c r="AB47" s="557"/>
      <c r="AC47" s="557"/>
      <c r="AD47" s="558"/>
    </row>
    <row r="48" spans="1:30" x14ac:dyDescent="0.25">
      <c r="A48" s="554" t="e">
        <f>( 0.0104*C4) +  3.1465</f>
        <v>#VALUE!</v>
      </c>
      <c r="B48" s="555" t="s">
        <v>141</v>
      </c>
      <c r="C48" s="556"/>
      <c r="D48" s="556"/>
      <c r="E48" s="556"/>
      <c r="F48" s="557"/>
      <c r="G48" s="557"/>
      <c r="H48" s="557"/>
      <c r="I48" s="557"/>
      <c r="J48" s="558"/>
      <c r="K48" s="554" t="e">
        <f>(0.0131*C4) + 6.8745</f>
        <v>#VALUE!</v>
      </c>
      <c r="L48" s="555" t="s">
        <v>141</v>
      </c>
      <c r="M48" s="556"/>
      <c r="N48" s="556"/>
      <c r="O48" s="556"/>
      <c r="P48" s="557"/>
      <c r="Q48" s="557"/>
      <c r="R48" s="557"/>
      <c r="S48" s="557"/>
      <c r="T48" s="558"/>
      <c r="U48" s="554" t="e">
        <f>(0.0148*C4) + 31.499</f>
        <v>#VALUE!</v>
      </c>
      <c r="V48" s="555" t="s">
        <v>141</v>
      </c>
      <c r="W48" s="556"/>
      <c r="X48" s="556"/>
      <c r="Y48" s="556"/>
      <c r="Z48" s="557"/>
      <c r="AA48" s="557"/>
      <c r="AB48" s="557"/>
      <c r="AC48" s="557"/>
      <c r="AD48" s="558"/>
    </row>
    <row r="49" spans="1:30" x14ac:dyDescent="0.25">
      <c r="A49" s="554"/>
      <c r="B49" s="555"/>
      <c r="C49" s="556"/>
      <c r="D49" s="556"/>
      <c r="E49" s="556"/>
      <c r="F49" s="557"/>
      <c r="G49" s="557"/>
      <c r="H49" s="557"/>
      <c r="I49" s="557"/>
      <c r="J49" s="558"/>
      <c r="K49" s="554"/>
      <c r="L49" s="555"/>
      <c r="M49" s="556"/>
      <c r="N49" s="556"/>
      <c r="O49" s="556"/>
      <c r="P49" s="557"/>
      <c r="Q49" s="557"/>
      <c r="R49" s="557"/>
      <c r="S49" s="557"/>
      <c r="T49" s="558"/>
      <c r="U49" s="554"/>
      <c r="V49" s="555"/>
      <c r="W49" s="556"/>
      <c r="X49" s="556"/>
      <c r="Y49" s="556"/>
      <c r="Z49" s="557"/>
      <c r="AA49" s="557"/>
      <c r="AB49" s="557"/>
      <c r="AC49" s="557"/>
      <c r="AD49" s="558"/>
    </row>
    <row r="50" spans="1:30" x14ac:dyDescent="0.25">
      <c r="A50" s="554"/>
      <c r="B50" s="555"/>
      <c r="C50" s="556"/>
      <c r="D50" s="556"/>
      <c r="E50" s="556"/>
      <c r="F50" s="557"/>
      <c r="G50" s="557"/>
      <c r="H50" s="557"/>
      <c r="I50" s="557"/>
      <c r="J50" s="558"/>
      <c r="K50" s="554"/>
      <c r="L50" s="555"/>
      <c r="M50" s="556"/>
      <c r="N50" s="556"/>
      <c r="O50" s="556"/>
      <c r="P50" s="557"/>
      <c r="Q50" s="557"/>
      <c r="R50" s="557"/>
      <c r="S50" s="557"/>
      <c r="T50" s="558"/>
      <c r="U50" s="554"/>
      <c r="V50" s="555"/>
      <c r="W50" s="556"/>
      <c r="X50" s="556"/>
      <c r="Y50" s="556"/>
      <c r="Z50" s="557"/>
      <c r="AA50" s="557"/>
      <c r="AB50" s="557"/>
      <c r="AC50" s="557"/>
      <c r="AD50" s="558"/>
    </row>
    <row r="51" spans="1:30" ht="15.75" thickBot="1" x14ac:dyDescent="0.3">
      <c r="A51" s="559"/>
      <c r="B51" s="565"/>
      <c r="C51" s="566"/>
      <c r="D51" s="566"/>
      <c r="E51" s="566"/>
      <c r="F51" s="560"/>
      <c r="G51" s="560"/>
      <c r="H51" s="560"/>
      <c r="I51" s="560"/>
      <c r="J51" s="561"/>
      <c r="K51" s="559"/>
      <c r="L51" s="565"/>
      <c r="M51" s="566"/>
      <c r="N51" s="566"/>
      <c r="O51" s="566"/>
      <c r="P51" s="560"/>
      <c r="Q51" s="560"/>
      <c r="R51" s="560"/>
      <c r="S51" s="560"/>
      <c r="T51" s="561"/>
      <c r="U51" s="559"/>
      <c r="V51" s="565"/>
      <c r="W51" s="566"/>
      <c r="X51" s="566"/>
      <c r="Y51" s="566"/>
      <c r="Z51" s="560"/>
      <c r="AA51" s="560"/>
      <c r="AB51" s="560"/>
      <c r="AC51" s="560"/>
      <c r="AD51" s="56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8"/>
  <sheetViews>
    <sheetView showGridLines="0" view="pageBreakPreview" zoomScale="90" zoomScaleNormal="160" zoomScaleSheetLayoutView="90" workbookViewId="0">
      <selection activeCell="I43" sqref="I43"/>
    </sheetView>
  </sheetViews>
  <sheetFormatPr defaultRowHeight="15" x14ac:dyDescent="0.25"/>
  <cols>
    <col min="1" max="1" width="9.85546875" customWidth="1"/>
    <col min="2" max="2" width="10.7109375" customWidth="1"/>
    <col min="3" max="4" width="10.140625" customWidth="1"/>
    <col min="5" max="5" width="10.28515625" customWidth="1"/>
    <col min="6" max="6" width="8" customWidth="1"/>
    <col min="7" max="7" width="15.140625" customWidth="1"/>
    <col min="8" max="8" width="10.140625" customWidth="1"/>
    <col min="9" max="9" width="14.5703125" customWidth="1"/>
    <col min="10" max="10" width="9.140625" customWidth="1"/>
    <col min="12" max="12" width="9.140625" customWidth="1"/>
  </cols>
  <sheetData>
    <row r="1" spans="1:11" x14ac:dyDescent="0.25">
      <c r="A1" s="62"/>
      <c r="B1" s="62"/>
      <c r="C1" s="965" t="str">
        <f>IF(E1="","","Job Name:")</f>
        <v/>
      </c>
      <c r="D1" s="966"/>
      <c r="E1" s="62" t="str">
        <f>IF(OR('DATA ENTRY'!B17="",'DATA ENTRY'!B17="ENTER JOB NAME"),"",'DATA ENTRY'!B17)</f>
        <v/>
      </c>
      <c r="F1" s="62"/>
      <c r="G1" s="62"/>
      <c r="H1" s="62"/>
    </row>
    <row r="2" spans="1:11" ht="20.25" customHeight="1" x14ac:dyDescent="0.3">
      <c r="A2" s="62"/>
      <c r="B2" s="62"/>
      <c r="C2" s="965" t="str">
        <f>IF(E2="","","Unit Tag:")</f>
        <v/>
      </c>
      <c r="D2" s="966"/>
      <c r="E2" s="62" t="str">
        <f>IF(OR('DATA ENTRY'!B18="",'DATA ENTRY'!B18="ENTER UNIT TAG"),"",'DATA ENTRY'!B18)</f>
        <v/>
      </c>
      <c r="G2" s="128"/>
      <c r="I2" s="62"/>
    </row>
    <row r="3" spans="1:11" ht="15" customHeight="1" thickBot="1" x14ac:dyDescent="0.3">
      <c r="A3" s="130"/>
      <c r="B3" s="130"/>
      <c r="C3" s="130"/>
      <c r="D3" s="130"/>
      <c r="E3" s="130"/>
      <c r="F3" s="130"/>
      <c r="G3" s="130"/>
      <c r="H3" s="130"/>
      <c r="I3" s="130"/>
    </row>
    <row r="4" spans="1:11" ht="18.75" thickTop="1" x14ac:dyDescent="0.25">
      <c r="A4" s="129"/>
      <c r="B4" s="129"/>
      <c r="C4" s="129"/>
      <c r="D4" s="129"/>
      <c r="E4" s="129"/>
      <c r="F4" s="68"/>
      <c r="G4" s="68"/>
      <c r="H4" s="68"/>
      <c r="I4" s="68"/>
    </row>
    <row r="5" spans="1:11" ht="27" x14ac:dyDescent="0.35">
      <c r="A5" s="64" t="str">
        <f>'DATA ENTRY'!B8&amp;":"</f>
        <v>SELECT MODEL:</v>
      </c>
      <c r="B5" s="64"/>
      <c r="C5" s="950" t="e">
        <f ca="1">'DATA ENTRY'!F8</f>
        <v>#N/A</v>
      </c>
      <c r="D5" s="951"/>
      <c r="E5" s="951"/>
      <c r="F5" s="951"/>
      <c r="G5" s="952"/>
      <c r="H5" s="62"/>
      <c r="I5" s="62"/>
    </row>
    <row r="6" spans="1:11" ht="13.5" customHeight="1" x14ac:dyDescent="0.25">
      <c r="A6" s="63"/>
      <c r="B6" s="63"/>
      <c r="C6" s="953"/>
      <c r="D6" s="954"/>
      <c r="E6" s="954"/>
      <c r="F6" s="954"/>
      <c r="G6" s="955"/>
      <c r="H6" s="62"/>
      <c r="I6" s="62"/>
    </row>
    <row r="7" spans="1:11" ht="15" customHeight="1" x14ac:dyDescent="0.25">
      <c r="A7" s="358" t="str">
        <f ca="1">IF(AND('DATA ENTRY'!O9="",'DATA ENTRY'!O10="",'DATA ENTRY'!O11="",'DATA ENTRY'!O12="",'DATA ENTRY'!O13="",'DATA ENTRY'!O14=""),"","WARNINGS:")</f>
        <v/>
      </c>
      <c r="B7" s="62"/>
      <c r="C7" s="62"/>
      <c r="D7" s="62"/>
      <c r="E7" s="62"/>
      <c r="F7" s="62"/>
      <c r="G7" s="62"/>
      <c r="H7" s="62"/>
      <c r="I7" s="62"/>
    </row>
    <row r="8" spans="1:11" x14ac:dyDescent="0.25">
      <c r="A8" s="364" t="str">
        <f>'DATA ENTRY'!O12</f>
        <v/>
      </c>
      <c r="B8" s="362"/>
      <c r="C8" s="362"/>
      <c r="D8" s="362"/>
      <c r="E8" s="363"/>
      <c r="F8" s="62"/>
      <c r="G8" s="62"/>
      <c r="H8" s="62"/>
      <c r="I8" s="62"/>
    </row>
    <row r="9" spans="1:11" x14ac:dyDescent="0.25">
      <c r="A9" s="364" t="str">
        <f ca="1">'DATA ENTRY'!O13</f>
        <v/>
      </c>
      <c r="B9" s="362"/>
      <c r="C9" s="362"/>
      <c r="D9" s="362"/>
      <c r="E9" s="363"/>
      <c r="F9" s="62"/>
      <c r="G9" s="62"/>
      <c r="H9" s="62"/>
      <c r="I9" s="62"/>
    </row>
    <row r="10" spans="1:11" x14ac:dyDescent="0.25">
      <c r="A10" s="364" t="str">
        <f>'DATA ENTRY'!O9</f>
        <v/>
      </c>
      <c r="B10" s="364"/>
      <c r="C10" s="364"/>
      <c r="D10" s="364"/>
      <c r="E10" s="359"/>
      <c r="F10" s="62"/>
      <c r="G10" s="62"/>
      <c r="H10" s="62"/>
      <c r="I10" s="62"/>
    </row>
    <row r="11" spans="1:11" x14ac:dyDescent="0.25">
      <c r="A11" s="361" t="str">
        <f>'DATA ENTRY'!O10</f>
        <v/>
      </c>
      <c r="B11" s="362"/>
      <c r="C11" s="362"/>
      <c r="D11" s="363"/>
      <c r="E11" s="65"/>
      <c r="F11" s="62"/>
      <c r="G11" s="62"/>
      <c r="H11" s="62"/>
      <c r="I11" s="62"/>
    </row>
    <row r="12" spans="1:11" x14ac:dyDescent="0.25">
      <c r="A12" s="362" t="str">
        <f>'DATA ENTRY'!O11</f>
        <v/>
      </c>
      <c r="B12" s="362"/>
      <c r="C12" s="362"/>
      <c r="D12" s="362"/>
      <c r="E12" s="65"/>
      <c r="F12" s="62"/>
      <c r="G12" s="62"/>
      <c r="H12" s="62"/>
      <c r="I12" s="62"/>
    </row>
    <row r="13" spans="1:11" x14ac:dyDescent="0.25">
      <c r="A13" s="364" t="str">
        <f ca="1">'DATA ENTRY'!O14</f>
        <v/>
      </c>
      <c r="B13" s="65"/>
      <c r="C13" s="65"/>
      <c r="E13" s="65"/>
      <c r="F13" s="62"/>
      <c r="G13" s="62"/>
      <c r="H13" s="62"/>
      <c r="I13" s="62"/>
    </row>
    <row r="14" spans="1:11" x14ac:dyDescent="0.25">
      <c r="A14" s="66" t="s">
        <v>54</v>
      </c>
      <c r="B14" s="67"/>
      <c r="C14" s="67"/>
      <c r="D14" s="67"/>
      <c r="E14" s="67"/>
      <c r="F14" s="67"/>
      <c r="G14" s="67"/>
      <c r="H14" s="62"/>
      <c r="I14" s="62"/>
    </row>
    <row r="15" spans="1:11" ht="56.25" customHeight="1" x14ac:dyDescent="0.25">
      <c r="A15" s="69" t="s">
        <v>49</v>
      </c>
      <c r="B15" s="69" t="str">
        <f>"Throat Louver Length ["&amp;'DATA ENTRY'!C10&amp;"] "&amp;IF('DATA ENTRY'!B9="Inch","(mm)","(in.)")</f>
        <v>Throat Louver Length [] (in.)</v>
      </c>
      <c r="C15" s="69" t="str">
        <f>"Throat Louver Width ["&amp;'DATA ENTRY'!C10&amp;"] "&amp;IF('DATA ENTRY'!B9="Inch","(mm)","(in.)")</f>
        <v>Throat Louver Width [] (in.)</v>
      </c>
      <c r="D15" s="69" t="str">
        <f>"Louver Height ["&amp;'DATA ENTRY'!C10&amp;"] "&amp;IF('DATA ENTRY'!B9="Inch","(mm)","(in.)")</f>
        <v>Louver Height [] (in.)</v>
      </c>
      <c r="E15" s="69" t="str">
        <f>"Throat Area "&amp;IF('DATA ENTRY'!B9="Inch","[sq.ft]","[sq.m]")&amp;" "&amp;IF('DATA ENTRY'!B9="Inch","(sq.m)","(sq.ft)")</f>
        <v>Throat Area [sq.m] (sq.ft)</v>
      </c>
      <c r="F15" s="69" t="str">
        <f>"Free Area "&amp;IF('DATA ENTRY'!B9="Inch","[sq.ft]","[sq.m]")&amp;" "&amp;IF('DATA ENTRY'!B9="Inch","(sq.m)","(sq.ft)")</f>
        <v>Free Area [sq.m] (sq.ft)</v>
      </c>
      <c r="G15" s="69" t="s">
        <v>56</v>
      </c>
      <c r="H15" s="69" t="str">
        <f>"Estimated Total Weight "&amp;IF('DATA ENTRY'!B9="Inch","[lb]","[kg]")&amp;" "&amp;IF('DATA ENTRY'!B9="Inch","(kg)","(lb)")</f>
        <v>Estimated Total Weight [kg] (lb)</v>
      </c>
      <c r="I15" s="69" t="s">
        <v>375</v>
      </c>
      <c r="J15" s="192"/>
      <c r="K15" s="192"/>
    </row>
    <row r="16" spans="1:11" ht="19.5" customHeight="1" x14ac:dyDescent="0.25">
      <c r="A16" s="944" t="str">
        <f>'DATA ENTRY'!B8</f>
        <v>SELECT MODEL</v>
      </c>
      <c r="B16" s="870" t="str">
        <f>'DATA ENTRY'!B10</f>
        <v>ENTER LENGTH</v>
      </c>
      <c r="C16" s="870" t="str">
        <f>'DATA ENTRY'!B11</f>
        <v>ENTER WIDTH</v>
      </c>
      <c r="D16" s="870" t="str">
        <f>'DATA ENTRY'!B12</f>
        <v>ENTER HEIGHT</v>
      </c>
      <c r="E16" s="908" t="str">
        <f ca="1">IF('DATA ENTRY'!B9="Inch",'DATA ENTRY'!F11,"("&amp;FIXED('DATA ENTRY'!H11,2,TRUE)&amp;")")</f>
        <v>(0.00)</v>
      </c>
      <c r="F16" s="908" t="str">
        <f ca="1">IF('DATA ENTRY'!B9="Inch",'DATA ENTRY'!F9,"("&amp;FIXED('DATA ENTRY'!H9,2,TRUE)&amp;")")</f>
        <v>(0.00)</v>
      </c>
      <c r="G16" s="963">
        <f ca="1">'DATA ENTRY'!F10</f>
        <v>0</v>
      </c>
      <c r="H16" s="592">
        <f ca="1">IF('DATA ENTRY'!B9="Inch",'DATA ENTRY'!F16,'DATA ENTRY'!H16)</f>
        <v>0</v>
      </c>
      <c r="I16" s="963" t="str">
        <f>'DATA ENTRY'!B15</f>
        <v>No Curb</v>
      </c>
      <c r="J16" s="192"/>
      <c r="K16" s="192"/>
    </row>
    <row r="17" spans="1:14" ht="16.5" customHeight="1" x14ac:dyDescent="0.25">
      <c r="A17" s="945"/>
      <c r="B17" s="597" t="e">
        <f>IF('DATA ENTRY'!B9="Inch",B16*25.4,B16/25.4)</f>
        <v>#VALUE!</v>
      </c>
      <c r="C17" s="597" t="e">
        <f>IF('DATA ENTRY'!B9="Inch",C16*25.4,C16/25.4)</f>
        <v>#VALUE!</v>
      </c>
      <c r="D17" s="597" t="e">
        <f>IF('DATA ENTRY'!B9="Inch",D16*25.4,D16/25.4)</f>
        <v>#VALUE!</v>
      </c>
      <c r="E17" s="910">
        <f ca="1">IF('DATA ENTRY'!B9="Inch","("&amp;FIXED('DATA ENTRY'!H11,2,TRUE)&amp;")",'DATA ENTRY'!F11)</f>
        <v>0</v>
      </c>
      <c r="F17" s="785">
        <f ca="1">IF('DATA ENTRY'!B9="Inch","("&amp;FIXED('DATA ENTRY'!H9,2,TRUE)&amp;")",'DATA ENTRY'!F9)</f>
        <v>0</v>
      </c>
      <c r="G17" s="964"/>
      <c r="H17" s="597">
        <f ca="1">IF('DATA ENTRY'!B9="Inch",'DATA ENTRY'!H16,'DATA ENTRY'!F16)</f>
        <v>0</v>
      </c>
      <c r="I17" s="964"/>
      <c r="J17" s="192"/>
      <c r="K17" s="192"/>
    </row>
    <row r="18" spans="1:14" x14ac:dyDescent="0.25">
      <c r="A18" s="68"/>
      <c r="B18" s="68"/>
      <c r="C18" s="68"/>
      <c r="D18" s="68"/>
      <c r="E18" s="68"/>
      <c r="F18" s="68"/>
      <c r="G18" s="68"/>
      <c r="H18" s="62"/>
      <c r="I18" s="62"/>
      <c r="J18" s="192"/>
      <c r="K18" s="192"/>
      <c r="L18" s="192"/>
    </row>
    <row r="19" spans="1:14" x14ac:dyDescent="0.25">
      <c r="A19" s="66" t="s">
        <v>55</v>
      </c>
      <c r="B19" s="67"/>
      <c r="C19" s="67"/>
      <c r="D19" s="67"/>
      <c r="E19" s="67"/>
      <c r="F19" s="67"/>
      <c r="G19" s="67"/>
      <c r="H19" s="62"/>
      <c r="I19" s="62"/>
      <c r="J19" s="192"/>
      <c r="K19" s="192"/>
      <c r="L19" s="192"/>
    </row>
    <row r="20" spans="1:14" ht="44.25" customHeight="1" x14ac:dyDescent="0.25">
      <c r="A20" s="70" t="s">
        <v>105</v>
      </c>
      <c r="B20" s="70" t="str">
        <f>"Air Volume "&amp;IF('DATA ENTRY'!B9="Inch","[CFM]","[L/s]")&amp;" "&amp;IF('DATA ENTRY'!B9="Inch","(L/s)","(CFM)")</f>
        <v>Air Volume [L/s] (CFM)</v>
      </c>
      <c r="C20" s="958" t="str">
        <f>"Free Area Velocity "&amp;IF('DATA ENTRY'!B9="Inch","[FPM]","[m/s]")&amp;" "&amp;IF('DATA ENTRY'!B9="Inch","(m/s)","(FPM)")&amp;" *"</f>
        <v>Free Area Velocity [m/s] (FPM) *</v>
      </c>
      <c r="D20" s="959"/>
      <c r="E20" s="958" t="str">
        <f>"Pressure Drop "&amp;IF('DATA ENTRY'!B9="Inch","[in.w.g]","[Pa]")&amp;" "&amp;IF('DATA ENTRY'!B9="Inch","(Pa)","(in.w.g)")&amp;" *"</f>
        <v>Pressure Drop [Pa] (in.w.g) *</v>
      </c>
      <c r="F20" s="961"/>
      <c r="G20" s="67"/>
      <c r="H20" s="62"/>
      <c r="I20" s="437"/>
      <c r="J20" s="4"/>
      <c r="K20" s="192"/>
      <c r="L20" s="192"/>
    </row>
    <row r="21" spans="1:14" ht="16.5" customHeight="1" x14ac:dyDescent="0.25">
      <c r="A21" s="944" t="str">
        <f>'DATA ENTRY'!B14</f>
        <v>SELECT AIR DIRECTION</v>
      </c>
      <c r="B21" s="871" t="str">
        <f>'DATA ENTRY'!B13</f>
        <v>ENTER AIR VOLUME</v>
      </c>
      <c r="C21" s="960">
        <f ca="1">IF('DATA ENTRY'!B9="Inch",FIXED('DATA ENTRY'!F12,0,TRUE),'DATA ENTRY'!H12)</f>
        <v>0</v>
      </c>
      <c r="D21" s="960"/>
      <c r="E21" s="962" t="str">
        <f ca="1">IF('DATA ENTRY'!B9="Inch",'DATA ENTRY'!F14,FIXED('DATA ENTRY'!H14,0,TRUE))</f>
        <v>0</v>
      </c>
      <c r="F21" s="962"/>
      <c r="G21" s="594"/>
      <c r="H21" s="62"/>
      <c r="I21" s="437"/>
      <c r="J21" s="4"/>
      <c r="K21" s="192"/>
      <c r="L21" s="192"/>
    </row>
    <row r="22" spans="1:14" ht="14.25" customHeight="1" x14ac:dyDescent="0.25">
      <c r="A22" s="945"/>
      <c r="B22" s="596" t="e">
        <f>IF('DATA ENTRY'!B9="Inch",B21/2.1188799727597,B21*2.1188799727597)</f>
        <v>#VALUE!</v>
      </c>
      <c r="C22" s="946" t="str">
        <f ca="1">IF('DATA ENTRY'!B9="Inch",'DATA ENTRY'!H12,"("&amp;FIXED('DATA ENTRY'!F12,0,TRUE)&amp;")")</f>
        <v>(0)</v>
      </c>
      <c r="D22" s="947"/>
      <c r="E22" s="948">
        <f ca="1">IF('DATA ENTRY'!B9="Inch","("&amp;FIXED('DATA ENTRY'!H14,0,TRUE)&amp;")",'DATA ENTRY'!F14)</f>
        <v>0</v>
      </c>
      <c r="F22" s="949"/>
      <c r="G22" s="594"/>
      <c r="H22" s="67"/>
      <c r="I22" s="593"/>
      <c r="J22" s="4"/>
      <c r="K22" s="192"/>
      <c r="L22" s="192"/>
    </row>
    <row r="23" spans="1:14" x14ac:dyDescent="0.25">
      <c r="A23" s="595" t="str">
        <f>IF('DATA ENTRY'!B14="Intake","Note: Water penetration point is "&amp;'DATA ENTRY'!F13&amp; " FPM for intake "&amp;'DATA ENTRY'!B8,"Note: Water penetration point not applicable for exhaust louver.")</f>
        <v>Note: Water penetration point not applicable for exhaust louver.</v>
      </c>
      <c r="B23" s="68"/>
      <c r="C23" s="68"/>
      <c r="D23" s="68"/>
      <c r="E23" s="68"/>
      <c r="F23" s="68"/>
      <c r="G23" s="62"/>
      <c r="H23" s="505"/>
      <c r="I23" s="506"/>
      <c r="J23" s="40"/>
      <c r="K23" s="192"/>
      <c r="L23" s="192"/>
    </row>
    <row r="24" spans="1:14" ht="24.75" customHeight="1" x14ac:dyDescent="0.25">
      <c r="A24" s="66" t="s">
        <v>103</v>
      </c>
      <c r="B24" s="67"/>
      <c r="C24" s="67"/>
      <c r="D24" s="67"/>
      <c r="E24" s="67"/>
      <c r="F24" s="62"/>
      <c r="G24" s="437"/>
      <c r="H24" s="507"/>
      <c r="I24" s="507"/>
      <c r="J24" s="40"/>
      <c r="K24" s="40"/>
      <c r="L24" s="40"/>
      <c r="M24" s="2"/>
    </row>
    <row r="25" spans="1:14" ht="38.25" customHeight="1" x14ac:dyDescent="0.25">
      <c r="A25" s="70" t="s">
        <v>259</v>
      </c>
      <c r="B25" s="70" t="s">
        <v>260</v>
      </c>
      <c r="C25" s="503" t="s">
        <v>261</v>
      </c>
      <c r="D25" s="70" t="s">
        <v>262</v>
      </c>
      <c r="E25" s="500" t="s">
        <v>263</v>
      </c>
      <c r="F25" s="958" t="s">
        <v>257</v>
      </c>
      <c r="G25" s="961"/>
      <c r="H25" s="508"/>
      <c r="I25" s="508"/>
      <c r="J25" s="439"/>
      <c r="K25" s="439"/>
      <c r="L25" s="40"/>
      <c r="M25" s="40"/>
      <c r="N25" s="192"/>
    </row>
    <row r="26" spans="1:14" x14ac:dyDescent="0.25">
      <c r="A26" s="217" t="e">
        <f ca="1">SHEETDATA!P10</f>
        <v>#N/A</v>
      </c>
      <c r="B26" s="509" t="e">
        <f ca="1">A26*2</f>
        <v>#N/A</v>
      </c>
      <c r="C26" s="501" t="e">
        <f ca="1">SHEETDATA!P11</f>
        <v>#N/A</v>
      </c>
      <c r="D26" s="509" t="e">
        <f ca="1">C26*2</f>
        <v>#N/A</v>
      </c>
      <c r="E26" s="502">
        <v>1</v>
      </c>
      <c r="F26" s="956" t="e">
        <f ca="1">'DATA ENTRY'!F15</f>
        <v>#N/A</v>
      </c>
      <c r="G26" s="957"/>
      <c r="H26" s="507"/>
      <c r="I26" s="507"/>
      <c r="J26" s="2"/>
      <c r="K26" s="2"/>
      <c r="L26" s="2"/>
      <c r="M26" s="2"/>
    </row>
    <row r="27" spans="1:14" x14ac:dyDescent="0.25">
      <c r="A27" s="62"/>
      <c r="B27" s="62"/>
      <c r="C27" s="62"/>
      <c r="D27" s="62"/>
      <c r="E27" s="62"/>
      <c r="F27" s="62"/>
      <c r="G27" s="62"/>
      <c r="H27" s="68"/>
      <c r="I27" s="68"/>
    </row>
    <row r="28" spans="1:14" x14ac:dyDescent="0.25">
      <c r="A28" s="62"/>
      <c r="B28" s="62"/>
      <c r="C28" s="62"/>
      <c r="D28" s="62"/>
      <c r="E28" s="62"/>
      <c r="F28" s="62"/>
      <c r="G28" s="62"/>
      <c r="H28" s="62"/>
      <c r="I28" s="62"/>
    </row>
    <row r="29" spans="1:14" x14ac:dyDescent="0.25">
      <c r="A29" s="62"/>
      <c r="B29" s="62"/>
      <c r="C29" s="62"/>
      <c r="D29" s="62"/>
      <c r="E29" s="62"/>
      <c r="F29" s="62"/>
      <c r="G29" s="62"/>
      <c r="H29" s="62"/>
      <c r="I29" s="62"/>
    </row>
    <row r="30" spans="1:14" x14ac:dyDescent="0.25">
      <c r="A30" s="62"/>
      <c r="B30" s="62"/>
      <c r="C30" s="62"/>
      <c r="D30" s="62"/>
      <c r="E30" s="62"/>
      <c r="F30" s="62"/>
      <c r="G30" s="62"/>
      <c r="H30" s="62"/>
      <c r="I30" s="62"/>
    </row>
    <row r="31" spans="1:14" ht="15" customHeight="1" x14ac:dyDescent="0.25">
      <c r="A31" s="62"/>
      <c r="B31" s="62"/>
      <c r="C31" s="62"/>
      <c r="D31" s="62"/>
      <c r="E31" s="62"/>
      <c r="F31" s="62"/>
      <c r="G31" s="62"/>
      <c r="H31" s="62"/>
      <c r="I31" s="62"/>
    </row>
    <row r="32" spans="1:14" x14ac:dyDescent="0.25">
      <c r="A32" s="62"/>
      <c r="B32" s="62"/>
      <c r="C32" s="62"/>
      <c r="D32" s="62"/>
      <c r="E32" s="62"/>
      <c r="F32" s="62"/>
      <c r="G32" s="62"/>
      <c r="H32" s="62"/>
      <c r="I32" s="62"/>
    </row>
    <row r="33" spans="1:9" x14ac:dyDescent="0.25">
      <c r="B33" s="62"/>
      <c r="C33" s="62"/>
      <c r="D33" s="62"/>
      <c r="E33" s="62"/>
      <c r="F33" s="62"/>
      <c r="G33" s="62"/>
      <c r="H33" s="62"/>
      <c r="I33" s="62"/>
    </row>
    <row r="34" spans="1:9" x14ac:dyDescent="0.25">
      <c r="A34" s="62"/>
      <c r="B34" s="62"/>
      <c r="C34" s="62"/>
      <c r="D34" s="62"/>
      <c r="E34" s="62"/>
      <c r="F34" s="62"/>
      <c r="G34" s="62"/>
      <c r="H34" s="62"/>
      <c r="I34" s="62"/>
    </row>
    <row r="35" spans="1:9" x14ac:dyDescent="0.25">
      <c r="A35" s="127" t="s">
        <v>102</v>
      </c>
      <c r="B35" s="62"/>
      <c r="C35" s="62"/>
      <c r="D35" s="62"/>
      <c r="E35" s="62"/>
      <c r="F35" s="62"/>
      <c r="G35" s="62"/>
      <c r="H35" s="62"/>
      <c r="I35" s="62"/>
    </row>
    <row r="36" spans="1:9" x14ac:dyDescent="0.25">
      <c r="A36" s="127" t="s">
        <v>119</v>
      </c>
      <c r="B36" s="62"/>
      <c r="C36" s="62"/>
      <c r="D36" s="62"/>
      <c r="E36" s="62"/>
      <c r="F36" s="62"/>
      <c r="G36" s="62"/>
      <c r="H36" s="62"/>
      <c r="I36" s="62"/>
    </row>
    <row r="37" spans="1:9" x14ac:dyDescent="0.25">
      <c r="A37" s="127" t="s">
        <v>107</v>
      </c>
      <c r="B37" s="62"/>
      <c r="C37" s="62"/>
      <c r="D37" s="62"/>
      <c r="E37" s="62"/>
      <c r="F37" s="62"/>
      <c r="G37" s="62"/>
      <c r="H37" s="62"/>
      <c r="I37" s="62"/>
    </row>
    <row r="38" spans="1:9" ht="39" customHeight="1" x14ac:dyDescent="0.25">
      <c r="A38" s="62"/>
      <c r="B38" s="62"/>
      <c r="C38" s="62"/>
      <c r="D38" s="62"/>
      <c r="E38" s="62"/>
      <c r="F38" s="62"/>
      <c r="G38" s="62"/>
      <c r="H38" s="62"/>
      <c r="I38" s="62"/>
    </row>
    <row r="39" spans="1:9" ht="12" customHeight="1" x14ac:dyDescent="0.25">
      <c r="A39" s="131" t="s">
        <v>154</v>
      </c>
      <c r="B39" s="62"/>
      <c r="C39" s="62"/>
      <c r="D39" s="62"/>
      <c r="E39" s="62"/>
      <c r="F39" s="62"/>
      <c r="G39" s="62"/>
      <c r="H39" s="62"/>
      <c r="I39" s="62"/>
    </row>
    <row r="40" spans="1:9" ht="11.25" customHeight="1" x14ac:dyDescent="0.25">
      <c r="A40" s="67"/>
      <c r="B40" s="67"/>
      <c r="C40" s="67"/>
      <c r="D40" s="67"/>
      <c r="E40" s="67"/>
      <c r="F40" s="67"/>
      <c r="G40" s="67"/>
      <c r="H40" s="67"/>
      <c r="I40" s="67"/>
    </row>
    <row r="41" spans="1:9" ht="15" customHeight="1" x14ac:dyDescent="0.25">
      <c r="A41" s="132" t="s">
        <v>78</v>
      </c>
      <c r="B41" s="133"/>
      <c r="C41" s="133"/>
      <c r="D41" s="133"/>
      <c r="E41" s="133"/>
      <c r="F41" s="133"/>
      <c r="G41" s="133"/>
      <c r="H41" s="133"/>
      <c r="I41" s="134" t="s">
        <v>75</v>
      </c>
    </row>
    <row r="42" spans="1:9" ht="13.5" customHeight="1" x14ac:dyDescent="0.25">
      <c r="A42" s="67"/>
      <c r="B42" s="67"/>
      <c r="C42" s="67"/>
      <c r="D42" s="67"/>
      <c r="E42" s="67"/>
      <c r="F42" s="67"/>
      <c r="G42" s="67"/>
      <c r="H42" s="67"/>
      <c r="I42" s="438" t="s">
        <v>437</v>
      </c>
    </row>
    <row r="43" spans="1:9" ht="10.5" customHeight="1" x14ac:dyDescent="0.25">
      <c r="A43" s="439"/>
      <c r="B43" s="439"/>
      <c r="C43" s="439"/>
      <c r="D43" s="439"/>
      <c r="E43" s="439"/>
      <c r="F43" s="439"/>
      <c r="G43" s="439"/>
      <c r="H43" s="439"/>
      <c r="I43" s="439"/>
    </row>
    <row r="44" spans="1:9" ht="28.5" customHeight="1" x14ac:dyDescent="0.25">
      <c r="A44" s="2"/>
      <c r="B44" s="2"/>
      <c r="C44" s="2"/>
      <c r="D44" s="2"/>
      <c r="E44" s="2"/>
      <c r="F44" s="2"/>
      <c r="G44" s="2"/>
      <c r="H44" s="2"/>
      <c r="I44" s="2"/>
    </row>
    <row r="45" spans="1:9" ht="38.25" customHeight="1" x14ac:dyDescent="0.25"/>
    <row r="46" spans="1:9" ht="63.75" customHeight="1" x14ac:dyDescent="0.25"/>
    <row r="48" spans="1:9" ht="12.75" customHeight="1" x14ac:dyDescent="0.25"/>
  </sheetData>
  <sheetProtection algorithmName="SHA-512" hashValue="PTodEUzgvT11nKF6ZShkXaDr4KDefuNlbj3TbpJjaB5tT4/a04/aUYWCKWDbG71j4ixwJuwwIa+HiySThjpHgw==" saltValue="Uem1swAhKllXK4OWRUgDdw==" spinCount="100000" sheet="1" objects="1" scenarios="1" selectLockedCells="1" selectUnlockedCells="1"/>
  <mergeCells count="15">
    <mergeCell ref="I16:I17"/>
    <mergeCell ref="C1:D1"/>
    <mergeCell ref="C2:D2"/>
    <mergeCell ref="A16:A17"/>
    <mergeCell ref="G16:G17"/>
    <mergeCell ref="A21:A22"/>
    <mergeCell ref="C22:D22"/>
    <mergeCell ref="E22:F22"/>
    <mergeCell ref="C5:G6"/>
    <mergeCell ref="F26:G26"/>
    <mergeCell ref="C20:D20"/>
    <mergeCell ref="C21:D21"/>
    <mergeCell ref="E20:F20"/>
    <mergeCell ref="E21:F21"/>
    <mergeCell ref="F25:G25"/>
  </mergeCells>
  <pageMargins left="0.31496062992125984" right="0.31496062992125984" top="0.31496062992125984" bottom="0.23622047244094491" header="0.31496062992125984" footer="0.31496062992125984"/>
  <pageSetup orientation="portrait" r:id="rId1"/>
  <ignoredErrors>
    <ignoredError sqref="B26"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772CB62E-6BA5-4698-AB2D-D19AFC9276DF}">
            <xm:f>'DATA ENTRY'!$B$9="mm"</xm:f>
            <x14:dxf>
              <numFmt numFmtId="1" formatCode="0"/>
            </x14:dxf>
          </x14:cfRule>
          <xm:sqref>B16:D16</xm:sqref>
        </x14:conditionalFormatting>
        <x14:conditionalFormatting xmlns:xm="http://schemas.microsoft.com/office/excel/2006/main">
          <x14:cfRule type="expression" priority="1" id="{E9D3AC91-586B-4569-9A29-A31E334F159D}">
            <xm:f>'DATA ENTRY'!$B$9="mm"</xm:f>
            <x14:dxf>
              <numFmt numFmtId="171" formatCode="\(0.00\)"/>
            </x14:dxf>
          </x14:cfRule>
          <xm:sqref>B17:D17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workbookViewId="0">
      <selection activeCell="T39" sqref="T39"/>
    </sheetView>
  </sheetViews>
  <sheetFormatPr defaultRowHeight="15" x14ac:dyDescent="0.25"/>
  <cols>
    <col min="1" max="1" width="18.42578125" customWidth="1"/>
    <col min="2" max="2" width="17.5703125" customWidth="1"/>
    <col min="3" max="3" width="15.42578125" customWidth="1"/>
    <col min="4" max="4" width="15" customWidth="1"/>
    <col min="5" max="5" width="16.28515625" customWidth="1"/>
    <col min="10" max="10" width="10.7109375" customWidth="1"/>
    <col min="11" max="11" width="21.42578125" customWidth="1"/>
    <col min="12" max="12" width="16.85546875" customWidth="1"/>
    <col min="13" max="13" width="15.7109375" customWidth="1"/>
    <col min="14" max="14" width="14.5703125" customWidth="1"/>
    <col min="15" max="15" width="12.5703125" customWidth="1"/>
    <col min="21" max="21" width="19.140625" customWidth="1"/>
    <col min="22" max="22" width="17.140625" customWidth="1"/>
    <col min="23" max="23" width="11.85546875" customWidth="1"/>
    <col min="24" max="24" width="13.7109375" customWidth="1"/>
    <col min="25" max="25" width="13.140625" customWidth="1"/>
  </cols>
  <sheetData>
    <row r="1" spans="1:30" ht="24" thickBot="1" x14ac:dyDescent="0.4">
      <c r="A1" s="533" t="s">
        <v>286</v>
      </c>
      <c r="B1" s="460"/>
      <c r="C1" s="460"/>
      <c r="D1" s="460"/>
      <c r="E1" s="460"/>
      <c r="F1" s="460"/>
      <c r="G1" s="460"/>
      <c r="H1" s="460"/>
      <c r="I1" s="460"/>
      <c r="J1" s="534" t="s">
        <v>286</v>
      </c>
      <c r="K1" s="460"/>
      <c r="L1" s="460"/>
      <c r="M1" s="460"/>
      <c r="N1" s="461"/>
    </row>
    <row r="2" spans="1:30" ht="15.75" x14ac:dyDescent="0.25">
      <c r="A2" s="535" t="s">
        <v>277</v>
      </c>
      <c r="B2" s="536" t="s">
        <v>278</v>
      </c>
      <c r="C2" s="189" t="str">
        <f>IF('DATA ENTRY'!B22="mm",'DATA ENTRY'!B23/25.4,'DATA ENTRY'!B23)</f>
        <v>ENTER LENGTH</v>
      </c>
      <c r="D2" s="189" t="s">
        <v>151</v>
      </c>
      <c r="E2" s="189"/>
      <c r="F2" s="189"/>
      <c r="G2" s="190"/>
      <c r="H2" s="417"/>
      <c r="I2" s="536" t="s">
        <v>280</v>
      </c>
      <c r="J2" s="197" t="s">
        <v>293</v>
      </c>
      <c r="K2" s="189" t="e">
        <f>A23</f>
        <v>#VALUE!</v>
      </c>
      <c r="L2" s="189" t="s">
        <v>141</v>
      </c>
      <c r="M2" s="189"/>
      <c r="N2" s="190"/>
    </row>
    <row r="3" spans="1:30" ht="15.75" x14ac:dyDescent="0.25">
      <c r="A3" s="41"/>
      <c r="B3" s="531" t="s">
        <v>279</v>
      </c>
      <c r="C3" s="40" t="str">
        <f>IF('DATA ENTRY'!B22="mm",'DATA ENTRY'!B24/25.4,'DATA ENTRY'!B24)</f>
        <v>ENTER WIDTH</v>
      </c>
      <c r="D3" s="40" t="s">
        <v>151</v>
      </c>
      <c r="E3" s="40"/>
      <c r="F3" s="40"/>
      <c r="G3" s="169"/>
      <c r="H3" s="41"/>
      <c r="I3" s="40"/>
      <c r="J3" s="422" t="s">
        <v>294</v>
      </c>
      <c r="K3" s="40" t="e">
        <f>A35</f>
        <v>#VALUE!</v>
      </c>
      <c r="L3" s="40" t="s">
        <v>141</v>
      </c>
      <c r="M3" s="40"/>
      <c r="N3" s="169"/>
    </row>
    <row r="4" spans="1:30" ht="15.75" x14ac:dyDescent="0.25">
      <c r="A4" s="41"/>
      <c r="B4" s="531" t="s">
        <v>152</v>
      </c>
      <c r="C4" s="40" t="e">
        <f>C2*C3</f>
        <v>#VALUE!</v>
      </c>
      <c r="D4" s="40" t="s">
        <v>153</v>
      </c>
      <c r="E4" s="40"/>
      <c r="F4" s="40"/>
      <c r="G4" s="169"/>
      <c r="H4" s="41"/>
      <c r="I4" s="40"/>
      <c r="J4" s="422" t="s">
        <v>295</v>
      </c>
      <c r="K4" s="40" t="e">
        <f>A48</f>
        <v>#VALUE!</v>
      </c>
      <c r="L4" s="40" t="s">
        <v>141</v>
      </c>
      <c r="M4" s="40"/>
      <c r="N4" s="169"/>
    </row>
    <row r="5" spans="1:30" ht="15.75" x14ac:dyDescent="0.25">
      <c r="A5" s="41"/>
      <c r="B5" s="531"/>
      <c r="C5" s="40"/>
      <c r="D5" s="40"/>
      <c r="E5" s="40"/>
      <c r="F5" s="40"/>
      <c r="G5" s="169"/>
      <c r="H5" s="41"/>
      <c r="I5" s="40"/>
      <c r="J5" s="422" t="s">
        <v>296</v>
      </c>
      <c r="K5" s="40" t="e">
        <f>K23</f>
        <v>#VALUE!</v>
      </c>
      <c r="L5" s="40" t="s">
        <v>141</v>
      </c>
      <c r="M5" s="40"/>
      <c r="N5" s="169"/>
    </row>
    <row r="6" spans="1:30" ht="15.75" x14ac:dyDescent="0.25">
      <c r="A6" s="41"/>
      <c r="B6" s="579"/>
      <c r="C6" s="542">
        <v>8.25</v>
      </c>
      <c r="D6" s="542">
        <v>12.25</v>
      </c>
      <c r="E6" s="542">
        <v>7.0880000000000001</v>
      </c>
      <c r="F6" s="40"/>
      <c r="G6" s="169"/>
      <c r="H6" s="41"/>
      <c r="I6" s="40"/>
      <c r="J6" s="422" t="s">
        <v>297</v>
      </c>
      <c r="K6" s="40" t="e">
        <f>K35</f>
        <v>#VALUE!</v>
      </c>
      <c r="L6" s="40" t="s">
        <v>141</v>
      </c>
      <c r="M6" s="40"/>
      <c r="N6" s="169"/>
    </row>
    <row r="7" spans="1:30" ht="15.75" x14ac:dyDescent="0.25">
      <c r="A7" s="399" t="s">
        <v>308</v>
      </c>
      <c r="B7" s="578" t="s">
        <v>302</v>
      </c>
      <c r="C7" s="580" t="s">
        <v>303</v>
      </c>
      <c r="D7" s="580" t="s">
        <v>305</v>
      </c>
      <c r="E7" s="580" t="s">
        <v>307</v>
      </c>
      <c r="F7" s="40"/>
      <c r="G7" s="169"/>
      <c r="H7" s="41"/>
      <c r="I7" s="40"/>
      <c r="J7" s="422" t="s">
        <v>298</v>
      </c>
      <c r="K7" s="40" t="e">
        <f>K48</f>
        <v>#VALUE!</v>
      </c>
      <c r="L7" s="40" t="s">
        <v>141</v>
      </c>
      <c r="M7" s="40"/>
      <c r="N7" s="169"/>
    </row>
    <row r="8" spans="1:30" ht="15.75" x14ac:dyDescent="0.25">
      <c r="A8" s="399" t="s">
        <v>309</v>
      </c>
      <c r="B8" s="578" t="s">
        <v>304</v>
      </c>
      <c r="C8" s="580">
        <v>107.815</v>
      </c>
      <c r="D8" s="580">
        <v>103.815</v>
      </c>
      <c r="E8" s="580">
        <v>108.977</v>
      </c>
      <c r="F8" s="40"/>
      <c r="G8" s="169"/>
      <c r="H8" s="41"/>
      <c r="I8" s="40"/>
      <c r="J8" s="422" t="s">
        <v>299</v>
      </c>
      <c r="K8" s="40" t="e">
        <f>U23</f>
        <v>#VALUE!</v>
      </c>
      <c r="L8" s="40" t="s">
        <v>141</v>
      </c>
      <c r="M8" s="40"/>
      <c r="N8" s="169"/>
    </row>
    <row r="9" spans="1:30" ht="15.75" x14ac:dyDescent="0.25">
      <c r="A9" s="41"/>
      <c r="B9" s="578" t="s">
        <v>306</v>
      </c>
      <c r="C9" s="580" t="s">
        <v>310</v>
      </c>
      <c r="D9" s="580" t="s">
        <v>310</v>
      </c>
      <c r="E9" s="580" t="s">
        <v>310</v>
      </c>
      <c r="F9" s="40"/>
      <c r="G9" s="169"/>
      <c r="H9" s="41"/>
      <c r="I9" s="40"/>
      <c r="J9" s="422" t="s">
        <v>300</v>
      </c>
      <c r="K9" s="40" t="e">
        <f>U35</f>
        <v>#VALUE!</v>
      </c>
      <c r="L9" s="40" t="s">
        <v>141</v>
      </c>
      <c r="M9" s="40"/>
      <c r="N9" s="169"/>
    </row>
    <row r="10" spans="1:30" ht="15.75" x14ac:dyDescent="0.25">
      <c r="A10" s="41"/>
      <c r="B10" s="531"/>
      <c r="C10" s="40"/>
      <c r="D10" s="40"/>
      <c r="E10" s="40"/>
      <c r="F10" s="40"/>
      <c r="G10" s="169"/>
      <c r="H10" s="41"/>
      <c r="I10" s="40"/>
      <c r="J10" s="422" t="s">
        <v>301</v>
      </c>
      <c r="K10" s="40" t="e">
        <f>U48</f>
        <v>#VALUE!</v>
      </c>
      <c r="L10" s="40" t="s">
        <v>141</v>
      </c>
      <c r="M10" s="40"/>
      <c r="N10" s="169"/>
    </row>
    <row r="11" spans="1:30" ht="16.5" thickBot="1" x14ac:dyDescent="0.3">
      <c r="A11" s="42"/>
      <c r="B11" s="576"/>
      <c r="C11" s="43"/>
      <c r="D11" s="43"/>
      <c r="E11" s="43"/>
      <c r="F11" s="43"/>
      <c r="G11" s="170"/>
      <c r="H11" s="42"/>
      <c r="I11" s="43"/>
      <c r="J11" s="43"/>
      <c r="K11" s="40"/>
      <c r="L11" s="40"/>
      <c r="M11" s="40"/>
      <c r="N11" s="169"/>
    </row>
    <row r="12" spans="1:30" ht="15.75" x14ac:dyDescent="0.25">
      <c r="A12" s="574" t="s">
        <v>288</v>
      </c>
      <c r="B12" s="562" t="s">
        <v>289</v>
      </c>
      <c r="C12" s="563">
        <v>8.25</v>
      </c>
      <c r="D12" s="563"/>
      <c r="E12" s="575"/>
      <c r="F12" s="573"/>
      <c r="G12" s="573"/>
      <c r="H12" s="573"/>
      <c r="I12" s="573"/>
      <c r="J12" s="577"/>
      <c r="K12" s="551" t="s">
        <v>291</v>
      </c>
      <c r="L12" s="552" t="s">
        <v>289</v>
      </c>
      <c r="M12" s="553">
        <v>8.25</v>
      </c>
      <c r="N12" s="553"/>
      <c r="O12" s="572"/>
      <c r="P12" s="568"/>
      <c r="Q12" s="568"/>
      <c r="R12" s="568"/>
      <c r="S12" s="568"/>
      <c r="T12" s="569"/>
      <c r="U12" s="551" t="s">
        <v>292</v>
      </c>
      <c r="V12" s="552" t="s">
        <v>289</v>
      </c>
      <c r="W12" s="553">
        <v>8.25</v>
      </c>
      <c r="X12" s="553"/>
      <c r="Y12" s="572"/>
      <c r="Z12" s="568"/>
      <c r="AA12" s="568"/>
      <c r="AB12" s="568"/>
      <c r="AC12" s="568"/>
      <c r="AD12" s="569"/>
    </row>
    <row r="13" spans="1:30" x14ac:dyDescent="0.25">
      <c r="A13" s="571"/>
      <c r="B13" s="570" t="s">
        <v>283</v>
      </c>
      <c r="C13" s="564" t="s">
        <v>284</v>
      </c>
      <c r="D13" s="564" t="s">
        <v>282</v>
      </c>
      <c r="E13" s="564" t="s">
        <v>281</v>
      </c>
      <c r="F13" s="557"/>
      <c r="G13" s="557"/>
      <c r="H13" s="557"/>
      <c r="I13" s="557"/>
      <c r="J13" s="558"/>
      <c r="K13" s="571"/>
      <c r="L13" s="570" t="s">
        <v>283</v>
      </c>
      <c r="M13" s="564" t="s">
        <v>284</v>
      </c>
      <c r="N13" s="564" t="s">
        <v>282</v>
      </c>
      <c r="O13" s="564" t="s">
        <v>281</v>
      </c>
      <c r="P13" s="557"/>
      <c r="Q13" s="557"/>
      <c r="R13" s="557"/>
      <c r="S13" s="557"/>
      <c r="T13" s="558"/>
      <c r="U13" s="571"/>
      <c r="V13" s="570" t="s">
        <v>283</v>
      </c>
      <c r="W13" s="564" t="s">
        <v>284</v>
      </c>
      <c r="X13" s="564" t="s">
        <v>282</v>
      </c>
      <c r="Y13" s="564" t="s">
        <v>281</v>
      </c>
      <c r="Z13" s="557"/>
      <c r="AA13" s="557"/>
      <c r="AB13" s="557"/>
      <c r="AC13" s="557"/>
      <c r="AD13" s="558"/>
    </row>
    <row r="14" spans="1:30" x14ac:dyDescent="0.25">
      <c r="A14" s="554"/>
      <c r="B14" s="555">
        <v>12</v>
      </c>
      <c r="C14" s="556">
        <v>12</v>
      </c>
      <c r="D14" s="556">
        <f t="shared" ref="D14:D19" si="0">B14*C14</f>
        <v>144</v>
      </c>
      <c r="E14" s="556">
        <v>4.26</v>
      </c>
      <c r="F14" s="557"/>
      <c r="G14" s="557"/>
      <c r="H14" s="557"/>
      <c r="I14" s="557"/>
      <c r="J14" s="558"/>
      <c r="K14" s="554"/>
      <c r="L14" s="555">
        <v>48</v>
      </c>
      <c r="M14" s="556">
        <v>48</v>
      </c>
      <c r="N14" s="556">
        <f>L14*M14</f>
        <v>2304</v>
      </c>
      <c r="O14" s="556">
        <v>38.86</v>
      </c>
      <c r="P14" s="557"/>
      <c r="Q14" s="557"/>
      <c r="R14" s="557"/>
      <c r="S14" s="557"/>
      <c r="T14" s="558"/>
      <c r="U14" s="554"/>
      <c r="V14" s="555">
        <v>110</v>
      </c>
      <c r="W14" s="556">
        <v>110</v>
      </c>
      <c r="X14" s="556">
        <v>12100</v>
      </c>
      <c r="Y14" s="556">
        <v>211.84</v>
      </c>
      <c r="Z14" s="557"/>
      <c r="AA14" s="557"/>
      <c r="AB14" s="557"/>
      <c r="AC14" s="557"/>
      <c r="AD14" s="558"/>
    </row>
    <row r="15" spans="1:30" x14ac:dyDescent="0.25">
      <c r="A15" s="554"/>
      <c r="B15" s="555">
        <v>36</v>
      </c>
      <c r="C15" s="556">
        <v>24</v>
      </c>
      <c r="D15" s="556">
        <f t="shared" si="0"/>
        <v>864</v>
      </c>
      <c r="E15" s="556">
        <v>13.21</v>
      </c>
      <c r="F15" s="557"/>
      <c r="G15" s="557"/>
      <c r="H15" s="557"/>
      <c r="I15" s="557"/>
      <c r="J15" s="558"/>
      <c r="K15" s="554"/>
      <c r="L15" s="555">
        <v>60</v>
      </c>
      <c r="M15" s="556">
        <v>50</v>
      </c>
      <c r="N15" s="556">
        <f>L15*M15</f>
        <v>3000</v>
      </c>
      <c r="O15" s="556">
        <v>46.08</v>
      </c>
      <c r="P15" s="557"/>
      <c r="Q15" s="557"/>
      <c r="R15" s="557"/>
      <c r="S15" s="557"/>
      <c r="T15" s="558"/>
      <c r="U15" s="554"/>
      <c r="V15" s="555">
        <v>120</v>
      </c>
      <c r="W15" s="556">
        <v>110</v>
      </c>
      <c r="X15" s="556">
        <v>13200</v>
      </c>
      <c r="Y15" s="556">
        <v>234.19</v>
      </c>
      <c r="Z15" s="557"/>
      <c r="AA15" s="557"/>
      <c r="AB15" s="557"/>
      <c r="AC15" s="557"/>
      <c r="AD15" s="558"/>
    </row>
    <row r="16" spans="1:30" x14ac:dyDescent="0.25">
      <c r="A16" s="554"/>
      <c r="B16" s="555">
        <v>48</v>
      </c>
      <c r="C16" s="556">
        <v>30</v>
      </c>
      <c r="D16" s="556">
        <f t="shared" si="0"/>
        <v>1440</v>
      </c>
      <c r="E16" s="556">
        <v>19.41</v>
      </c>
      <c r="F16" s="557"/>
      <c r="G16" s="557"/>
      <c r="H16" s="557"/>
      <c r="I16" s="557"/>
      <c r="J16" s="558"/>
      <c r="K16" s="554"/>
      <c r="L16" s="555">
        <v>72</v>
      </c>
      <c r="M16" s="556">
        <v>72</v>
      </c>
      <c r="N16" s="556">
        <f>L16*M16</f>
        <v>5184</v>
      </c>
      <c r="O16" s="556">
        <v>76.959999999999994</v>
      </c>
      <c r="P16" s="557"/>
      <c r="Q16" s="557"/>
      <c r="R16" s="557"/>
      <c r="S16" s="557"/>
      <c r="T16" s="558"/>
      <c r="U16" s="554"/>
      <c r="V16" s="555">
        <v>130</v>
      </c>
      <c r="W16" s="556">
        <v>115</v>
      </c>
      <c r="X16" s="556">
        <v>14950</v>
      </c>
      <c r="Y16" s="556">
        <v>253.42</v>
      </c>
      <c r="Z16" s="557"/>
      <c r="AA16" s="557"/>
      <c r="AB16" s="557"/>
      <c r="AC16" s="557"/>
      <c r="AD16" s="558"/>
    </row>
    <row r="17" spans="1:30" x14ac:dyDescent="0.25">
      <c r="A17" s="554"/>
      <c r="B17" s="555">
        <v>60</v>
      </c>
      <c r="C17" s="556">
        <v>32</v>
      </c>
      <c r="D17" s="556">
        <f t="shared" si="0"/>
        <v>1920</v>
      </c>
      <c r="E17" s="556">
        <v>24.48</v>
      </c>
      <c r="F17" s="557"/>
      <c r="G17" s="557"/>
      <c r="H17" s="557"/>
      <c r="I17" s="557"/>
      <c r="J17" s="558"/>
      <c r="K17" s="554"/>
      <c r="L17" s="555">
        <v>107.815</v>
      </c>
      <c r="M17" s="556">
        <v>107.815</v>
      </c>
      <c r="N17" s="556">
        <f>L17*M17</f>
        <v>11624.074225</v>
      </c>
      <c r="O17" s="556">
        <v>161.72999999999999</v>
      </c>
      <c r="P17" s="557"/>
      <c r="Q17" s="557"/>
      <c r="R17" s="557"/>
      <c r="S17" s="557"/>
      <c r="T17" s="558"/>
      <c r="U17" s="554"/>
      <c r="V17" s="555">
        <v>150</v>
      </c>
      <c r="W17" s="556">
        <v>115</v>
      </c>
      <c r="X17" s="556">
        <v>17250</v>
      </c>
      <c r="Y17" s="556">
        <v>287.37</v>
      </c>
      <c r="Z17" s="557"/>
      <c r="AA17" s="557"/>
      <c r="AB17" s="557"/>
      <c r="AC17" s="557"/>
      <c r="AD17" s="558"/>
    </row>
    <row r="18" spans="1:30" x14ac:dyDescent="0.25">
      <c r="A18" s="554"/>
      <c r="B18" s="555">
        <v>72</v>
      </c>
      <c r="C18" s="556">
        <v>35.814999999999998</v>
      </c>
      <c r="D18" s="556">
        <f t="shared" si="0"/>
        <v>2578.6799999999998</v>
      </c>
      <c r="E18" s="556">
        <v>31.12</v>
      </c>
      <c r="F18" s="557"/>
      <c r="G18" s="557"/>
      <c r="H18" s="557"/>
      <c r="I18" s="557"/>
      <c r="J18" s="558"/>
      <c r="K18" s="554"/>
      <c r="L18" s="555"/>
      <c r="M18" s="556"/>
      <c r="N18" s="556"/>
      <c r="O18" s="556"/>
      <c r="P18" s="557"/>
      <c r="Q18" s="557"/>
      <c r="R18" s="557"/>
      <c r="S18" s="557"/>
      <c r="T18" s="558"/>
      <c r="U18" s="554"/>
      <c r="V18" s="555">
        <v>180</v>
      </c>
      <c r="W18" s="556">
        <v>120</v>
      </c>
      <c r="X18" s="556">
        <v>21600</v>
      </c>
      <c r="Y18" s="556">
        <v>356.26</v>
      </c>
      <c r="Z18" s="557"/>
      <c r="AA18" s="557"/>
      <c r="AB18" s="557"/>
      <c r="AC18" s="557"/>
      <c r="AD18" s="558"/>
    </row>
    <row r="19" spans="1:30" x14ac:dyDescent="0.25">
      <c r="A19" s="554"/>
      <c r="B19" s="555">
        <v>107.815</v>
      </c>
      <c r="C19" s="556">
        <v>35.814999999999998</v>
      </c>
      <c r="D19" s="556">
        <f t="shared" si="0"/>
        <v>3861.3942249999996</v>
      </c>
      <c r="E19" s="556">
        <v>44.52</v>
      </c>
      <c r="F19" s="557"/>
      <c r="G19" s="557"/>
      <c r="H19" s="557"/>
      <c r="I19" s="557"/>
      <c r="J19" s="558"/>
      <c r="K19" s="554"/>
      <c r="L19" s="555"/>
      <c r="M19" s="556"/>
      <c r="N19" s="556"/>
      <c r="O19" s="556"/>
      <c r="P19" s="557"/>
      <c r="Q19" s="557"/>
      <c r="R19" s="557"/>
      <c r="S19" s="557"/>
      <c r="T19" s="558"/>
      <c r="U19" s="554"/>
      <c r="V19" s="555">
        <v>240</v>
      </c>
      <c r="W19" s="556">
        <v>120</v>
      </c>
      <c r="X19" s="556">
        <v>28800</v>
      </c>
      <c r="Y19" s="556">
        <v>461.76</v>
      </c>
      <c r="Z19" s="557"/>
      <c r="AA19" s="557"/>
      <c r="AB19" s="557"/>
      <c r="AC19" s="557"/>
      <c r="AD19" s="558"/>
    </row>
    <row r="20" spans="1:30" x14ac:dyDescent="0.25">
      <c r="A20" s="554"/>
      <c r="B20" s="555"/>
      <c r="C20" s="556"/>
      <c r="D20" s="556"/>
      <c r="E20" s="556"/>
      <c r="F20" s="557"/>
      <c r="G20" s="557"/>
      <c r="H20" s="557"/>
      <c r="I20" s="557"/>
      <c r="J20" s="558"/>
      <c r="K20" s="554"/>
      <c r="L20" s="555"/>
      <c r="M20" s="556"/>
      <c r="N20" s="556"/>
      <c r="O20" s="556"/>
      <c r="P20" s="557"/>
      <c r="Q20" s="557"/>
      <c r="R20" s="557"/>
      <c r="S20" s="557"/>
      <c r="T20" s="558"/>
      <c r="U20" s="554"/>
      <c r="V20" s="555"/>
      <c r="W20" s="556"/>
      <c r="X20" s="556"/>
      <c r="Y20" s="556"/>
      <c r="Z20" s="557"/>
      <c r="AA20" s="557"/>
      <c r="AB20" s="557"/>
      <c r="AC20" s="557"/>
      <c r="AD20" s="558"/>
    </row>
    <row r="21" spans="1:30" x14ac:dyDescent="0.25">
      <c r="A21" s="554"/>
      <c r="B21" s="555"/>
      <c r="C21" s="556"/>
      <c r="D21" s="556"/>
      <c r="E21" s="556"/>
      <c r="F21" s="557"/>
      <c r="G21" s="557"/>
      <c r="H21" s="557"/>
      <c r="I21" s="557"/>
      <c r="J21" s="558"/>
      <c r="K21" s="554"/>
      <c r="L21" s="555"/>
      <c r="M21" s="556"/>
      <c r="N21" s="556"/>
      <c r="O21" s="556"/>
      <c r="P21" s="557"/>
      <c r="Q21" s="557"/>
      <c r="R21" s="557"/>
      <c r="S21" s="557"/>
      <c r="T21" s="558"/>
      <c r="U21" s="554"/>
      <c r="V21" s="555"/>
      <c r="W21" s="556"/>
      <c r="X21" s="556"/>
      <c r="Y21" s="556"/>
      <c r="Z21" s="557"/>
      <c r="AA21" s="557"/>
      <c r="AB21" s="557"/>
      <c r="AC21" s="557"/>
      <c r="AD21" s="558"/>
    </row>
    <row r="22" spans="1:30" x14ac:dyDescent="0.25">
      <c r="A22" s="567" t="s">
        <v>290</v>
      </c>
      <c r="B22" s="555"/>
      <c r="C22" s="556"/>
      <c r="D22" s="556"/>
      <c r="E22" s="556"/>
      <c r="F22" s="557"/>
      <c r="G22" s="557"/>
      <c r="H22" s="557"/>
      <c r="I22" s="557"/>
      <c r="J22" s="558"/>
      <c r="K22" s="567" t="s">
        <v>290</v>
      </c>
      <c r="L22" s="555"/>
      <c r="M22" s="556"/>
      <c r="N22" s="556"/>
      <c r="O22" s="556"/>
      <c r="P22" s="557"/>
      <c r="Q22" s="557"/>
      <c r="R22" s="557"/>
      <c r="S22" s="557"/>
      <c r="T22" s="558"/>
      <c r="U22" s="567" t="s">
        <v>290</v>
      </c>
      <c r="V22" s="555"/>
      <c r="W22" s="556"/>
      <c r="X22" s="556"/>
      <c r="Y22" s="556"/>
      <c r="Z22" s="557"/>
      <c r="AA22" s="557"/>
      <c r="AB22" s="557"/>
      <c r="AC22" s="557"/>
      <c r="AD22" s="558"/>
    </row>
    <row r="23" spans="1:30" x14ac:dyDescent="0.25">
      <c r="A23" s="554" t="e">
        <f>(0.0107*C4) + 3.53</f>
        <v>#VALUE!</v>
      </c>
      <c r="B23" s="555" t="s">
        <v>141</v>
      </c>
      <c r="C23" s="556"/>
      <c r="D23" s="556"/>
      <c r="E23" s="556"/>
      <c r="F23" s="557"/>
      <c r="G23" s="557"/>
      <c r="H23" s="557"/>
      <c r="I23" s="557"/>
      <c r="J23" s="558"/>
      <c r="K23" s="554" t="e">
        <f>( 0.0133*C4) + 7.5287</f>
        <v>#VALUE!</v>
      </c>
      <c r="L23" s="555" t="s">
        <v>141</v>
      </c>
      <c r="M23" s="556"/>
      <c r="N23" s="556"/>
      <c r="O23" s="556"/>
      <c r="P23" s="557"/>
      <c r="Q23" s="557"/>
      <c r="R23" s="557"/>
      <c r="S23" s="557"/>
      <c r="T23" s="558"/>
      <c r="U23" s="554" t="e">
        <f>(0.0149*C4) + 33.108</f>
        <v>#VALUE!</v>
      </c>
      <c r="V23" s="555" t="s">
        <v>141</v>
      </c>
      <c r="W23" s="556"/>
      <c r="X23" s="556"/>
      <c r="Y23" s="556"/>
      <c r="Z23" s="557"/>
      <c r="AA23" s="557"/>
      <c r="AB23" s="557"/>
      <c r="AC23" s="557"/>
      <c r="AD23" s="558"/>
    </row>
    <row r="24" spans="1:30" ht="15.75" thickBot="1" x14ac:dyDescent="0.3">
      <c r="A24" s="554"/>
      <c r="B24" s="555"/>
      <c r="C24" s="556"/>
      <c r="D24" s="556"/>
      <c r="E24" s="556"/>
      <c r="F24" s="557"/>
      <c r="G24" s="557"/>
      <c r="H24" s="557"/>
      <c r="I24" s="557"/>
      <c r="J24" s="558"/>
      <c r="K24" s="559"/>
      <c r="L24" s="565"/>
      <c r="M24" s="566"/>
      <c r="N24" s="566"/>
      <c r="O24" s="566"/>
      <c r="P24" s="560"/>
      <c r="Q24" s="560"/>
      <c r="R24" s="560"/>
      <c r="S24" s="560"/>
      <c r="T24" s="561"/>
      <c r="U24" s="559"/>
      <c r="V24" s="565"/>
      <c r="W24" s="566"/>
      <c r="X24" s="566"/>
      <c r="Y24" s="566"/>
      <c r="Z24" s="560"/>
      <c r="AA24" s="560"/>
      <c r="AB24" s="560"/>
      <c r="AC24" s="560"/>
      <c r="AD24" s="561"/>
    </row>
    <row r="25" spans="1:30" ht="15.75" x14ac:dyDescent="0.25">
      <c r="A25" s="551"/>
      <c r="B25" s="552" t="s">
        <v>289</v>
      </c>
      <c r="C25" s="553">
        <v>12.25</v>
      </c>
      <c r="D25" s="553"/>
      <c r="E25" s="572"/>
      <c r="F25" s="568"/>
      <c r="G25" s="568"/>
      <c r="H25" s="568"/>
      <c r="I25" s="568"/>
      <c r="J25" s="569"/>
      <c r="K25" s="551"/>
      <c r="L25" s="552" t="s">
        <v>289</v>
      </c>
      <c r="M25" s="553">
        <v>12.25</v>
      </c>
      <c r="N25" s="553"/>
      <c r="O25" s="572"/>
      <c r="P25" s="568"/>
      <c r="Q25" s="568"/>
      <c r="R25" s="568"/>
      <c r="S25" s="568"/>
      <c r="T25" s="569"/>
      <c r="U25" s="551"/>
      <c r="V25" s="552" t="s">
        <v>289</v>
      </c>
      <c r="W25" s="553">
        <v>12.25</v>
      </c>
      <c r="X25" s="553"/>
      <c r="Y25" s="572"/>
      <c r="Z25" s="568"/>
      <c r="AA25" s="568"/>
      <c r="AB25" s="568"/>
      <c r="AC25" s="568"/>
      <c r="AD25" s="569"/>
    </row>
    <row r="26" spans="1:30" x14ac:dyDescent="0.25">
      <c r="A26" s="571"/>
      <c r="B26" s="570" t="s">
        <v>283</v>
      </c>
      <c r="C26" s="564" t="s">
        <v>284</v>
      </c>
      <c r="D26" s="564" t="s">
        <v>282</v>
      </c>
      <c r="E26" s="564" t="s">
        <v>281</v>
      </c>
      <c r="F26" s="557"/>
      <c r="G26" s="557"/>
      <c r="H26" s="557"/>
      <c r="I26" s="557"/>
      <c r="J26" s="558"/>
      <c r="K26" s="571"/>
      <c r="L26" s="570" t="s">
        <v>283</v>
      </c>
      <c r="M26" s="564" t="s">
        <v>284</v>
      </c>
      <c r="N26" s="564" t="s">
        <v>282</v>
      </c>
      <c r="O26" s="564" t="s">
        <v>281</v>
      </c>
      <c r="P26" s="557"/>
      <c r="Q26" s="557"/>
      <c r="R26" s="557"/>
      <c r="S26" s="557"/>
      <c r="T26" s="558"/>
      <c r="U26" s="571"/>
      <c r="V26" s="570" t="s">
        <v>283</v>
      </c>
      <c r="W26" s="564" t="s">
        <v>284</v>
      </c>
      <c r="X26" s="564" t="s">
        <v>282</v>
      </c>
      <c r="Y26" s="564" t="s">
        <v>281</v>
      </c>
      <c r="Z26" s="557"/>
      <c r="AA26" s="557"/>
      <c r="AB26" s="557"/>
      <c r="AC26" s="557"/>
      <c r="AD26" s="558"/>
    </row>
    <row r="27" spans="1:30" x14ac:dyDescent="0.25">
      <c r="A27" s="554"/>
      <c r="B27" s="555">
        <v>12</v>
      </c>
      <c r="C27" s="556">
        <v>12</v>
      </c>
      <c r="D27" s="556">
        <f t="shared" ref="D27:D32" si="1">B27*C27</f>
        <v>144</v>
      </c>
      <c r="E27" s="556">
        <v>5.86</v>
      </c>
      <c r="F27" s="557"/>
      <c r="G27" s="557"/>
      <c r="H27" s="557"/>
      <c r="I27" s="557"/>
      <c r="J27" s="558"/>
      <c r="K27" s="554"/>
      <c r="L27" s="555">
        <v>48</v>
      </c>
      <c r="M27" s="556">
        <v>48</v>
      </c>
      <c r="N27" s="556">
        <f>L27*M27</f>
        <v>2304</v>
      </c>
      <c r="O27" s="556">
        <v>42.81</v>
      </c>
      <c r="P27" s="557"/>
      <c r="Q27" s="557"/>
      <c r="R27" s="557"/>
      <c r="S27" s="557"/>
      <c r="T27" s="558"/>
      <c r="U27" s="554"/>
      <c r="V27" s="555">
        <v>110</v>
      </c>
      <c r="W27" s="556">
        <v>110</v>
      </c>
      <c r="X27" s="556">
        <v>12100</v>
      </c>
      <c r="Y27" s="556">
        <v>221.45</v>
      </c>
      <c r="Z27" s="557"/>
      <c r="AA27" s="557"/>
      <c r="AB27" s="557"/>
      <c r="AC27" s="557"/>
      <c r="AD27" s="558"/>
    </row>
    <row r="28" spans="1:30" x14ac:dyDescent="0.25">
      <c r="A28" s="554"/>
      <c r="B28" s="555">
        <v>36</v>
      </c>
      <c r="C28" s="556">
        <v>24</v>
      </c>
      <c r="D28" s="556">
        <f t="shared" si="1"/>
        <v>864</v>
      </c>
      <c r="E28" s="556">
        <v>15.96</v>
      </c>
      <c r="F28" s="557"/>
      <c r="G28" s="557"/>
      <c r="H28" s="557"/>
      <c r="I28" s="557"/>
      <c r="J28" s="558"/>
      <c r="K28" s="554"/>
      <c r="L28" s="555">
        <v>60</v>
      </c>
      <c r="M28" s="556">
        <v>50</v>
      </c>
      <c r="N28" s="556">
        <f>L28*M28</f>
        <v>3000</v>
      </c>
      <c r="O28" s="556">
        <v>54.32</v>
      </c>
      <c r="P28" s="557"/>
      <c r="Q28" s="557"/>
      <c r="R28" s="557"/>
      <c r="S28" s="557"/>
      <c r="T28" s="558"/>
      <c r="U28" s="554"/>
      <c r="V28" s="555">
        <v>120</v>
      </c>
      <c r="W28" s="556">
        <v>110</v>
      </c>
      <c r="X28" s="556">
        <v>13200</v>
      </c>
      <c r="Y28" s="556">
        <v>244.29</v>
      </c>
      <c r="Z28" s="557"/>
      <c r="AA28" s="557"/>
      <c r="AB28" s="557"/>
      <c r="AC28" s="557"/>
      <c r="AD28" s="558"/>
    </row>
    <row r="29" spans="1:30" x14ac:dyDescent="0.25">
      <c r="A29" s="554"/>
      <c r="B29" s="555">
        <v>48</v>
      </c>
      <c r="C29" s="556">
        <v>30</v>
      </c>
      <c r="D29" s="556">
        <f t="shared" si="1"/>
        <v>1440</v>
      </c>
      <c r="E29" s="556">
        <v>22.73</v>
      </c>
      <c r="F29" s="557"/>
      <c r="G29" s="557"/>
      <c r="H29" s="557"/>
      <c r="I29" s="557"/>
      <c r="J29" s="558"/>
      <c r="K29" s="554"/>
      <c r="L29" s="555">
        <v>72</v>
      </c>
      <c r="M29" s="556">
        <v>72</v>
      </c>
      <c r="N29" s="556">
        <f>L29*M29</f>
        <v>5184</v>
      </c>
      <c r="O29" s="556">
        <v>82.45</v>
      </c>
      <c r="P29" s="557"/>
      <c r="Q29" s="557"/>
      <c r="R29" s="557"/>
      <c r="S29" s="557"/>
      <c r="T29" s="558"/>
      <c r="U29" s="554"/>
      <c r="V29" s="555">
        <v>130</v>
      </c>
      <c r="W29" s="556">
        <v>115</v>
      </c>
      <c r="X29" s="556">
        <v>14950</v>
      </c>
      <c r="Y29" s="556">
        <v>263.89</v>
      </c>
      <c r="Z29" s="557"/>
      <c r="AA29" s="557"/>
      <c r="AB29" s="557"/>
      <c r="AC29" s="557"/>
      <c r="AD29" s="558"/>
    </row>
    <row r="30" spans="1:30" x14ac:dyDescent="0.25">
      <c r="A30" s="554"/>
      <c r="B30" s="555">
        <v>60</v>
      </c>
      <c r="C30" s="556">
        <v>31</v>
      </c>
      <c r="D30" s="556">
        <f t="shared" si="1"/>
        <v>1860</v>
      </c>
      <c r="E30" s="556">
        <v>27.04</v>
      </c>
      <c r="F30" s="557"/>
      <c r="G30" s="557"/>
      <c r="H30" s="557"/>
      <c r="I30" s="557"/>
      <c r="J30" s="558"/>
      <c r="K30" s="554"/>
      <c r="L30" s="555">
        <v>103.815</v>
      </c>
      <c r="M30" s="556">
        <v>103.815</v>
      </c>
      <c r="N30" s="556">
        <f>L30*M30</f>
        <v>10777.554225</v>
      </c>
      <c r="O30" s="556">
        <v>160.06</v>
      </c>
      <c r="P30" s="557"/>
      <c r="Q30" s="557"/>
      <c r="R30" s="557"/>
      <c r="S30" s="557"/>
      <c r="T30" s="558"/>
      <c r="U30" s="554"/>
      <c r="V30" s="555">
        <v>150</v>
      </c>
      <c r="W30" s="556">
        <v>115</v>
      </c>
      <c r="X30" s="556">
        <v>17250</v>
      </c>
      <c r="Y30" s="556">
        <v>311.12</v>
      </c>
      <c r="Z30" s="557"/>
      <c r="AA30" s="557"/>
      <c r="AB30" s="557"/>
      <c r="AC30" s="557"/>
      <c r="AD30" s="558"/>
    </row>
    <row r="31" spans="1:30" x14ac:dyDescent="0.25">
      <c r="A31" s="554"/>
      <c r="B31" s="555">
        <v>72</v>
      </c>
      <c r="C31" s="556">
        <v>31.815000000000001</v>
      </c>
      <c r="D31" s="556">
        <f t="shared" si="1"/>
        <v>2290.6800000000003</v>
      </c>
      <c r="E31" s="556">
        <v>32.619999999999997</v>
      </c>
      <c r="F31" s="557"/>
      <c r="G31" s="557"/>
      <c r="H31" s="557"/>
      <c r="I31" s="557"/>
      <c r="J31" s="558"/>
      <c r="K31" s="554"/>
      <c r="L31" s="555"/>
      <c r="M31" s="556"/>
      <c r="N31" s="556"/>
      <c r="O31" s="556"/>
      <c r="P31" s="557"/>
      <c r="Q31" s="557"/>
      <c r="R31" s="557"/>
      <c r="S31" s="557"/>
      <c r="T31" s="558"/>
      <c r="U31" s="554"/>
      <c r="V31" s="555">
        <v>180</v>
      </c>
      <c r="W31" s="556">
        <v>120</v>
      </c>
      <c r="X31" s="556">
        <v>21600</v>
      </c>
      <c r="Y31" s="556">
        <v>369.13</v>
      </c>
      <c r="Z31" s="557"/>
      <c r="AA31" s="557"/>
      <c r="AB31" s="557"/>
      <c r="AC31" s="557"/>
      <c r="AD31" s="558"/>
    </row>
    <row r="32" spans="1:30" x14ac:dyDescent="0.25">
      <c r="A32" s="554"/>
      <c r="B32" s="555">
        <v>103.815</v>
      </c>
      <c r="C32" s="556">
        <v>31.815000000000001</v>
      </c>
      <c r="D32" s="556">
        <f t="shared" si="1"/>
        <v>3302.874225</v>
      </c>
      <c r="E32" s="556">
        <v>44.52</v>
      </c>
      <c r="F32" s="557"/>
      <c r="G32" s="557"/>
      <c r="H32" s="557"/>
      <c r="I32" s="557"/>
      <c r="J32" s="558"/>
      <c r="K32" s="554"/>
      <c r="L32" s="555"/>
      <c r="M32" s="556"/>
      <c r="N32" s="556"/>
      <c r="O32" s="556"/>
      <c r="P32" s="557"/>
      <c r="Q32" s="557"/>
      <c r="R32" s="557"/>
      <c r="S32" s="557"/>
      <c r="T32" s="558"/>
      <c r="U32" s="554"/>
      <c r="V32" s="555">
        <v>240</v>
      </c>
      <c r="W32" s="556">
        <v>120</v>
      </c>
      <c r="X32" s="556">
        <v>28800</v>
      </c>
      <c r="Y32" s="556">
        <v>489.74</v>
      </c>
      <c r="Z32" s="557"/>
      <c r="AA32" s="557"/>
      <c r="AB32" s="557"/>
      <c r="AC32" s="557"/>
      <c r="AD32" s="558"/>
    </row>
    <row r="33" spans="1:30" x14ac:dyDescent="0.25">
      <c r="A33" s="554"/>
      <c r="B33" s="555"/>
      <c r="C33" s="556"/>
      <c r="D33" s="556"/>
      <c r="E33" s="556"/>
      <c r="F33" s="557"/>
      <c r="G33" s="557"/>
      <c r="H33" s="557"/>
      <c r="I33" s="557"/>
      <c r="J33" s="558"/>
      <c r="K33" s="554"/>
      <c r="L33" s="555"/>
      <c r="M33" s="556"/>
      <c r="N33" s="556"/>
      <c r="O33" s="556"/>
      <c r="P33" s="557"/>
      <c r="Q33" s="557"/>
      <c r="R33" s="557"/>
      <c r="S33" s="557"/>
      <c r="T33" s="558"/>
      <c r="U33" s="554"/>
      <c r="V33" s="555"/>
      <c r="W33" s="556"/>
      <c r="X33" s="556"/>
      <c r="Y33" s="556"/>
      <c r="Z33" s="557"/>
      <c r="AA33" s="557"/>
      <c r="AB33" s="557"/>
      <c r="AC33" s="557"/>
      <c r="AD33" s="558"/>
    </row>
    <row r="34" spans="1:30" x14ac:dyDescent="0.25">
      <c r="A34" s="567" t="s">
        <v>290</v>
      </c>
      <c r="B34" s="555"/>
      <c r="C34" s="556"/>
      <c r="D34" s="556"/>
      <c r="E34" s="556"/>
      <c r="F34" s="557"/>
      <c r="G34" s="557"/>
      <c r="H34" s="557"/>
      <c r="I34" s="557"/>
      <c r="J34" s="558"/>
      <c r="K34" s="567" t="s">
        <v>290</v>
      </c>
      <c r="L34" s="555"/>
      <c r="M34" s="556"/>
      <c r="N34" s="556"/>
      <c r="O34" s="556"/>
      <c r="P34" s="557"/>
      <c r="Q34" s="557"/>
      <c r="R34" s="557"/>
      <c r="S34" s="557"/>
      <c r="T34" s="558"/>
      <c r="U34" s="567" t="s">
        <v>290</v>
      </c>
      <c r="V34" s="555"/>
      <c r="W34" s="556"/>
      <c r="X34" s="556"/>
      <c r="Y34" s="556"/>
      <c r="Z34" s="557"/>
      <c r="AA34" s="557"/>
      <c r="AB34" s="557"/>
      <c r="AC34" s="557"/>
      <c r="AD34" s="558"/>
    </row>
    <row r="35" spans="1:30" x14ac:dyDescent="0.25">
      <c r="A35" s="554" t="e">
        <f>( 0.0121*C4) + 4.8277</f>
        <v>#VALUE!</v>
      </c>
      <c r="B35" s="555" t="s">
        <v>141</v>
      </c>
      <c r="C35" s="556"/>
      <c r="D35" s="556"/>
      <c r="E35" s="556"/>
      <c r="F35" s="557"/>
      <c r="G35" s="557"/>
      <c r="H35" s="557"/>
      <c r="I35" s="557"/>
      <c r="J35" s="558"/>
      <c r="K35" s="554" t="e">
        <f>(0.0137*C4) +11.866</f>
        <v>#VALUE!</v>
      </c>
      <c r="L35" s="555" t="s">
        <v>141</v>
      </c>
      <c r="M35" s="556"/>
      <c r="N35" s="556"/>
      <c r="O35" s="556"/>
      <c r="P35" s="557"/>
      <c r="Q35" s="557"/>
      <c r="R35" s="557"/>
      <c r="S35" s="557"/>
      <c r="T35" s="558"/>
      <c r="U35" s="554" t="e">
        <f>(0.0159*C4) + 31.116</f>
        <v>#VALUE!</v>
      </c>
      <c r="V35" s="555" t="s">
        <v>141</v>
      </c>
      <c r="W35" s="556"/>
      <c r="X35" s="556"/>
      <c r="Y35" s="556"/>
      <c r="Z35" s="557"/>
      <c r="AA35" s="557"/>
      <c r="AB35" s="557"/>
      <c r="AC35" s="557"/>
      <c r="AD35" s="558"/>
    </row>
    <row r="36" spans="1:30" x14ac:dyDescent="0.25">
      <c r="A36" s="554"/>
      <c r="B36" s="555"/>
      <c r="C36" s="556"/>
      <c r="D36" s="556"/>
      <c r="E36" s="556"/>
      <c r="F36" s="557"/>
      <c r="G36" s="557"/>
      <c r="H36" s="557"/>
      <c r="I36" s="557"/>
      <c r="J36" s="558"/>
      <c r="K36" s="554"/>
      <c r="L36" s="555"/>
      <c r="M36" s="556"/>
      <c r="N36" s="556"/>
      <c r="O36" s="556"/>
      <c r="P36" s="557"/>
      <c r="Q36" s="557"/>
      <c r="R36" s="557"/>
      <c r="S36" s="557"/>
      <c r="T36" s="558"/>
      <c r="U36" s="554"/>
      <c r="V36" s="555"/>
      <c r="W36" s="556"/>
      <c r="X36" s="556"/>
      <c r="Y36" s="556"/>
      <c r="Z36" s="557"/>
      <c r="AA36" s="557"/>
      <c r="AB36" s="557"/>
      <c r="AC36" s="557"/>
      <c r="AD36" s="558"/>
    </row>
    <row r="37" spans="1:30" ht="15.75" thickBot="1" x14ac:dyDescent="0.3">
      <c r="A37" s="559"/>
      <c r="B37" s="565"/>
      <c r="C37" s="566"/>
      <c r="D37" s="566"/>
      <c r="E37" s="566"/>
      <c r="F37" s="560"/>
      <c r="G37" s="560"/>
      <c r="H37" s="560"/>
      <c r="I37" s="560"/>
      <c r="J37" s="561"/>
      <c r="K37" s="559"/>
      <c r="L37" s="565"/>
      <c r="M37" s="566"/>
      <c r="N37" s="566"/>
      <c r="O37" s="566"/>
      <c r="P37" s="560"/>
      <c r="Q37" s="560"/>
      <c r="R37" s="560"/>
      <c r="S37" s="560"/>
      <c r="T37" s="561"/>
      <c r="U37" s="559"/>
      <c r="V37" s="565"/>
      <c r="W37" s="566"/>
      <c r="X37" s="566"/>
      <c r="Y37" s="566"/>
      <c r="Z37" s="560"/>
      <c r="AA37" s="560"/>
      <c r="AB37" s="560"/>
      <c r="AC37" s="560"/>
      <c r="AD37" s="561"/>
    </row>
    <row r="38" spans="1:30" ht="15.75" x14ac:dyDescent="0.25">
      <c r="A38" s="551"/>
      <c r="B38" s="552" t="s">
        <v>289</v>
      </c>
      <c r="C38" s="553">
        <v>7.0880000000000001</v>
      </c>
      <c r="D38" s="553"/>
      <c r="E38" s="572"/>
      <c r="F38" s="568"/>
      <c r="G38" s="568"/>
      <c r="H38" s="568"/>
      <c r="I38" s="568"/>
      <c r="J38" s="569"/>
      <c r="K38" s="551"/>
      <c r="L38" s="552" t="s">
        <v>289</v>
      </c>
      <c r="M38" s="553">
        <v>7.0880000000000001</v>
      </c>
      <c r="N38" s="553"/>
      <c r="O38" s="572"/>
      <c r="P38" s="568"/>
      <c r="Q38" s="568"/>
      <c r="R38" s="568"/>
      <c r="S38" s="568"/>
      <c r="T38" s="569"/>
      <c r="U38" s="551"/>
      <c r="V38" s="552" t="s">
        <v>289</v>
      </c>
      <c r="W38" s="553">
        <v>7.0880000000000001</v>
      </c>
      <c r="X38" s="553"/>
      <c r="Y38" s="572"/>
      <c r="Z38" s="568"/>
      <c r="AA38" s="568"/>
      <c r="AB38" s="568"/>
      <c r="AC38" s="568"/>
      <c r="AD38" s="569"/>
    </row>
    <row r="39" spans="1:30" x14ac:dyDescent="0.25">
      <c r="A39" s="571"/>
      <c r="B39" s="570" t="s">
        <v>283</v>
      </c>
      <c r="C39" s="564" t="s">
        <v>284</v>
      </c>
      <c r="D39" s="564" t="s">
        <v>282</v>
      </c>
      <c r="E39" s="564" t="s">
        <v>281</v>
      </c>
      <c r="F39" s="557"/>
      <c r="G39" s="557"/>
      <c r="H39" s="557"/>
      <c r="I39" s="557"/>
      <c r="J39" s="558"/>
      <c r="K39" s="571"/>
      <c r="L39" s="570" t="s">
        <v>283</v>
      </c>
      <c r="M39" s="564" t="s">
        <v>284</v>
      </c>
      <c r="N39" s="564" t="s">
        <v>282</v>
      </c>
      <c r="O39" s="564" t="s">
        <v>281</v>
      </c>
      <c r="P39" s="557"/>
      <c r="Q39" s="557"/>
      <c r="R39" s="557"/>
      <c r="S39" s="557"/>
      <c r="T39" s="558"/>
      <c r="U39" s="571"/>
      <c r="V39" s="570" t="s">
        <v>283</v>
      </c>
      <c r="W39" s="564" t="s">
        <v>284</v>
      </c>
      <c r="X39" s="564" t="s">
        <v>282</v>
      </c>
      <c r="Y39" s="564" t="s">
        <v>281</v>
      </c>
      <c r="Z39" s="557"/>
      <c r="AA39" s="557"/>
      <c r="AB39" s="557"/>
      <c r="AC39" s="557"/>
      <c r="AD39" s="558"/>
    </row>
    <row r="40" spans="1:30" x14ac:dyDescent="0.25">
      <c r="A40" s="554"/>
      <c r="B40" s="555">
        <v>12</v>
      </c>
      <c r="C40" s="556">
        <v>12</v>
      </c>
      <c r="D40" s="556">
        <f t="shared" ref="D40:D45" si="2">B40*C40</f>
        <v>144</v>
      </c>
      <c r="E40" s="556">
        <v>3.84</v>
      </c>
      <c r="F40" s="557"/>
      <c r="G40" s="557"/>
      <c r="H40" s="557"/>
      <c r="I40" s="557"/>
      <c r="J40" s="558"/>
      <c r="K40" s="554"/>
      <c r="L40" s="555">
        <v>48</v>
      </c>
      <c r="M40" s="556">
        <v>48</v>
      </c>
      <c r="N40" s="556">
        <f>L40*M40</f>
        <v>2304</v>
      </c>
      <c r="O40" s="556">
        <v>37.76</v>
      </c>
      <c r="P40" s="557"/>
      <c r="Q40" s="557"/>
      <c r="R40" s="557"/>
      <c r="S40" s="557"/>
      <c r="T40" s="558"/>
      <c r="U40" s="554"/>
      <c r="V40" s="555">
        <v>110</v>
      </c>
      <c r="W40" s="556">
        <v>110</v>
      </c>
      <c r="X40" s="556">
        <v>12100</v>
      </c>
      <c r="Y40" s="556">
        <v>209.12</v>
      </c>
      <c r="Z40" s="557"/>
      <c r="AA40" s="557"/>
      <c r="AB40" s="557"/>
      <c r="AC40" s="557"/>
      <c r="AD40" s="558"/>
    </row>
    <row r="41" spans="1:30" x14ac:dyDescent="0.25">
      <c r="A41" s="554"/>
      <c r="B41" s="555">
        <v>36</v>
      </c>
      <c r="C41" s="556">
        <v>24</v>
      </c>
      <c r="D41" s="556">
        <f t="shared" si="2"/>
        <v>864</v>
      </c>
      <c r="E41" s="556">
        <v>12.46</v>
      </c>
      <c r="F41" s="557"/>
      <c r="G41" s="557"/>
      <c r="H41" s="557"/>
      <c r="I41" s="557"/>
      <c r="J41" s="558"/>
      <c r="K41" s="554"/>
      <c r="L41" s="555">
        <v>60</v>
      </c>
      <c r="M41" s="556">
        <v>50</v>
      </c>
      <c r="N41" s="556">
        <f>L41*M41</f>
        <v>3000</v>
      </c>
      <c r="O41" s="556">
        <v>44.85</v>
      </c>
      <c r="P41" s="557"/>
      <c r="Q41" s="557"/>
      <c r="R41" s="557"/>
      <c r="S41" s="557"/>
      <c r="T41" s="558"/>
      <c r="U41" s="554"/>
      <c r="V41" s="555">
        <v>120</v>
      </c>
      <c r="W41" s="556">
        <v>110</v>
      </c>
      <c r="X41" s="556">
        <v>13200</v>
      </c>
      <c r="Y41" s="556">
        <v>231.33</v>
      </c>
      <c r="Z41" s="557"/>
      <c r="AA41" s="557"/>
      <c r="AB41" s="557"/>
      <c r="AC41" s="557"/>
      <c r="AD41" s="558"/>
    </row>
    <row r="42" spans="1:30" x14ac:dyDescent="0.25">
      <c r="A42" s="554"/>
      <c r="B42" s="555">
        <v>48</v>
      </c>
      <c r="C42" s="556">
        <v>30</v>
      </c>
      <c r="D42" s="556">
        <f t="shared" si="2"/>
        <v>1440</v>
      </c>
      <c r="E42" s="556">
        <v>18.48</v>
      </c>
      <c r="F42" s="557"/>
      <c r="G42" s="557"/>
      <c r="H42" s="557"/>
      <c r="I42" s="557"/>
      <c r="J42" s="558"/>
      <c r="K42" s="554"/>
      <c r="L42" s="555">
        <v>72</v>
      </c>
      <c r="M42" s="556">
        <v>72</v>
      </c>
      <c r="N42" s="556">
        <f>L42*M42</f>
        <v>5184</v>
      </c>
      <c r="O42" s="556">
        <v>75.41</v>
      </c>
      <c r="P42" s="557"/>
      <c r="Q42" s="557"/>
      <c r="R42" s="557"/>
      <c r="S42" s="557"/>
      <c r="T42" s="558"/>
      <c r="U42" s="554"/>
      <c r="V42" s="555">
        <v>130</v>
      </c>
      <c r="W42" s="556">
        <v>115</v>
      </c>
      <c r="X42" s="556">
        <v>14950</v>
      </c>
      <c r="Y42" s="556">
        <v>250.35</v>
      </c>
      <c r="Z42" s="557"/>
      <c r="AA42" s="557"/>
      <c r="AB42" s="557"/>
      <c r="AC42" s="557"/>
      <c r="AD42" s="558"/>
    </row>
    <row r="43" spans="1:30" x14ac:dyDescent="0.25">
      <c r="A43" s="554"/>
      <c r="B43" s="555">
        <v>60</v>
      </c>
      <c r="C43" s="556">
        <v>32</v>
      </c>
      <c r="D43" s="556">
        <f t="shared" si="2"/>
        <v>1920</v>
      </c>
      <c r="E43" s="556">
        <v>23.43</v>
      </c>
      <c r="F43" s="557"/>
      <c r="G43" s="557"/>
      <c r="H43" s="557"/>
      <c r="I43" s="557"/>
      <c r="J43" s="558"/>
      <c r="K43" s="554"/>
      <c r="L43" s="555">
        <v>108.977</v>
      </c>
      <c r="M43" s="556">
        <v>108.977</v>
      </c>
      <c r="N43" s="556">
        <f>L43*M43</f>
        <v>11875.986529000002</v>
      </c>
      <c r="O43" s="556">
        <v>162.22</v>
      </c>
      <c r="P43" s="557"/>
      <c r="Q43" s="557"/>
      <c r="R43" s="557"/>
      <c r="S43" s="557"/>
      <c r="T43" s="558"/>
      <c r="U43" s="554"/>
      <c r="V43" s="555">
        <v>150</v>
      </c>
      <c r="W43" s="556">
        <v>115</v>
      </c>
      <c r="X43" s="556">
        <v>17250</v>
      </c>
      <c r="Y43" s="556">
        <v>284.07</v>
      </c>
      <c r="Z43" s="557"/>
      <c r="AA43" s="557"/>
      <c r="AB43" s="557"/>
      <c r="AC43" s="557"/>
      <c r="AD43" s="558"/>
    </row>
    <row r="44" spans="1:30" x14ac:dyDescent="0.25">
      <c r="A44" s="554"/>
      <c r="B44" s="555">
        <v>72</v>
      </c>
      <c r="C44" s="556">
        <v>34</v>
      </c>
      <c r="D44" s="556">
        <f t="shared" si="2"/>
        <v>2448</v>
      </c>
      <c r="E44" s="556">
        <v>28.75</v>
      </c>
      <c r="F44" s="557"/>
      <c r="G44" s="557"/>
      <c r="H44" s="557"/>
      <c r="I44" s="557"/>
      <c r="J44" s="558"/>
      <c r="K44" s="554"/>
      <c r="L44" s="555"/>
      <c r="M44" s="556"/>
      <c r="N44" s="556"/>
      <c r="O44" s="556"/>
      <c r="P44" s="557"/>
      <c r="Q44" s="557"/>
      <c r="R44" s="557"/>
      <c r="S44" s="557"/>
      <c r="T44" s="558"/>
      <c r="U44" s="554"/>
      <c r="V44" s="555">
        <v>180</v>
      </c>
      <c r="W44" s="556">
        <v>120</v>
      </c>
      <c r="X44" s="556">
        <v>21600</v>
      </c>
      <c r="Y44" s="556">
        <v>352.61</v>
      </c>
      <c r="Z44" s="557"/>
      <c r="AA44" s="557"/>
      <c r="AB44" s="557"/>
      <c r="AC44" s="557"/>
      <c r="AD44" s="558"/>
    </row>
    <row r="45" spans="1:30" x14ac:dyDescent="0.25">
      <c r="A45" s="554"/>
      <c r="B45" s="555">
        <v>108.977</v>
      </c>
      <c r="C45" s="556">
        <v>36.976999999999997</v>
      </c>
      <c r="D45" s="556">
        <f t="shared" si="2"/>
        <v>4029.6425289999997</v>
      </c>
      <c r="E45" s="556">
        <v>44.52</v>
      </c>
      <c r="F45" s="557"/>
      <c r="G45" s="557"/>
      <c r="H45" s="557"/>
      <c r="I45" s="557"/>
      <c r="J45" s="558"/>
      <c r="K45" s="554"/>
      <c r="L45" s="555"/>
      <c r="M45" s="556"/>
      <c r="N45" s="556"/>
      <c r="O45" s="556"/>
      <c r="P45" s="557"/>
      <c r="Q45" s="557"/>
      <c r="R45" s="557"/>
      <c r="S45" s="557"/>
      <c r="T45" s="558"/>
      <c r="U45" s="554"/>
      <c r="V45" s="555">
        <v>240</v>
      </c>
      <c r="W45" s="556">
        <v>120</v>
      </c>
      <c r="X45" s="556">
        <v>28800</v>
      </c>
      <c r="Y45" s="556">
        <v>457.41</v>
      </c>
      <c r="Z45" s="557"/>
      <c r="AA45" s="557"/>
      <c r="AB45" s="557"/>
      <c r="AC45" s="557"/>
      <c r="AD45" s="558"/>
    </row>
    <row r="46" spans="1:30" x14ac:dyDescent="0.25">
      <c r="A46" s="554"/>
      <c r="B46" s="555"/>
      <c r="C46" s="556"/>
      <c r="D46" s="556"/>
      <c r="E46" s="556"/>
      <c r="F46" s="557"/>
      <c r="G46" s="557"/>
      <c r="H46" s="557"/>
      <c r="I46" s="557"/>
      <c r="J46" s="558"/>
      <c r="K46" s="554"/>
      <c r="L46" s="555"/>
      <c r="M46" s="556"/>
      <c r="N46" s="556"/>
      <c r="O46" s="556"/>
      <c r="P46" s="557"/>
      <c r="Q46" s="557"/>
      <c r="R46" s="557"/>
      <c r="S46" s="557"/>
      <c r="T46" s="558"/>
      <c r="U46" s="554"/>
      <c r="V46" s="555"/>
      <c r="W46" s="556"/>
      <c r="X46" s="556"/>
      <c r="Y46" s="556"/>
      <c r="Z46" s="557"/>
      <c r="AA46" s="557"/>
      <c r="AB46" s="557"/>
      <c r="AC46" s="557"/>
      <c r="AD46" s="558"/>
    </row>
    <row r="47" spans="1:30" x14ac:dyDescent="0.25">
      <c r="A47" s="567" t="s">
        <v>290</v>
      </c>
      <c r="B47" s="555"/>
      <c r="C47" s="556"/>
      <c r="D47" s="556"/>
      <c r="E47" s="556"/>
      <c r="F47" s="557"/>
      <c r="G47" s="557"/>
      <c r="H47" s="557"/>
      <c r="I47" s="557"/>
      <c r="J47" s="558"/>
      <c r="K47" s="567" t="s">
        <v>290</v>
      </c>
      <c r="L47" s="555"/>
      <c r="M47" s="556"/>
      <c r="N47" s="556"/>
      <c r="O47" s="556"/>
      <c r="P47" s="557"/>
      <c r="Q47" s="557"/>
      <c r="R47" s="557"/>
      <c r="S47" s="557"/>
      <c r="T47" s="558"/>
      <c r="U47" s="567" t="s">
        <v>290</v>
      </c>
      <c r="V47" s="555"/>
      <c r="W47" s="556"/>
      <c r="X47" s="556"/>
      <c r="Y47" s="556"/>
      <c r="Z47" s="557"/>
      <c r="AA47" s="557"/>
      <c r="AB47" s="557"/>
      <c r="AC47" s="557"/>
      <c r="AD47" s="558"/>
    </row>
    <row r="48" spans="1:30" x14ac:dyDescent="0.25">
      <c r="A48" s="554" t="e">
        <f>( 0.0104*C4) +  3.1465</f>
        <v>#VALUE!</v>
      </c>
      <c r="B48" s="555" t="s">
        <v>141</v>
      </c>
      <c r="C48" s="556"/>
      <c r="D48" s="556"/>
      <c r="E48" s="556"/>
      <c r="F48" s="557"/>
      <c r="G48" s="557"/>
      <c r="H48" s="557"/>
      <c r="I48" s="557"/>
      <c r="J48" s="558"/>
      <c r="K48" s="554" t="e">
        <f>(0.0131*C4) + 6.8745</f>
        <v>#VALUE!</v>
      </c>
      <c r="L48" s="555" t="s">
        <v>141</v>
      </c>
      <c r="M48" s="556"/>
      <c r="N48" s="556"/>
      <c r="O48" s="556"/>
      <c r="P48" s="557"/>
      <c r="Q48" s="557"/>
      <c r="R48" s="557"/>
      <c r="S48" s="557"/>
      <c r="T48" s="558"/>
      <c r="U48" s="554" t="e">
        <f>(0.0148*C4) + 31.499</f>
        <v>#VALUE!</v>
      </c>
      <c r="V48" s="555" t="s">
        <v>141</v>
      </c>
      <c r="W48" s="556"/>
      <c r="X48" s="556"/>
      <c r="Y48" s="556"/>
      <c r="Z48" s="557"/>
      <c r="AA48" s="557"/>
      <c r="AB48" s="557"/>
      <c r="AC48" s="557"/>
      <c r="AD48" s="558"/>
    </row>
    <row r="49" spans="1:30" x14ac:dyDescent="0.25">
      <c r="A49" s="554"/>
      <c r="B49" s="555"/>
      <c r="C49" s="556"/>
      <c r="D49" s="556"/>
      <c r="E49" s="556"/>
      <c r="F49" s="557"/>
      <c r="G49" s="557"/>
      <c r="H49" s="557"/>
      <c r="I49" s="557"/>
      <c r="J49" s="558"/>
      <c r="K49" s="554"/>
      <c r="L49" s="555"/>
      <c r="M49" s="556"/>
      <c r="N49" s="556"/>
      <c r="O49" s="556"/>
      <c r="P49" s="557"/>
      <c r="Q49" s="557"/>
      <c r="R49" s="557"/>
      <c r="S49" s="557"/>
      <c r="T49" s="558"/>
      <c r="U49" s="554"/>
      <c r="V49" s="555"/>
      <c r="W49" s="556"/>
      <c r="X49" s="556"/>
      <c r="Y49" s="556"/>
      <c r="Z49" s="557"/>
      <c r="AA49" s="557"/>
      <c r="AB49" s="557"/>
      <c r="AC49" s="557"/>
      <c r="AD49" s="558"/>
    </row>
    <row r="50" spans="1:30" x14ac:dyDescent="0.25">
      <c r="A50" s="554"/>
      <c r="B50" s="555"/>
      <c r="C50" s="556"/>
      <c r="D50" s="556"/>
      <c r="E50" s="556"/>
      <c r="F50" s="557"/>
      <c r="G50" s="557"/>
      <c r="H50" s="557"/>
      <c r="I50" s="557"/>
      <c r="J50" s="558"/>
      <c r="K50" s="554"/>
      <c r="L50" s="555"/>
      <c r="M50" s="556"/>
      <c r="N50" s="556"/>
      <c r="O50" s="556"/>
      <c r="P50" s="557"/>
      <c r="Q50" s="557"/>
      <c r="R50" s="557"/>
      <c r="S50" s="557"/>
      <c r="T50" s="558"/>
      <c r="U50" s="554"/>
      <c r="V50" s="555"/>
      <c r="W50" s="556"/>
      <c r="X50" s="556"/>
      <c r="Y50" s="556"/>
      <c r="Z50" s="557"/>
      <c r="AA50" s="557"/>
      <c r="AB50" s="557"/>
      <c r="AC50" s="557"/>
      <c r="AD50" s="558"/>
    </row>
    <row r="51" spans="1:30" ht="15.75" thickBot="1" x14ac:dyDescent="0.3">
      <c r="A51" s="559"/>
      <c r="B51" s="565"/>
      <c r="C51" s="566"/>
      <c r="D51" s="566"/>
      <c r="E51" s="566"/>
      <c r="F51" s="560"/>
      <c r="G51" s="560"/>
      <c r="H51" s="560"/>
      <c r="I51" s="560"/>
      <c r="J51" s="561"/>
      <c r="K51" s="559"/>
      <c r="L51" s="565"/>
      <c r="M51" s="566"/>
      <c r="N51" s="566"/>
      <c r="O51" s="566"/>
      <c r="P51" s="560"/>
      <c r="Q51" s="560"/>
      <c r="R51" s="560"/>
      <c r="S51" s="560"/>
      <c r="T51" s="561"/>
      <c r="U51" s="559"/>
      <c r="V51" s="565"/>
      <c r="W51" s="566"/>
      <c r="X51" s="566"/>
      <c r="Y51" s="566"/>
      <c r="Z51" s="560"/>
      <c r="AA51" s="560"/>
      <c r="AB51" s="560"/>
      <c r="AC51" s="560"/>
      <c r="AD51" s="56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election activeCell="T39" sqref="T39"/>
    </sheetView>
  </sheetViews>
  <sheetFormatPr defaultRowHeight="15" x14ac:dyDescent="0.25"/>
  <cols>
    <col min="1" max="1" width="13.140625" customWidth="1"/>
    <col min="2" max="2" width="16.28515625" customWidth="1"/>
    <col min="3" max="3" width="13" customWidth="1"/>
    <col min="4" max="4" width="15" customWidth="1"/>
    <col min="5" max="5" width="12.140625" customWidth="1"/>
    <col min="9" max="9" width="15.140625" customWidth="1"/>
    <col min="10" max="10" width="12.28515625" customWidth="1"/>
    <col min="11" max="12" width="10.42578125" customWidth="1"/>
  </cols>
  <sheetData>
    <row r="1" spans="1:14" ht="24" thickBot="1" x14ac:dyDescent="0.4">
      <c r="A1" s="533" t="s">
        <v>274</v>
      </c>
      <c r="B1" s="460"/>
      <c r="C1" s="460"/>
      <c r="D1" s="460"/>
      <c r="E1" s="460"/>
      <c r="F1" s="460"/>
      <c r="G1" s="460"/>
      <c r="H1" s="189"/>
      <c r="I1" s="189"/>
      <c r="J1" s="421" t="s">
        <v>275</v>
      </c>
      <c r="K1" s="189"/>
      <c r="L1" s="189"/>
      <c r="M1" s="189"/>
      <c r="N1" s="190"/>
    </row>
    <row r="2" spans="1:14" ht="15.75" x14ac:dyDescent="0.25">
      <c r="A2" s="535" t="s">
        <v>277</v>
      </c>
      <c r="B2" s="536" t="s">
        <v>278</v>
      </c>
      <c r="C2" s="189" t="str">
        <f>IF('DATA ENTRY'!B9="mm",'DATA ENTRY'!B10/25.4,'DATA ENTRY'!B10)</f>
        <v>ENTER LENGTH</v>
      </c>
      <c r="D2" s="189" t="s">
        <v>151</v>
      </c>
      <c r="E2" s="189"/>
      <c r="F2" s="189"/>
      <c r="G2" s="189"/>
      <c r="H2" s="417"/>
      <c r="I2" s="536" t="s">
        <v>280</v>
      </c>
      <c r="J2" s="197" t="s">
        <v>267</v>
      </c>
      <c r="K2" s="189">
        <v>0</v>
      </c>
      <c r="L2" s="189" t="s">
        <v>141</v>
      </c>
      <c r="M2" s="189"/>
      <c r="N2" s="190"/>
    </row>
    <row r="3" spans="1:14" ht="15.75" x14ac:dyDescent="0.25">
      <c r="A3" s="41"/>
      <c r="B3" s="531" t="s">
        <v>279</v>
      </c>
      <c r="C3" s="40" t="str">
        <f>IF('DATA ENTRY'!B9="mm",'DATA ENTRY'!B11/25.4,'DATA ENTRY'!B11)</f>
        <v>ENTER WIDTH</v>
      </c>
      <c r="D3" s="40" t="s">
        <v>151</v>
      </c>
      <c r="E3" s="40"/>
      <c r="F3" s="40"/>
      <c r="G3" s="40"/>
      <c r="H3" s="41"/>
      <c r="I3" s="40"/>
      <c r="J3" s="422" t="s">
        <v>434</v>
      </c>
      <c r="K3" s="40" t="e">
        <f>L9</f>
        <v>#VALUE!</v>
      </c>
      <c r="L3" s="40" t="s">
        <v>141</v>
      </c>
      <c r="M3" s="40"/>
      <c r="N3" s="169"/>
    </row>
    <row r="4" spans="1:14" ht="15.75" x14ac:dyDescent="0.25">
      <c r="A4" s="41"/>
      <c r="B4" s="531" t="s">
        <v>150</v>
      </c>
      <c r="C4" s="40" t="e">
        <f>(C2*2)+(C3*2)</f>
        <v>#VALUE!</v>
      </c>
      <c r="D4" s="40" t="s">
        <v>151</v>
      </c>
      <c r="E4" s="40" t="s">
        <v>383</v>
      </c>
      <c r="F4" s="40"/>
      <c r="G4" s="40"/>
      <c r="H4" s="41"/>
      <c r="I4" s="40"/>
      <c r="J4" s="422" t="s">
        <v>268</v>
      </c>
      <c r="K4" s="40" t="e">
        <f>L26</f>
        <v>#VALUE!</v>
      </c>
      <c r="L4" s="40" t="s">
        <v>141</v>
      </c>
      <c r="M4" s="40"/>
      <c r="N4" s="169"/>
    </row>
    <row r="5" spans="1:14" ht="15.75" x14ac:dyDescent="0.25">
      <c r="A5" s="41"/>
      <c r="B5" s="531" t="s">
        <v>382</v>
      </c>
      <c r="C5" s="40" t="s">
        <v>384</v>
      </c>
      <c r="D5" s="40"/>
      <c r="E5" s="40"/>
      <c r="F5" s="40"/>
      <c r="G5" s="40"/>
      <c r="H5" s="41"/>
      <c r="I5" s="40"/>
      <c r="J5" s="422" t="s">
        <v>269</v>
      </c>
      <c r="K5" s="40" t="e">
        <f>L43</f>
        <v>#VALUE!</v>
      </c>
      <c r="L5" s="40" t="s">
        <v>141</v>
      </c>
      <c r="M5" s="40"/>
      <c r="N5" s="169"/>
    </row>
    <row r="6" spans="1:14" ht="16.5" thickBot="1" x14ac:dyDescent="0.3">
      <c r="A6" s="41"/>
      <c r="B6" s="531"/>
      <c r="C6" s="40"/>
      <c r="D6" s="40"/>
      <c r="E6" s="40"/>
      <c r="F6" s="40"/>
      <c r="G6" s="40"/>
      <c r="H6" s="42"/>
      <c r="I6" s="43"/>
      <c r="J6" s="43"/>
      <c r="K6" s="43"/>
      <c r="L6" s="43"/>
      <c r="M6" s="43"/>
      <c r="N6" s="170"/>
    </row>
    <row r="7" spans="1:14" ht="15.75" x14ac:dyDescent="0.25">
      <c r="A7" s="541" t="s">
        <v>276</v>
      </c>
      <c r="B7" s="537" t="s">
        <v>435</v>
      </c>
      <c r="C7" s="537"/>
      <c r="D7" s="537"/>
      <c r="E7" s="537"/>
      <c r="F7" s="538"/>
      <c r="G7" s="538"/>
      <c r="H7" s="539"/>
      <c r="I7" s="538"/>
      <c r="J7" s="538"/>
      <c r="K7" s="538"/>
      <c r="L7" s="538"/>
      <c r="M7" s="538"/>
      <c r="N7" s="540"/>
    </row>
    <row r="8" spans="1:14" x14ac:dyDescent="0.25">
      <c r="A8" s="41"/>
      <c r="B8" s="543" t="s">
        <v>283</v>
      </c>
      <c r="C8" s="544" t="s">
        <v>284</v>
      </c>
      <c r="D8" s="544" t="s">
        <v>287</v>
      </c>
      <c r="E8" s="545" t="s">
        <v>281</v>
      </c>
      <c r="F8" s="40"/>
      <c r="G8" s="40"/>
      <c r="H8" s="40"/>
      <c r="I8" s="40"/>
      <c r="J8" s="40"/>
      <c r="K8" s="40"/>
      <c r="L8" s="423" t="s">
        <v>285</v>
      </c>
      <c r="M8" s="40"/>
      <c r="N8" s="169"/>
    </row>
    <row r="9" spans="1:14" x14ac:dyDescent="0.25">
      <c r="A9" s="41"/>
      <c r="B9" s="404">
        <v>18</v>
      </c>
      <c r="C9" s="546">
        <v>18</v>
      </c>
      <c r="D9" s="546">
        <f>(B9*2)+(C9*2)</f>
        <v>72</v>
      </c>
      <c r="E9" s="547">
        <v>50.16</v>
      </c>
      <c r="F9" s="40"/>
      <c r="G9" s="40"/>
      <c r="H9" s="40"/>
      <c r="I9" s="40"/>
      <c r="J9" s="40"/>
      <c r="K9" s="40"/>
      <c r="L9" s="40" t="e">
        <f xml:space="preserve"> ((0.4146*C4) + 20.308)*1.1</f>
        <v>#VALUE!</v>
      </c>
      <c r="M9" s="40" t="s">
        <v>141</v>
      </c>
      <c r="N9" s="169"/>
    </row>
    <row r="10" spans="1:14" x14ac:dyDescent="0.25">
      <c r="A10" s="41"/>
      <c r="B10" s="404">
        <v>24</v>
      </c>
      <c r="C10" s="546">
        <v>24</v>
      </c>
      <c r="D10" s="546">
        <f t="shared" ref="D10:D19" si="0">(B10*2)+(C10*2)</f>
        <v>96</v>
      </c>
      <c r="E10" s="547">
        <v>60.11</v>
      </c>
      <c r="F10" s="40"/>
      <c r="G10" s="40"/>
      <c r="H10" s="40"/>
      <c r="I10" s="40"/>
      <c r="J10" s="40"/>
      <c r="K10" s="40"/>
      <c r="L10" s="40"/>
      <c r="M10" s="40"/>
      <c r="N10" s="169"/>
    </row>
    <row r="11" spans="1:14" x14ac:dyDescent="0.25">
      <c r="A11" s="41"/>
      <c r="B11" s="404">
        <v>36</v>
      </c>
      <c r="C11" s="546">
        <v>36</v>
      </c>
      <c r="D11" s="546">
        <f t="shared" si="0"/>
        <v>144</v>
      </c>
      <c r="E11" s="547">
        <v>80.010000000000005</v>
      </c>
      <c r="F11" s="40"/>
      <c r="G11" s="40"/>
      <c r="H11" s="40"/>
      <c r="I11" s="40"/>
      <c r="J11" s="40"/>
      <c r="K11" s="40"/>
      <c r="L11" s="40"/>
      <c r="M11" s="40"/>
      <c r="N11" s="169"/>
    </row>
    <row r="12" spans="1:14" x14ac:dyDescent="0.25">
      <c r="A12" s="41"/>
      <c r="B12" s="404">
        <v>48</v>
      </c>
      <c r="C12" s="546">
        <v>48</v>
      </c>
      <c r="D12" s="546">
        <f t="shared" si="0"/>
        <v>192</v>
      </c>
      <c r="E12" s="547">
        <v>99.91</v>
      </c>
      <c r="F12" s="40"/>
      <c r="G12" s="40"/>
      <c r="H12" s="40"/>
      <c r="I12" s="40"/>
      <c r="J12" s="40"/>
      <c r="K12" s="40"/>
      <c r="L12" s="40"/>
      <c r="M12" s="40"/>
      <c r="N12" s="169"/>
    </row>
    <row r="13" spans="1:14" x14ac:dyDescent="0.25">
      <c r="A13" s="41"/>
      <c r="B13" s="404">
        <v>54</v>
      </c>
      <c r="C13" s="546">
        <v>54</v>
      </c>
      <c r="D13" s="546">
        <f t="shared" si="0"/>
        <v>216</v>
      </c>
      <c r="E13" s="547">
        <v>109.86</v>
      </c>
      <c r="F13" s="40"/>
      <c r="G13" s="40"/>
      <c r="H13" s="40"/>
      <c r="I13" s="40"/>
      <c r="J13" s="40"/>
      <c r="K13" s="40"/>
      <c r="L13" s="40"/>
      <c r="M13" s="40"/>
      <c r="N13" s="169"/>
    </row>
    <row r="14" spans="1:14" x14ac:dyDescent="0.25">
      <c r="A14" s="41"/>
      <c r="B14" s="404">
        <v>60</v>
      </c>
      <c r="C14" s="546">
        <v>60</v>
      </c>
      <c r="D14" s="546">
        <f t="shared" si="0"/>
        <v>240</v>
      </c>
      <c r="E14" s="547">
        <v>119.81</v>
      </c>
      <c r="F14" s="40"/>
      <c r="G14" s="40"/>
      <c r="H14" s="40"/>
      <c r="I14" s="40"/>
      <c r="J14" s="40"/>
      <c r="K14" s="40"/>
      <c r="L14" s="40"/>
      <c r="M14" s="40"/>
      <c r="N14" s="169"/>
    </row>
    <row r="15" spans="1:14" x14ac:dyDescent="0.25">
      <c r="A15" s="41"/>
      <c r="B15" s="404">
        <v>72</v>
      </c>
      <c r="C15" s="546">
        <v>72</v>
      </c>
      <c r="D15" s="546">
        <f t="shared" si="0"/>
        <v>288</v>
      </c>
      <c r="E15" s="547">
        <v>139.71</v>
      </c>
      <c r="F15" s="40"/>
      <c r="G15" s="40"/>
      <c r="H15" s="40"/>
      <c r="I15" s="40"/>
      <c r="J15" s="40"/>
      <c r="K15" s="40"/>
      <c r="L15" s="40"/>
      <c r="M15" s="40"/>
      <c r="N15" s="169"/>
    </row>
    <row r="16" spans="1:14" x14ac:dyDescent="0.25">
      <c r="A16" s="41"/>
      <c r="B16" s="404">
        <v>84</v>
      </c>
      <c r="C16" s="546">
        <v>84</v>
      </c>
      <c r="D16" s="546">
        <f t="shared" si="0"/>
        <v>336</v>
      </c>
      <c r="E16" s="547">
        <v>159.61000000000001</v>
      </c>
      <c r="F16" s="40"/>
      <c r="G16" s="40"/>
      <c r="H16" s="40"/>
      <c r="I16" s="40"/>
      <c r="J16" s="40"/>
      <c r="K16" s="40"/>
      <c r="L16" s="40"/>
      <c r="M16" s="40"/>
      <c r="N16" s="169"/>
    </row>
    <row r="17" spans="1:14" x14ac:dyDescent="0.25">
      <c r="A17" s="41"/>
      <c r="B17" s="404">
        <v>90</v>
      </c>
      <c r="C17" s="546">
        <v>90</v>
      </c>
      <c r="D17" s="546">
        <f t="shared" si="0"/>
        <v>360</v>
      </c>
      <c r="E17" s="547">
        <v>169.56</v>
      </c>
      <c r="F17" s="40"/>
      <c r="G17" s="40"/>
      <c r="H17" s="40"/>
      <c r="I17" s="40"/>
      <c r="J17" s="40"/>
      <c r="K17" s="40"/>
      <c r="L17" s="532"/>
      <c r="M17" s="40"/>
      <c r="N17" s="169"/>
    </row>
    <row r="18" spans="1:14" x14ac:dyDescent="0.25">
      <c r="A18" s="41"/>
      <c r="B18" s="404">
        <v>100</v>
      </c>
      <c r="C18" s="546">
        <v>100</v>
      </c>
      <c r="D18" s="546">
        <f t="shared" si="0"/>
        <v>400</v>
      </c>
      <c r="E18" s="547">
        <v>186.15</v>
      </c>
      <c r="F18" s="40"/>
      <c r="G18" s="40"/>
      <c r="H18" s="40"/>
      <c r="I18" s="40"/>
      <c r="J18" s="40"/>
      <c r="K18" s="40"/>
      <c r="L18" s="40"/>
      <c r="M18" s="40"/>
      <c r="N18" s="169"/>
    </row>
    <row r="19" spans="1:14" x14ac:dyDescent="0.25">
      <c r="A19" s="41"/>
      <c r="B19" s="404">
        <v>110</v>
      </c>
      <c r="C19" s="546">
        <v>110</v>
      </c>
      <c r="D19" s="546">
        <f t="shared" si="0"/>
        <v>440</v>
      </c>
      <c r="E19" s="547">
        <v>202.73</v>
      </c>
      <c r="F19" s="40"/>
      <c r="G19" s="40"/>
      <c r="H19" s="40"/>
      <c r="I19" s="40"/>
      <c r="J19" s="40"/>
      <c r="K19" s="40"/>
      <c r="L19" s="40"/>
      <c r="M19" s="40"/>
      <c r="N19" s="169"/>
    </row>
    <row r="20" spans="1:14" x14ac:dyDescent="0.25">
      <c r="A20" s="41"/>
      <c r="B20" s="404"/>
      <c r="C20" s="546"/>
      <c r="D20" s="546"/>
      <c r="E20" s="547"/>
      <c r="F20" s="40"/>
      <c r="G20" s="40"/>
      <c r="H20" s="40"/>
      <c r="I20" s="40"/>
      <c r="J20" s="40"/>
      <c r="K20" s="40"/>
      <c r="L20" s="40"/>
      <c r="M20" s="40"/>
      <c r="N20" s="169"/>
    </row>
    <row r="21" spans="1:14" x14ac:dyDescent="0.25">
      <c r="A21" s="41"/>
      <c r="B21" s="404"/>
      <c r="C21" s="546"/>
      <c r="D21" s="546"/>
      <c r="E21" s="547"/>
      <c r="F21" s="40"/>
      <c r="G21" s="40"/>
      <c r="H21" s="40"/>
      <c r="I21" s="40"/>
      <c r="J21" s="40"/>
      <c r="K21" s="40"/>
      <c r="L21" s="40"/>
      <c r="M21" s="40"/>
      <c r="N21" s="169"/>
    </row>
    <row r="22" spans="1:14" x14ac:dyDescent="0.25">
      <c r="A22" s="41"/>
      <c r="B22" s="404"/>
      <c r="C22" s="546"/>
      <c r="D22" s="546"/>
      <c r="E22" s="547"/>
      <c r="F22" s="40"/>
      <c r="G22" s="40"/>
      <c r="H22" s="40"/>
      <c r="I22" s="40"/>
      <c r="J22" s="40"/>
      <c r="K22" s="40"/>
      <c r="L22" s="40"/>
      <c r="M22" s="40"/>
      <c r="N22" s="169"/>
    </row>
    <row r="23" spans="1:14" ht="15.75" thickBot="1" x14ac:dyDescent="0.3">
      <c r="A23" s="41"/>
      <c r="B23" s="548"/>
      <c r="C23" s="549"/>
      <c r="D23" s="549"/>
      <c r="E23" s="550"/>
      <c r="F23" s="40"/>
      <c r="G23" s="40"/>
      <c r="H23" s="40"/>
      <c r="I23" s="40"/>
      <c r="J23" s="40"/>
      <c r="K23" s="40"/>
      <c r="L23" s="40"/>
      <c r="M23" s="40"/>
      <c r="N23" s="169"/>
    </row>
    <row r="24" spans="1:14" x14ac:dyDescent="0.25">
      <c r="A24" s="539"/>
      <c r="B24" s="537" t="s">
        <v>271</v>
      </c>
      <c r="C24" s="537"/>
      <c r="D24" s="537"/>
      <c r="E24" s="537"/>
      <c r="F24" s="538"/>
      <c r="G24" s="538"/>
      <c r="H24" s="538"/>
      <c r="I24" s="538"/>
      <c r="J24" s="538"/>
      <c r="K24" s="538"/>
      <c r="L24" s="538"/>
      <c r="M24" s="538"/>
      <c r="N24" s="540"/>
    </row>
    <row r="25" spans="1:14" x14ac:dyDescent="0.25">
      <c r="A25" s="41"/>
      <c r="B25" s="543" t="s">
        <v>283</v>
      </c>
      <c r="C25" s="544" t="s">
        <v>284</v>
      </c>
      <c r="D25" s="544" t="s">
        <v>287</v>
      </c>
      <c r="E25" s="545" t="s">
        <v>281</v>
      </c>
      <c r="F25" s="40"/>
      <c r="G25" s="40"/>
      <c r="H25" s="40"/>
      <c r="I25" s="40"/>
      <c r="J25" s="40"/>
      <c r="K25" s="40"/>
      <c r="L25" s="423" t="s">
        <v>285</v>
      </c>
      <c r="M25" s="40"/>
      <c r="N25" s="169"/>
    </row>
    <row r="26" spans="1:14" x14ac:dyDescent="0.25">
      <c r="A26" s="41"/>
      <c r="B26" s="404">
        <v>18</v>
      </c>
      <c r="C26" s="546">
        <v>18</v>
      </c>
      <c r="D26" s="546">
        <f>(B26*2)+(C26*2)</f>
        <v>72</v>
      </c>
      <c r="E26" s="547">
        <v>61.65</v>
      </c>
      <c r="F26" s="40"/>
      <c r="G26" s="40"/>
      <c r="H26" s="40"/>
      <c r="I26" s="40"/>
      <c r="J26" s="40"/>
      <c r="K26" s="40"/>
      <c r="L26" s="40" t="e">
        <f>((0.4827*C4) + 26.899)*1.1</f>
        <v>#VALUE!</v>
      </c>
      <c r="M26" s="40" t="s">
        <v>141</v>
      </c>
      <c r="N26" s="169"/>
    </row>
    <row r="27" spans="1:14" x14ac:dyDescent="0.25">
      <c r="A27" s="41"/>
      <c r="B27" s="404">
        <v>24</v>
      </c>
      <c r="C27" s="546">
        <v>24</v>
      </c>
      <c r="D27" s="546">
        <f t="shared" ref="D27:D36" si="1">(B27*2)+(C27*2)</f>
        <v>96</v>
      </c>
      <c r="E27" s="547">
        <v>73.22</v>
      </c>
      <c r="F27" s="40"/>
      <c r="G27" s="40"/>
      <c r="H27" s="40"/>
      <c r="I27" s="40"/>
      <c r="J27" s="40"/>
      <c r="K27" s="40"/>
      <c r="L27" s="40"/>
      <c r="M27" s="40"/>
      <c r="N27" s="169"/>
    </row>
    <row r="28" spans="1:14" x14ac:dyDescent="0.25">
      <c r="A28" s="41"/>
      <c r="B28" s="404">
        <v>36</v>
      </c>
      <c r="C28" s="546">
        <v>36</v>
      </c>
      <c r="D28" s="546">
        <f t="shared" si="1"/>
        <v>144</v>
      </c>
      <c r="E28" s="547">
        <v>96.41</v>
      </c>
      <c r="F28" s="40"/>
      <c r="G28" s="40"/>
      <c r="H28" s="40"/>
      <c r="I28" s="40"/>
      <c r="J28" s="40"/>
      <c r="K28" s="40"/>
      <c r="L28" s="40"/>
      <c r="M28" s="40"/>
      <c r="N28" s="169"/>
    </row>
    <row r="29" spans="1:14" x14ac:dyDescent="0.25">
      <c r="A29" s="41"/>
      <c r="B29" s="404">
        <v>48</v>
      </c>
      <c r="C29" s="546">
        <v>48</v>
      </c>
      <c r="D29" s="546">
        <f t="shared" si="1"/>
        <v>192</v>
      </c>
      <c r="E29" s="547">
        <v>119.58</v>
      </c>
      <c r="F29" s="40"/>
      <c r="G29" s="40"/>
      <c r="H29" s="40"/>
      <c r="I29" s="40"/>
      <c r="J29" s="40"/>
      <c r="K29" s="40"/>
      <c r="L29" s="40"/>
      <c r="M29" s="40"/>
      <c r="N29" s="169"/>
    </row>
    <row r="30" spans="1:14" x14ac:dyDescent="0.25">
      <c r="A30" s="41"/>
      <c r="B30" s="404">
        <v>54</v>
      </c>
      <c r="C30" s="546">
        <v>54</v>
      </c>
      <c r="D30" s="546">
        <f t="shared" si="1"/>
        <v>216</v>
      </c>
      <c r="E30" s="547">
        <v>131.16</v>
      </c>
      <c r="F30" s="40"/>
      <c r="G30" s="40"/>
      <c r="H30" s="40"/>
      <c r="I30" s="40"/>
      <c r="J30" s="40"/>
      <c r="K30" s="40"/>
      <c r="L30" s="40"/>
      <c r="M30" s="40"/>
      <c r="N30" s="169"/>
    </row>
    <row r="31" spans="1:14" x14ac:dyDescent="0.25">
      <c r="A31" s="41"/>
      <c r="B31" s="404">
        <v>60</v>
      </c>
      <c r="C31" s="546">
        <v>60</v>
      </c>
      <c r="D31" s="546">
        <f t="shared" si="1"/>
        <v>240</v>
      </c>
      <c r="E31" s="547">
        <v>142.75</v>
      </c>
      <c r="F31" s="40"/>
      <c r="G31" s="40"/>
      <c r="H31" s="40"/>
      <c r="I31" s="40"/>
      <c r="J31" s="40"/>
      <c r="K31" s="40"/>
      <c r="L31" s="40"/>
      <c r="M31" s="40"/>
      <c r="N31" s="169"/>
    </row>
    <row r="32" spans="1:14" x14ac:dyDescent="0.25">
      <c r="A32" s="41"/>
      <c r="B32" s="404">
        <v>72</v>
      </c>
      <c r="C32" s="546">
        <v>72</v>
      </c>
      <c r="D32" s="546">
        <f t="shared" si="1"/>
        <v>288</v>
      </c>
      <c r="E32" s="547">
        <v>165.91</v>
      </c>
      <c r="F32" s="40"/>
      <c r="G32" s="40"/>
      <c r="H32" s="40"/>
      <c r="I32" s="40"/>
      <c r="J32" s="40"/>
      <c r="K32" s="40"/>
      <c r="L32" s="40"/>
      <c r="M32" s="40"/>
      <c r="N32" s="169"/>
    </row>
    <row r="33" spans="1:14" x14ac:dyDescent="0.25">
      <c r="A33" s="41"/>
      <c r="B33" s="404">
        <v>84</v>
      </c>
      <c r="C33" s="546">
        <v>84</v>
      </c>
      <c r="D33" s="546">
        <f t="shared" si="1"/>
        <v>336</v>
      </c>
      <c r="E33" s="547">
        <v>189.08</v>
      </c>
      <c r="F33" s="40"/>
      <c r="G33" s="40"/>
      <c r="H33" s="40"/>
      <c r="I33" s="40"/>
      <c r="J33" s="40"/>
      <c r="K33" s="40"/>
      <c r="L33" s="40"/>
      <c r="M33" s="40"/>
      <c r="N33" s="169"/>
    </row>
    <row r="34" spans="1:14" x14ac:dyDescent="0.25">
      <c r="A34" s="41"/>
      <c r="B34" s="404">
        <v>90</v>
      </c>
      <c r="C34" s="546">
        <v>90</v>
      </c>
      <c r="D34" s="546">
        <f t="shared" si="1"/>
        <v>360</v>
      </c>
      <c r="E34" s="547">
        <v>200.66</v>
      </c>
      <c r="F34" s="40"/>
      <c r="G34" s="40"/>
      <c r="H34" s="40"/>
      <c r="I34" s="40"/>
      <c r="J34" s="40"/>
      <c r="K34" s="40"/>
      <c r="L34" s="40"/>
      <c r="M34" s="40"/>
      <c r="N34" s="169"/>
    </row>
    <row r="35" spans="1:14" x14ac:dyDescent="0.25">
      <c r="A35" s="41"/>
      <c r="B35" s="404">
        <v>100</v>
      </c>
      <c r="C35" s="546">
        <v>100</v>
      </c>
      <c r="D35" s="546">
        <f t="shared" si="1"/>
        <v>400</v>
      </c>
      <c r="E35" s="547">
        <v>219.97</v>
      </c>
      <c r="F35" s="40"/>
      <c r="G35" s="40"/>
      <c r="H35" s="40"/>
      <c r="I35" s="40"/>
      <c r="J35" s="40"/>
      <c r="K35" s="40"/>
      <c r="L35" s="40"/>
      <c r="M35" s="40"/>
      <c r="N35" s="169"/>
    </row>
    <row r="36" spans="1:14" x14ac:dyDescent="0.25">
      <c r="A36" s="41"/>
      <c r="B36" s="404">
        <v>110</v>
      </c>
      <c r="C36" s="546">
        <v>110</v>
      </c>
      <c r="D36" s="546">
        <f t="shared" si="1"/>
        <v>440</v>
      </c>
      <c r="E36" s="547">
        <v>239.27</v>
      </c>
      <c r="F36" s="40"/>
      <c r="G36" s="40"/>
      <c r="H36" s="40"/>
      <c r="I36" s="40"/>
      <c r="J36" s="40"/>
      <c r="K36" s="40"/>
      <c r="L36" s="40"/>
      <c r="M36" s="40"/>
      <c r="N36" s="169"/>
    </row>
    <row r="37" spans="1:14" x14ac:dyDescent="0.25">
      <c r="A37" s="41"/>
      <c r="B37" s="404"/>
      <c r="C37" s="546"/>
      <c r="D37" s="546"/>
      <c r="E37" s="547"/>
      <c r="F37" s="40"/>
      <c r="G37" s="40"/>
      <c r="H37" s="40"/>
      <c r="I37" s="40"/>
      <c r="J37" s="40"/>
      <c r="K37" s="40"/>
      <c r="L37" s="40"/>
      <c r="M37" s="40"/>
      <c r="N37" s="169"/>
    </row>
    <row r="38" spans="1:14" x14ac:dyDescent="0.25">
      <c r="A38" s="41"/>
      <c r="B38" s="404"/>
      <c r="C38" s="546"/>
      <c r="D38" s="546"/>
      <c r="E38" s="547"/>
      <c r="F38" s="40"/>
      <c r="G38" s="40"/>
      <c r="H38" s="40"/>
      <c r="I38" s="40"/>
      <c r="J38" s="40"/>
      <c r="K38" s="40"/>
      <c r="L38" s="40"/>
      <c r="M38" s="40"/>
      <c r="N38" s="169"/>
    </row>
    <row r="39" spans="1:14" x14ac:dyDescent="0.25">
      <c r="A39" s="41"/>
      <c r="B39" s="404"/>
      <c r="C39" s="546"/>
      <c r="D39" s="546"/>
      <c r="E39" s="547"/>
      <c r="F39" s="40"/>
      <c r="G39" s="40"/>
      <c r="H39" s="40"/>
      <c r="I39" s="40"/>
      <c r="J39" s="40"/>
      <c r="K39" s="40"/>
      <c r="L39" s="40"/>
      <c r="M39" s="40"/>
      <c r="N39" s="169"/>
    </row>
    <row r="40" spans="1:14" ht="15.75" thickBot="1" x14ac:dyDescent="0.3">
      <c r="A40" s="41"/>
      <c r="B40" s="548"/>
      <c r="C40" s="549"/>
      <c r="D40" s="549"/>
      <c r="E40" s="550"/>
      <c r="F40" s="40"/>
      <c r="G40" s="40"/>
      <c r="H40" s="40"/>
      <c r="I40" s="40"/>
      <c r="J40" s="40"/>
      <c r="K40" s="40"/>
      <c r="L40" s="40"/>
      <c r="M40" s="40"/>
      <c r="N40" s="169"/>
    </row>
    <row r="41" spans="1:14" x14ac:dyDescent="0.25">
      <c r="A41" s="539"/>
      <c r="B41" s="537" t="s">
        <v>272</v>
      </c>
      <c r="C41" s="537"/>
      <c r="D41" s="537"/>
      <c r="E41" s="537"/>
      <c r="F41" s="538"/>
      <c r="G41" s="538"/>
      <c r="H41" s="538"/>
      <c r="I41" s="538"/>
      <c r="J41" s="538"/>
      <c r="K41" s="538"/>
      <c r="L41" s="538"/>
      <c r="M41" s="538"/>
      <c r="N41" s="540"/>
    </row>
    <row r="42" spans="1:14" x14ac:dyDescent="0.25">
      <c r="A42" s="41"/>
      <c r="B42" s="543" t="s">
        <v>283</v>
      </c>
      <c r="C42" s="544" t="s">
        <v>284</v>
      </c>
      <c r="D42" s="544" t="s">
        <v>287</v>
      </c>
      <c r="E42" s="545" t="s">
        <v>281</v>
      </c>
      <c r="F42" s="40"/>
      <c r="G42" s="40"/>
      <c r="H42" s="40"/>
      <c r="I42" s="40"/>
      <c r="J42" s="40"/>
      <c r="K42" s="40"/>
      <c r="L42" s="423" t="s">
        <v>285</v>
      </c>
      <c r="M42" s="40"/>
      <c r="N42" s="169"/>
    </row>
    <row r="43" spans="1:14" x14ac:dyDescent="0.25">
      <c r="A43" s="41"/>
      <c r="B43" s="404">
        <v>18</v>
      </c>
      <c r="C43" s="546">
        <v>18</v>
      </c>
      <c r="D43" s="546">
        <v>72</v>
      </c>
      <c r="E43" s="547">
        <v>78.94</v>
      </c>
      <c r="F43" s="40"/>
      <c r="G43" s="40"/>
      <c r="H43" s="40"/>
      <c r="I43" s="40"/>
      <c r="J43" s="40"/>
      <c r="K43" s="40"/>
      <c r="L43" s="40" t="e">
        <f>((0.5846*C4) + 36.849)*1.1</f>
        <v>#VALUE!</v>
      </c>
      <c r="M43" s="40" t="s">
        <v>141</v>
      </c>
      <c r="N43" s="169"/>
    </row>
    <row r="44" spans="1:14" x14ac:dyDescent="0.25">
      <c r="A44" s="41"/>
      <c r="B44" s="404">
        <v>24</v>
      </c>
      <c r="C44" s="546">
        <v>24</v>
      </c>
      <c r="D44" s="546">
        <v>96</v>
      </c>
      <c r="E44" s="547">
        <v>92.98</v>
      </c>
      <c r="F44" s="40"/>
      <c r="G44" s="40"/>
      <c r="H44" s="40"/>
      <c r="I44" s="40"/>
      <c r="J44" s="40"/>
      <c r="K44" s="40"/>
      <c r="L44" s="40"/>
      <c r="M44" s="40"/>
      <c r="N44" s="169"/>
    </row>
    <row r="45" spans="1:14" x14ac:dyDescent="0.25">
      <c r="A45" s="41"/>
      <c r="B45" s="404">
        <v>36</v>
      </c>
      <c r="C45" s="546">
        <v>36</v>
      </c>
      <c r="D45" s="546">
        <v>144</v>
      </c>
      <c r="E45" s="547">
        <v>121.04</v>
      </c>
      <c r="F45" s="40"/>
      <c r="G45" s="40"/>
      <c r="H45" s="40"/>
      <c r="I45" s="40"/>
      <c r="J45" s="40"/>
      <c r="K45" s="40"/>
      <c r="L45" s="40"/>
      <c r="M45" s="40"/>
      <c r="N45" s="169"/>
    </row>
    <row r="46" spans="1:14" x14ac:dyDescent="0.25">
      <c r="A46" s="41"/>
      <c r="B46" s="404">
        <v>48</v>
      </c>
      <c r="C46" s="546">
        <v>48</v>
      </c>
      <c r="D46" s="546">
        <v>192</v>
      </c>
      <c r="E46" s="547">
        <v>149.1</v>
      </c>
      <c r="F46" s="40"/>
      <c r="G46" s="40"/>
      <c r="H46" s="40"/>
      <c r="I46" s="40"/>
      <c r="J46" s="40"/>
      <c r="K46" s="40"/>
      <c r="L46" s="40"/>
      <c r="M46" s="40"/>
      <c r="N46" s="169"/>
    </row>
    <row r="47" spans="1:14" x14ac:dyDescent="0.25">
      <c r="A47" s="41"/>
      <c r="B47" s="404">
        <v>54</v>
      </c>
      <c r="C47" s="546">
        <v>54</v>
      </c>
      <c r="D47" s="546">
        <v>216</v>
      </c>
      <c r="E47" s="547">
        <v>163.13</v>
      </c>
      <c r="F47" s="40"/>
      <c r="G47" s="40"/>
      <c r="H47" s="40"/>
      <c r="I47" s="40"/>
      <c r="J47" s="40"/>
      <c r="K47" s="40"/>
      <c r="L47" s="40"/>
      <c r="M47" s="40"/>
      <c r="N47" s="169"/>
    </row>
    <row r="48" spans="1:14" x14ac:dyDescent="0.25">
      <c r="A48" s="41"/>
      <c r="B48" s="404">
        <v>60</v>
      </c>
      <c r="C48" s="546">
        <v>60</v>
      </c>
      <c r="D48" s="546">
        <v>240</v>
      </c>
      <c r="E48" s="547">
        <v>177.16</v>
      </c>
      <c r="F48" s="40"/>
      <c r="G48" s="40"/>
      <c r="H48" s="40"/>
      <c r="I48" s="40"/>
      <c r="J48" s="40"/>
      <c r="K48" s="40"/>
      <c r="L48" s="40"/>
      <c r="M48" s="40"/>
      <c r="N48" s="169"/>
    </row>
    <row r="49" spans="1:14" x14ac:dyDescent="0.25">
      <c r="A49" s="41"/>
      <c r="B49" s="404">
        <v>72</v>
      </c>
      <c r="C49" s="546">
        <v>72</v>
      </c>
      <c r="D49" s="546">
        <v>288</v>
      </c>
      <c r="E49" s="547">
        <v>205.23</v>
      </c>
      <c r="F49" s="40"/>
      <c r="G49" s="40"/>
      <c r="H49" s="40"/>
      <c r="I49" s="40"/>
      <c r="J49" s="40"/>
      <c r="K49" s="40"/>
      <c r="L49" s="40"/>
      <c r="M49" s="40"/>
      <c r="N49" s="169"/>
    </row>
    <row r="50" spans="1:14" x14ac:dyDescent="0.25">
      <c r="A50" s="41"/>
      <c r="B50" s="404">
        <v>84</v>
      </c>
      <c r="C50" s="546">
        <v>84</v>
      </c>
      <c r="D50" s="546">
        <v>336</v>
      </c>
      <c r="E50" s="547">
        <v>233.29</v>
      </c>
      <c r="F50" s="40"/>
      <c r="G50" s="40"/>
      <c r="H50" s="40"/>
      <c r="I50" s="40"/>
      <c r="J50" s="40"/>
      <c r="K50" s="40"/>
      <c r="L50" s="40"/>
      <c r="M50" s="40"/>
      <c r="N50" s="169"/>
    </row>
    <row r="51" spans="1:14" x14ac:dyDescent="0.25">
      <c r="A51" s="41"/>
      <c r="B51" s="404">
        <v>90</v>
      </c>
      <c r="C51" s="546">
        <v>90</v>
      </c>
      <c r="D51" s="546">
        <v>360</v>
      </c>
      <c r="E51" s="547">
        <v>247.32</v>
      </c>
      <c r="F51" s="40"/>
      <c r="G51" s="40"/>
      <c r="H51" s="40"/>
      <c r="I51" s="40"/>
      <c r="J51" s="40"/>
      <c r="K51" s="40"/>
      <c r="L51" s="40"/>
      <c r="M51" s="40"/>
      <c r="N51" s="169"/>
    </row>
    <row r="52" spans="1:14" x14ac:dyDescent="0.25">
      <c r="A52" s="41"/>
      <c r="B52" s="404">
        <v>100</v>
      </c>
      <c r="C52" s="546">
        <v>100</v>
      </c>
      <c r="D52" s="546">
        <v>400</v>
      </c>
      <c r="E52" s="547">
        <v>270.70999999999998</v>
      </c>
      <c r="F52" s="40"/>
      <c r="G52" s="40"/>
      <c r="H52" s="40"/>
      <c r="I52" s="40"/>
      <c r="J52" s="40"/>
      <c r="K52" s="40"/>
      <c r="L52" s="40"/>
      <c r="M52" s="40"/>
      <c r="N52" s="169"/>
    </row>
    <row r="53" spans="1:14" x14ac:dyDescent="0.25">
      <c r="A53" s="41"/>
      <c r="B53" s="404">
        <v>110</v>
      </c>
      <c r="C53" s="546">
        <v>110</v>
      </c>
      <c r="D53" s="546">
        <v>440</v>
      </c>
      <c r="E53" s="547">
        <v>294.08999999999997</v>
      </c>
      <c r="F53" s="40"/>
      <c r="G53" s="40"/>
      <c r="H53" s="40"/>
      <c r="I53" s="40"/>
      <c r="J53" s="40"/>
      <c r="K53" s="40"/>
      <c r="L53" s="40"/>
      <c r="M53" s="40"/>
      <c r="N53" s="169"/>
    </row>
    <row r="54" spans="1:14" x14ac:dyDescent="0.25">
      <c r="A54" s="41"/>
      <c r="B54" s="404"/>
      <c r="C54" s="546"/>
      <c r="D54" s="546"/>
      <c r="E54" s="547"/>
      <c r="F54" s="40"/>
      <c r="G54" s="40"/>
      <c r="H54" s="40"/>
      <c r="I54" s="40"/>
      <c r="J54" s="40"/>
      <c r="K54" s="40"/>
      <c r="L54" s="40"/>
      <c r="M54" s="40"/>
      <c r="N54" s="169"/>
    </row>
    <row r="55" spans="1:14" x14ac:dyDescent="0.25">
      <c r="A55" s="41"/>
      <c r="B55" s="404"/>
      <c r="C55" s="546"/>
      <c r="D55" s="546"/>
      <c r="E55" s="547"/>
      <c r="F55" s="40"/>
      <c r="G55" s="40"/>
      <c r="H55" s="40"/>
      <c r="I55" s="40"/>
      <c r="J55" s="40"/>
      <c r="K55" s="40"/>
      <c r="L55" s="40"/>
      <c r="M55" s="40"/>
      <c r="N55" s="169"/>
    </row>
    <row r="56" spans="1:14" x14ac:dyDescent="0.25">
      <c r="A56" s="41"/>
      <c r="B56" s="404"/>
      <c r="C56" s="546"/>
      <c r="D56" s="546"/>
      <c r="E56" s="547"/>
      <c r="F56" s="40"/>
      <c r="G56" s="40"/>
      <c r="H56" s="40"/>
      <c r="I56" s="40"/>
      <c r="J56" s="40"/>
      <c r="K56" s="40"/>
      <c r="L56" s="40"/>
      <c r="M56" s="40"/>
      <c r="N56" s="169"/>
    </row>
    <row r="57" spans="1:14" x14ac:dyDescent="0.25">
      <c r="A57" s="41"/>
      <c r="B57" s="404"/>
      <c r="C57" s="546"/>
      <c r="D57" s="546"/>
      <c r="E57" s="547"/>
      <c r="F57" s="40"/>
      <c r="G57" s="40"/>
      <c r="H57" s="40"/>
      <c r="I57" s="40"/>
      <c r="J57" s="40"/>
      <c r="K57" s="40"/>
      <c r="L57" s="40"/>
      <c r="M57" s="40"/>
      <c r="N57" s="169"/>
    </row>
    <row r="58" spans="1:14" ht="15.75" thickBot="1" x14ac:dyDescent="0.3">
      <c r="A58" s="42"/>
      <c r="B58" s="548"/>
      <c r="C58" s="549"/>
      <c r="D58" s="549"/>
      <c r="E58" s="550"/>
      <c r="F58" s="43"/>
      <c r="G58" s="43"/>
      <c r="H58" s="43"/>
      <c r="I58" s="43"/>
      <c r="J58" s="43"/>
      <c r="K58" s="43"/>
      <c r="L58" s="43"/>
      <c r="M58" s="43"/>
      <c r="N58" s="170"/>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election activeCell="T39" sqref="T39"/>
    </sheetView>
  </sheetViews>
  <sheetFormatPr defaultRowHeight="15" x14ac:dyDescent="0.25"/>
  <cols>
    <col min="1" max="1" width="13.140625" customWidth="1"/>
    <col min="2" max="2" width="16.28515625" customWidth="1"/>
    <col min="3" max="3" width="13" customWidth="1"/>
    <col min="4" max="4" width="15" customWidth="1"/>
    <col min="5" max="5" width="12.140625" customWidth="1"/>
    <col min="9" max="9" width="15.140625" customWidth="1"/>
    <col min="10" max="10" width="12.28515625" customWidth="1"/>
    <col min="11" max="12" width="10.42578125" customWidth="1"/>
  </cols>
  <sheetData>
    <row r="1" spans="1:14" ht="24" thickBot="1" x14ac:dyDescent="0.4">
      <c r="A1" s="533" t="s">
        <v>274</v>
      </c>
      <c r="B1" s="460"/>
      <c r="C1" s="460"/>
      <c r="D1" s="460"/>
      <c r="E1" s="460"/>
      <c r="F1" s="460"/>
      <c r="G1" s="460"/>
      <c r="H1" s="189"/>
      <c r="I1" s="189"/>
      <c r="J1" s="421" t="s">
        <v>275</v>
      </c>
      <c r="K1" s="189"/>
      <c r="L1" s="189"/>
      <c r="M1" s="189"/>
      <c r="N1" s="190"/>
    </row>
    <row r="2" spans="1:14" ht="15.75" x14ac:dyDescent="0.25">
      <c r="A2" s="535" t="s">
        <v>277</v>
      </c>
      <c r="B2" s="536" t="s">
        <v>278</v>
      </c>
      <c r="C2" s="189" t="str">
        <f>IF('DATA ENTRY'!B22="mm",'DATA ENTRY'!B23/25.4,'DATA ENTRY'!B23)</f>
        <v>ENTER LENGTH</v>
      </c>
      <c r="D2" s="189" t="s">
        <v>151</v>
      </c>
      <c r="E2" s="189"/>
      <c r="F2" s="189"/>
      <c r="G2" s="189"/>
      <c r="H2" s="417"/>
      <c r="I2" s="536" t="s">
        <v>280</v>
      </c>
      <c r="J2" s="197" t="s">
        <v>267</v>
      </c>
      <c r="K2" s="189">
        <v>0</v>
      </c>
      <c r="L2" s="189" t="s">
        <v>141</v>
      </c>
      <c r="M2" s="189"/>
      <c r="N2" s="190"/>
    </row>
    <row r="3" spans="1:14" ht="15.75" x14ac:dyDescent="0.25">
      <c r="A3" s="41"/>
      <c r="B3" s="531" t="s">
        <v>279</v>
      </c>
      <c r="C3" s="40" t="str">
        <f>IF('DATA ENTRY'!B22="mm",'DATA ENTRY'!B24/25.4,'DATA ENTRY'!B24)</f>
        <v>ENTER WIDTH</v>
      </c>
      <c r="D3" s="40" t="s">
        <v>151</v>
      </c>
      <c r="E3" s="40"/>
      <c r="F3" s="40"/>
      <c r="G3" s="40"/>
      <c r="H3" s="41"/>
      <c r="I3" s="40"/>
      <c r="J3" s="422" t="s">
        <v>434</v>
      </c>
      <c r="K3" s="40" t="e">
        <f>L9</f>
        <v>#VALUE!</v>
      </c>
      <c r="L3" s="40" t="s">
        <v>141</v>
      </c>
      <c r="M3" s="40"/>
      <c r="N3" s="169"/>
    </row>
    <row r="4" spans="1:14" ht="15.75" x14ac:dyDescent="0.25">
      <c r="A4" s="41"/>
      <c r="B4" s="531" t="s">
        <v>150</v>
      </c>
      <c r="C4" s="40" t="e">
        <f>(C2*2)+(C3*2)</f>
        <v>#VALUE!</v>
      </c>
      <c r="D4" s="40" t="s">
        <v>151</v>
      </c>
      <c r="E4" s="40"/>
      <c r="F4" s="40"/>
      <c r="G4" s="40"/>
      <c r="H4" s="41"/>
      <c r="I4" s="40"/>
      <c r="J4" s="422" t="s">
        <v>268</v>
      </c>
      <c r="K4" s="40" t="e">
        <f>L26</f>
        <v>#VALUE!</v>
      </c>
      <c r="L4" s="40" t="s">
        <v>141</v>
      </c>
      <c r="M4" s="40"/>
      <c r="N4" s="169"/>
    </row>
    <row r="5" spans="1:14" ht="15.75" x14ac:dyDescent="0.25">
      <c r="A5" s="41"/>
      <c r="B5" s="531"/>
      <c r="C5" s="40"/>
      <c r="D5" s="40"/>
      <c r="E5" s="40"/>
      <c r="F5" s="40"/>
      <c r="G5" s="40"/>
      <c r="H5" s="41"/>
      <c r="I5" s="40"/>
      <c r="J5" s="422" t="s">
        <v>269</v>
      </c>
      <c r="K5" s="40" t="e">
        <f>L43</f>
        <v>#VALUE!</v>
      </c>
      <c r="L5" s="40" t="s">
        <v>141</v>
      </c>
      <c r="M5" s="40"/>
      <c r="N5" s="169"/>
    </row>
    <row r="6" spans="1:14" ht="16.5" thickBot="1" x14ac:dyDescent="0.3">
      <c r="A6" s="41"/>
      <c r="B6" s="531"/>
      <c r="C6" s="40"/>
      <c r="D6" s="40"/>
      <c r="E6" s="40"/>
      <c r="F6" s="40"/>
      <c r="G6" s="40"/>
      <c r="H6" s="42"/>
      <c r="I6" s="43"/>
      <c r="J6" s="43"/>
      <c r="K6" s="43"/>
      <c r="L6" s="43"/>
      <c r="M6" s="43"/>
      <c r="N6" s="170"/>
    </row>
    <row r="7" spans="1:14" ht="15.75" x14ac:dyDescent="0.25">
      <c r="A7" s="541" t="s">
        <v>276</v>
      </c>
      <c r="B7" s="537" t="s">
        <v>435</v>
      </c>
      <c r="C7" s="537"/>
      <c r="D7" s="537"/>
      <c r="E7" s="537"/>
      <c r="F7" s="538"/>
      <c r="G7" s="538"/>
      <c r="H7" s="539"/>
      <c r="I7" s="538"/>
      <c r="J7" s="538"/>
      <c r="K7" s="538"/>
      <c r="L7" s="538"/>
      <c r="M7" s="538"/>
      <c r="N7" s="540"/>
    </row>
    <row r="8" spans="1:14" x14ac:dyDescent="0.25">
      <c r="A8" s="41"/>
      <c r="B8" s="543" t="s">
        <v>283</v>
      </c>
      <c r="C8" s="544" t="s">
        <v>284</v>
      </c>
      <c r="D8" s="544" t="s">
        <v>287</v>
      </c>
      <c r="E8" s="545" t="s">
        <v>281</v>
      </c>
      <c r="F8" s="40"/>
      <c r="G8" s="40"/>
      <c r="H8" s="40"/>
      <c r="I8" s="40"/>
      <c r="J8" s="40"/>
      <c r="K8" s="40"/>
      <c r="L8" s="423" t="s">
        <v>285</v>
      </c>
      <c r="M8" s="40"/>
      <c r="N8" s="169"/>
    </row>
    <row r="9" spans="1:14" x14ac:dyDescent="0.25">
      <c r="A9" s="41"/>
      <c r="B9" s="404">
        <v>18</v>
      </c>
      <c r="C9" s="546">
        <v>18</v>
      </c>
      <c r="D9" s="546">
        <f>(B9*2)+(C9*2)</f>
        <v>72</v>
      </c>
      <c r="E9" s="547">
        <v>50.16</v>
      </c>
      <c r="F9" s="40"/>
      <c r="G9" s="40"/>
      <c r="H9" s="40"/>
      <c r="I9" s="40"/>
      <c r="J9" s="40"/>
      <c r="K9" s="40"/>
      <c r="L9" s="40" t="e">
        <f xml:space="preserve"> ((0.4146*C4) + 20.308)*1.1</f>
        <v>#VALUE!</v>
      </c>
      <c r="M9" s="40" t="s">
        <v>141</v>
      </c>
      <c r="N9" s="169"/>
    </row>
    <row r="10" spans="1:14" x14ac:dyDescent="0.25">
      <c r="A10" s="41"/>
      <c r="B10" s="404">
        <v>24</v>
      </c>
      <c r="C10" s="546">
        <v>24</v>
      </c>
      <c r="D10" s="546">
        <f t="shared" ref="D10:D19" si="0">(B10*2)+(C10*2)</f>
        <v>96</v>
      </c>
      <c r="E10" s="547">
        <v>60.11</v>
      </c>
      <c r="F10" s="40"/>
      <c r="G10" s="40"/>
      <c r="H10" s="40"/>
      <c r="I10" s="40"/>
      <c r="J10" s="40"/>
      <c r="K10" s="40"/>
      <c r="L10" s="40"/>
      <c r="M10" s="40"/>
      <c r="N10" s="169"/>
    </row>
    <row r="11" spans="1:14" x14ac:dyDescent="0.25">
      <c r="A11" s="41"/>
      <c r="B11" s="404">
        <v>36</v>
      </c>
      <c r="C11" s="546">
        <v>36</v>
      </c>
      <c r="D11" s="546">
        <f t="shared" si="0"/>
        <v>144</v>
      </c>
      <c r="E11" s="547">
        <v>80.010000000000005</v>
      </c>
      <c r="F11" s="40"/>
      <c r="G11" s="40"/>
      <c r="H11" s="40"/>
      <c r="I11" s="40"/>
      <c r="J11" s="40"/>
      <c r="K11" s="40"/>
      <c r="L11" s="40"/>
      <c r="M11" s="40"/>
      <c r="N11" s="169"/>
    </row>
    <row r="12" spans="1:14" x14ac:dyDescent="0.25">
      <c r="A12" s="41"/>
      <c r="B12" s="404">
        <v>48</v>
      </c>
      <c r="C12" s="546">
        <v>48</v>
      </c>
      <c r="D12" s="546">
        <f t="shared" si="0"/>
        <v>192</v>
      </c>
      <c r="E12" s="547">
        <v>99.91</v>
      </c>
      <c r="F12" s="40"/>
      <c r="G12" s="40"/>
      <c r="H12" s="40"/>
      <c r="I12" s="40"/>
      <c r="J12" s="40"/>
      <c r="K12" s="40"/>
      <c r="L12" s="40"/>
      <c r="M12" s="40"/>
      <c r="N12" s="169"/>
    </row>
    <row r="13" spans="1:14" x14ac:dyDescent="0.25">
      <c r="A13" s="41"/>
      <c r="B13" s="404">
        <v>54</v>
      </c>
      <c r="C13" s="546">
        <v>54</v>
      </c>
      <c r="D13" s="546">
        <f t="shared" si="0"/>
        <v>216</v>
      </c>
      <c r="E13" s="547">
        <v>109.86</v>
      </c>
      <c r="F13" s="40"/>
      <c r="G13" s="40"/>
      <c r="H13" s="40"/>
      <c r="I13" s="40"/>
      <c r="J13" s="40"/>
      <c r="K13" s="40"/>
      <c r="L13" s="40"/>
      <c r="M13" s="40"/>
      <c r="N13" s="169"/>
    </row>
    <row r="14" spans="1:14" x14ac:dyDescent="0.25">
      <c r="A14" s="41"/>
      <c r="B14" s="404">
        <v>60</v>
      </c>
      <c r="C14" s="546">
        <v>60</v>
      </c>
      <c r="D14" s="546">
        <f t="shared" si="0"/>
        <v>240</v>
      </c>
      <c r="E14" s="547">
        <v>119.81</v>
      </c>
      <c r="F14" s="40"/>
      <c r="G14" s="40"/>
      <c r="H14" s="40"/>
      <c r="I14" s="40"/>
      <c r="J14" s="40"/>
      <c r="K14" s="40"/>
      <c r="L14" s="40"/>
      <c r="M14" s="40"/>
      <c r="N14" s="169"/>
    </row>
    <row r="15" spans="1:14" x14ac:dyDescent="0.25">
      <c r="A15" s="41"/>
      <c r="B15" s="404">
        <v>72</v>
      </c>
      <c r="C15" s="546">
        <v>72</v>
      </c>
      <c r="D15" s="546">
        <f t="shared" si="0"/>
        <v>288</v>
      </c>
      <c r="E15" s="547">
        <v>139.71</v>
      </c>
      <c r="F15" s="40"/>
      <c r="G15" s="40"/>
      <c r="H15" s="40"/>
      <c r="I15" s="40"/>
      <c r="J15" s="40"/>
      <c r="K15" s="40"/>
      <c r="L15" s="40"/>
      <c r="M15" s="40"/>
      <c r="N15" s="169"/>
    </row>
    <row r="16" spans="1:14" x14ac:dyDescent="0.25">
      <c r="A16" s="41"/>
      <c r="B16" s="404">
        <v>84</v>
      </c>
      <c r="C16" s="546">
        <v>84</v>
      </c>
      <c r="D16" s="546">
        <f t="shared" si="0"/>
        <v>336</v>
      </c>
      <c r="E16" s="547">
        <v>159.61000000000001</v>
      </c>
      <c r="F16" s="40"/>
      <c r="G16" s="40"/>
      <c r="H16" s="40"/>
      <c r="I16" s="40"/>
      <c r="J16" s="40"/>
      <c r="K16" s="40"/>
      <c r="L16" s="40"/>
      <c r="M16" s="40"/>
      <c r="N16" s="169"/>
    </row>
    <row r="17" spans="1:14" x14ac:dyDescent="0.25">
      <c r="A17" s="41"/>
      <c r="B17" s="404">
        <v>90</v>
      </c>
      <c r="C17" s="546">
        <v>90</v>
      </c>
      <c r="D17" s="546">
        <f t="shared" si="0"/>
        <v>360</v>
      </c>
      <c r="E17" s="547">
        <v>169.56</v>
      </c>
      <c r="F17" s="40"/>
      <c r="G17" s="40"/>
      <c r="H17" s="40"/>
      <c r="I17" s="40"/>
      <c r="J17" s="40"/>
      <c r="K17" s="40"/>
      <c r="L17" s="532"/>
      <c r="M17" s="40"/>
      <c r="N17" s="169"/>
    </row>
    <row r="18" spans="1:14" x14ac:dyDescent="0.25">
      <c r="A18" s="41"/>
      <c r="B18" s="404">
        <v>100</v>
      </c>
      <c r="C18" s="546">
        <v>100</v>
      </c>
      <c r="D18" s="546">
        <f t="shared" si="0"/>
        <v>400</v>
      </c>
      <c r="E18" s="547">
        <v>186.15</v>
      </c>
      <c r="F18" s="40"/>
      <c r="G18" s="40"/>
      <c r="H18" s="40"/>
      <c r="I18" s="40"/>
      <c r="J18" s="40"/>
      <c r="K18" s="40"/>
      <c r="L18" s="40"/>
      <c r="M18" s="40"/>
      <c r="N18" s="169"/>
    </row>
    <row r="19" spans="1:14" x14ac:dyDescent="0.25">
      <c r="A19" s="41"/>
      <c r="B19" s="404">
        <v>110</v>
      </c>
      <c r="C19" s="546">
        <v>110</v>
      </c>
      <c r="D19" s="546">
        <f t="shared" si="0"/>
        <v>440</v>
      </c>
      <c r="E19" s="547">
        <v>202.73</v>
      </c>
      <c r="F19" s="40"/>
      <c r="G19" s="40"/>
      <c r="H19" s="40"/>
      <c r="I19" s="40"/>
      <c r="J19" s="40"/>
      <c r="K19" s="40"/>
      <c r="L19" s="40"/>
      <c r="M19" s="40"/>
      <c r="N19" s="169"/>
    </row>
    <row r="20" spans="1:14" x14ac:dyDescent="0.25">
      <c r="A20" s="41"/>
      <c r="B20" s="404"/>
      <c r="C20" s="546"/>
      <c r="D20" s="546"/>
      <c r="E20" s="547"/>
      <c r="F20" s="40"/>
      <c r="G20" s="40"/>
      <c r="H20" s="40"/>
      <c r="I20" s="40"/>
      <c r="J20" s="40"/>
      <c r="K20" s="40"/>
      <c r="L20" s="40"/>
      <c r="M20" s="40"/>
      <c r="N20" s="169"/>
    </row>
    <row r="21" spans="1:14" x14ac:dyDescent="0.25">
      <c r="A21" s="41"/>
      <c r="B21" s="404"/>
      <c r="C21" s="546"/>
      <c r="D21" s="546"/>
      <c r="E21" s="547"/>
      <c r="F21" s="40"/>
      <c r="G21" s="40"/>
      <c r="H21" s="40"/>
      <c r="I21" s="40"/>
      <c r="J21" s="40"/>
      <c r="K21" s="40"/>
      <c r="L21" s="40"/>
      <c r="M21" s="40"/>
      <c r="N21" s="169"/>
    </row>
    <row r="22" spans="1:14" x14ac:dyDescent="0.25">
      <c r="A22" s="41"/>
      <c r="B22" s="404"/>
      <c r="C22" s="546"/>
      <c r="D22" s="546"/>
      <c r="E22" s="547"/>
      <c r="F22" s="40"/>
      <c r="G22" s="40"/>
      <c r="H22" s="40"/>
      <c r="I22" s="40"/>
      <c r="J22" s="40"/>
      <c r="K22" s="40"/>
      <c r="L22" s="40"/>
      <c r="M22" s="40"/>
      <c r="N22" s="169"/>
    </row>
    <row r="23" spans="1:14" ht="15.75" thickBot="1" x14ac:dyDescent="0.3">
      <c r="A23" s="41"/>
      <c r="B23" s="548"/>
      <c r="C23" s="549"/>
      <c r="D23" s="549"/>
      <c r="E23" s="550"/>
      <c r="F23" s="40"/>
      <c r="G23" s="40"/>
      <c r="H23" s="40"/>
      <c r="I23" s="40"/>
      <c r="J23" s="40"/>
      <c r="K23" s="40"/>
      <c r="L23" s="40"/>
      <c r="M23" s="40"/>
      <c r="N23" s="169"/>
    </row>
    <row r="24" spans="1:14" x14ac:dyDescent="0.25">
      <c r="A24" s="539"/>
      <c r="B24" s="537" t="s">
        <v>271</v>
      </c>
      <c r="C24" s="537"/>
      <c r="D24" s="537"/>
      <c r="E24" s="537"/>
      <c r="F24" s="538"/>
      <c r="G24" s="538"/>
      <c r="H24" s="538"/>
      <c r="I24" s="538"/>
      <c r="J24" s="538"/>
      <c r="K24" s="538"/>
      <c r="L24" s="538"/>
      <c r="M24" s="538"/>
      <c r="N24" s="540"/>
    </row>
    <row r="25" spans="1:14" x14ac:dyDescent="0.25">
      <c r="A25" s="41"/>
      <c r="B25" s="543" t="s">
        <v>283</v>
      </c>
      <c r="C25" s="544" t="s">
        <v>284</v>
      </c>
      <c r="D25" s="544" t="s">
        <v>287</v>
      </c>
      <c r="E25" s="545" t="s">
        <v>281</v>
      </c>
      <c r="F25" s="40"/>
      <c r="G25" s="40"/>
      <c r="H25" s="40"/>
      <c r="I25" s="40"/>
      <c r="J25" s="40"/>
      <c r="K25" s="40"/>
      <c r="L25" s="423" t="s">
        <v>285</v>
      </c>
      <c r="M25" s="40"/>
      <c r="N25" s="169"/>
    </row>
    <row r="26" spans="1:14" x14ac:dyDescent="0.25">
      <c r="A26" s="41"/>
      <c r="B26" s="404">
        <v>18</v>
      </c>
      <c r="C26" s="546">
        <v>18</v>
      </c>
      <c r="D26" s="546">
        <f>(B26*2)+(C26*2)</f>
        <v>72</v>
      </c>
      <c r="E26" s="547">
        <v>61.65</v>
      </c>
      <c r="F26" s="40"/>
      <c r="G26" s="40"/>
      <c r="H26" s="40"/>
      <c r="I26" s="40"/>
      <c r="J26" s="40"/>
      <c r="K26" s="40"/>
      <c r="L26" s="40" t="e">
        <f>((0.4827*C4) + 26.899)*1.1</f>
        <v>#VALUE!</v>
      </c>
      <c r="M26" s="40" t="s">
        <v>141</v>
      </c>
      <c r="N26" s="169"/>
    </row>
    <row r="27" spans="1:14" x14ac:dyDescent="0.25">
      <c r="A27" s="41"/>
      <c r="B27" s="404">
        <v>24</v>
      </c>
      <c r="C27" s="546">
        <v>24</v>
      </c>
      <c r="D27" s="546">
        <f t="shared" ref="D27:D36" si="1">(B27*2)+(C27*2)</f>
        <v>96</v>
      </c>
      <c r="E27" s="547">
        <v>73.22</v>
      </c>
      <c r="F27" s="40"/>
      <c r="G27" s="40"/>
      <c r="H27" s="40"/>
      <c r="I27" s="40"/>
      <c r="J27" s="40"/>
      <c r="K27" s="40"/>
      <c r="L27" s="40"/>
      <c r="M27" s="40"/>
      <c r="N27" s="169"/>
    </row>
    <row r="28" spans="1:14" x14ac:dyDescent="0.25">
      <c r="A28" s="41"/>
      <c r="B28" s="404">
        <v>36</v>
      </c>
      <c r="C28" s="546">
        <v>36</v>
      </c>
      <c r="D28" s="546">
        <f t="shared" si="1"/>
        <v>144</v>
      </c>
      <c r="E28" s="547">
        <v>96.41</v>
      </c>
      <c r="F28" s="40"/>
      <c r="G28" s="40"/>
      <c r="H28" s="40"/>
      <c r="I28" s="40"/>
      <c r="J28" s="40"/>
      <c r="K28" s="40"/>
      <c r="L28" s="40"/>
      <c r="M28" s="40"/>
      <c r="N28" s="169"/>
    </row>
    <row r="29" spans="1:14" x14ac:dyDescent="0.25">
      <c r="A29" s="41"/>
      <c r="B29" s="404">
        <v>48</v>
      </c>
      <c r="C29" s="546">
        <v>48</v>
      </c>
      <c r="D29" s="546">
        <f t="shared" si="1"/>
        <v>192</v>
      </c>
      <c r="E29" s="547">
        <v>119.58</v>
      </c>
      <c r="F29" s="40"/>
      <c r="G29" s="40"/>
      <c r="H29" s="40"/>
      <c r="I29" s="40"/>
      <c r="J29" s="40"/>
      <c r="K29" s="40"/>
      <c r="L29" s="40"/>
      <c r="M29" s="40"/>
      <c r="N29" s="169"/>
    </row>
    <row r="30" spans="1:14" x14ac:dyDescent="0.25">
      <c r="A30" s="41"/>
      <c r="B30" s="404">
        <v>54</v>
      </c>
      <c r="C30" s="546">
        <v>54</v>
      </c>
      <c r="D30" s="546">
        <f t="shared" si="1"/>
        <v>216</v>
      </c>
      <c r="E30" s="547">
        <v>131.16</v>
      </c>
      <c r="F30" s="40"/>
      <c r="G30" s="40"/>
      <c r="H30" s="40"/>
      <c r="I30" s="40"/>
      <c r="J30" s="40"/>
      <c r="K30" s="40"/>
      <c r="L30" s="40"/>
      <c r="M30" s="40"/>
      <c r="N30" s="169"/>
    </row>
    <row r="31" spans="1:14" x14ac:dyDescent="0.25">
      <c r="A31" s="41"/>
      <c r="B31" s="404">
        <v>60</v>
      </c>
      <c r="C31" s="546">
        <v>60</v>
      </c>
      <c r="D31" s="546">
        <f t="shared" si="1"/>
        <v>240</v>
      </c>
      <c r="E31" s="547">
        <v>142.75</v>
      </c>
      <c r="F31" s="40"/>
      <c r="G31" s="40"/>
      <c r="H31" s="40"/>
      <c r="I31" s="40"/>
      <c r="J31" s="40"/>
      <c r="K31" s="40"/>
      <c r="L31" s="40"/>
      <c r="M31" s="40"/>
      <c r="N31" s="169"/>
    </row>
    <row r="32" spans="1:14" x14ac:dyDescent="0.25">
      <c r="A32" s="41"/>
      <c r="B32" s="404">
        <v>72</v>
      </c>
      <c r="C32" s="546">
        <v>72</v>
      </c>
      <c r="D32" s="546">
        <f t="shared" si="1"/>
        <v>288</v>
      </c>
      <c r="E32" s="547">
        <v>165.91</v>
      </c>
      <c r="F32" s="40"/>
      <c r="G32" s="40"/>
      <c r="H32" s="40"/>
      <c r="I32" s="40"/>
      <c r="J32" s="40"/>
      <c r="K32" s="40"/>
      <c r="L32" s="40"/>
      <c r="M32" s="40"/>
      <c r="N32" s="169"/>
    </row>
    <row r="33" spans="1:14" x14ac:dyDescent="0.25">
      <c r="A33" s="41"/>
      <c r="B33" s="404">
        <v>84</v>
      </c>
      <c r="C33" s="546">
        <v>84</v>
      </c>
      <c r="D33" s="546">
        <f t="shared" si="1"/>
        <v>336</v>
      </c>
      <c r="E33" s="547">
        <v>189.08</v>
      </c>
      <c r="F33" s="40"/>
      <c r="G33" s="40"/>
      <c r="H33" s="40"/>
      <c r="I33" s="40"/>
      <c r="J33" s="40"/>
      <c r="K33" s="40"/>
      <c r="L33" s="40"/>
      <c r="M33" s="40"/>
      <c r="N33" s="169"/>
    </row>
    <row r="34" spans="1:14" x14ac:dyDescent="0.25">
      <c r="A34" s="41"/>
      <c r="B34" s="404">
        <v>90</v>
      </c>
      <c r="C34" s="546">
        <v>90</v>
      </c>
      <c r="D34" s="546">
        <f t="shared" si="1"/>
        <v>360</v>
      </c>
      <c r="E34" s="547">
        <v>200.66</v>
      </c>
      <c r="F34" s="40"/>
      <c r="G34" s="40"/>
      <c r="H34" s="40"/>
      <c r="I34" s="40"/>
      <c r="J34" s="40"/>
      <c r="K34" s="40"/>
      <c r="L34" s="40"/>
      <c r="M34" s="40"/>
      <c r="N34" s="169"/>
    </row>
    <row r="35" spans="1:14" x14ac:dyDescent="0.25">
      <c r="A35" s="41"/>
      <c r="B35" s="404">
        <v>100</v>
      </c>
      <c r="C35" s="546">
        <v>100</v>
      </c>
      <c r="D35" s="546">
        <f t="shared" si="1"/>
        <v>400</v>
      </c>
      <c r="E35" s="547">
        <v>219.97</v>
      </c>
      <c r="F35" s="40"/>
      <c r="G35" s="40"/>
      <c r="H35" s="40"/>
      <c r="I35" s="40"/>
      <c r="J35" s="40"/>
      <c r="K35" s="40"/>
      <c r="L35" s="40"/>
      <c r="M35" s="40"/>
      <c r="N35" s="169"/>
    </row>
    <row r="36" spans="1:14" x14ac:dyDescent="0.25">
      <c r="A36" s="41"/>
      <c r="B36" s="404">
        <v>110</v>
      </c>
      <c r="C36" s="546">
        <v>110</v>
      </c>
      <c r="D36" s="546">
        <f t="shared" si="1"/>
        <v>440</v>
      </c>
      <c r="E36" s="547">
        <v>239.27</v>
      </c>
      <c r="F36" s="40"/>
      <c r="G36" s="40"/>
      <c r="H36" s="40"/>
      <c r="I36" s="40"/>
      <c r="J36" s="40"/>
      <c r="K36" s="40"/>
      <c r="L36" s="40"/>
      <c r="M36" s="40"/>
      <c r="N36" s="169"/>
    </row>
    <row r="37" spans="1:14" x14ac:dyDescent="0.25">
      <c r="A37" s="41"/>
      <c r="B37" s="404"/>
      <c r="C37" s="546"/>
      <c r="D37" s="546"/>
      <c r="E37" s="547"/>
      <c r="F37" s="40"/>
      <c r="G37" s="40"/>
      <c r="H37" s="40"/>
      <c r="I37" s="40"/>
      <c r="J37" s="40"/>
      <c r="K37" s="40"/>
      <c r="L37" s="40"/>
      <c r="M37" s="40"/>
      <c r="N37" s="169"/>
    </row>
    <row r="38" spans="1:14" x14ac:dyDescent="0.25">
      <c r="A38" s="41"/>
      <c r="B38" s="404"/>
      <c r="C38" s="546"/>
      <c r="D38" s="546"/>
      <c r="E38" s="547"/>
      <c r="F38" s="40"/>
      <c r="G38" s="40"/>
      <c r="H38" s="40"/>
      <c r="I38" s="40"/>
      <c r="J38" s="40"/>
      <c r="K38" s="40"/>
      <c r="L38" s="40"/>
      <c r="M38" s="40"/>
      <c r="N38" s="169"/>
    </row>
    <row r="39" spans="1:14" x14ac:dyDescent="0.25">
      <c r="A39" s="41"/>
      <c r="B39" s="404"/>
      <c r="C39" s="546"/>
      <c r="D39" s="546"/>
      <c r="E39" s="547"/>
      <c r="F39" s="40"/>
      <c r="G39" s="40"/>
      <c r="H39" s="40"/>
      <c r="I39" s="40"/>
      <c r="J39" s="40"/>
      <c r="K39" s="40"/>
      <c r="L39" s="40"/>
      <c r="M39" s="40"/>
      <c r="N39" s="169"/>
    </row>
    <row r="40" spans="1:14" ht="15.75" thickBot="1" x14ac:dyDescent="0.3">
      <c r="A40" s="41"/>
      <c r="B40" s="548"/>
      <c r="C40" s="549"/>
      <c r="D40" s="549"/>
      <c r="E40" s="550"/>
      <c r="F40" s="40"/>
      <c r="G40" s="40"/>
      <c r="H40" s="40"/>
      <c r="I40" s="40"/>
      <c r="J40" s="40"/>
      <c r="K40" s="40"/>
      <c r="L40" s="40"/>
      <c r="M40" s="40"/>
      <c r="N40" s="169"/>
    </row>
    <row r="41" spans="1:14" x14ac:dyDescent="0.25">
      <c r="A41" s="539"/>
      <c r="B41" s="537" t="s">
        <v>272</v>
      </c>
      <c r="C41" s="537"/>
      <c r="D41" s="537"/>
      <c r="E41" s="537"/>
      <c r="F41" s="538"/>
      <c r="G41" s="538"/>
      <c r="H41" s="538"/>
      <c r="I41" s="538"/>
      <c r="J41" s="538"/>
      <c r="K41" s="538"/>
      <c r="L41" s="538"/>
      <c r="M41" s="538"/>
      <c r="N41" s="540"/>
    </row>
    <row r="42" spans="1:14" x14ac:dyDescent="0.25">
      <c r="A42" s="41"/>
      <c r="B42" s="543" t="s">
        <v>283</v>
      </c>
      <c r="C42" s="544" t="s">
        <v>284</v>
      </c>
      <c r="D42" s="544" t="s">
        <v>287</v>
      </c>
      <c r="E42" s="545" t="s">
        <v>281</v>
      </c>
      <c r="F42" s="40"/>
      <c r="G42" s="40"/>
      <c r="H42" s="40"/>
      <c r="I42" s="40"/>
      <c r="J42" s="40"/>
      <c r="K42" s="40"/>
      <c r="L42" s="423" t="s">
        <v>285</v>
      </c>
      <c r="M42" s="40"/>
      <c r="N42" s="169"/>
    </row>
    <row r="43" spans="1:14" x14ac:dyDescent="0.25">
      <c r="A43" s="41"/>
      <c r="B43" s="404">
        <v>18</v>
      </c>
      <c r="C43" s="546">
        <v>18</v>
      </c>
      <c r="D43" s="546">
        <v>72</v>
      </c>
      <c r="E43" s="547">
        <v>78.94</v>
      </c>
      <c r="F43" s="40"/>
      <c r="G43" s="40"/>
      <c r="H43" s="40"/>
      <c r="I43" s="40"/>
      <c r="J43" s="40"/>
      <c r="K43" s="40"/>
      <c r="L43" s="40" t="e">
        <f>((0.5846*C4) + 36.849)*1.1</f>
        <v>#VALUE!</v>
      </c>
      <c r="M43" s="40" t="s">
        <v>141</v>
      </c>
      <c r="N43" s="169"/>
    </row>
    <row r="44" spans="1:14" x14ac:dyDescent="0.25">
      <c r="A44" s="41"/>
      <c r="B44" s="404">
        <v>24</v>
      </c>
      <c r="C44" s="546">
        <v>24</v>
      </c>
      <c r="D44" s="546">
        <v>96</v>
      </c>
      <c r="E44" s="547">
        <v>92.98</v>
      </c>
      <c r="F44" s="40"/>
      <c r="G44" s="40"/>
      <c r="H44" s="40"/>
      <c r="I44" s="40"/>
      <c r="J44" s="40"/>
      <c r="K44" s="40"/>
      <c r="L44" s="40"/>
      <c r="M44" s="40"/>
      <c r="N44" s="169"/>
    </row>
    <row r="45" spans="1:14" x14ac:dyDescent="0.25">
      <c r="A45" s="41"/>
      <c r="B45" s="404">
        <v>36</v>
      </c>
      <c r="C45" s="546">
        <v>36</v>
      </c>
      <c r="D45" s="546">
        <v>144</v>
      </c>
      <c r="E45" s="547">
        <v>121.04</v>
      </c>
      <c r="F45" s="40"/>
      <c r="G45" s="40"/>
      <c r="H45" s="40"/>
      <c r="I45" s="40"/>
      <c r="J45" s="40"/>
      <c r="K45" s="40"/>
      <c r="L45" s="40"/>
      <c r="M45" s="40"/>
      <c r="N45" s="169"/>
    </row>
    <row r="46" spans="1:14" x14ac:dyDescent="0.25">
      <c r="A46" s="41"/>
      <c r="B46" s="404">
        <v>48</v>
      </c>
      <c r="C46" s="546">
        <v>48</v>
      </c>
      <c r="D46" s="546">
        <v>192</v>
      </c>
      <c r="E46" s="547">
        <v>149.1</v>
      </c>
      <c r="F46" s="40"/>
      <c r="G46" s="40"/>
      <c r="H46" s="40"/>
      <c r="I46" s="40"/>
      <c r="J46" s="40"/>
      <c r="K46" s="40"/>
      <c r="L46" s="40"/>
      <c r="M46" s="40"/>
      <c r="N46" s="169"/>
    </row>
    <row r="47" spans="1:14" x14ac:dyDescent="0.25">
      <c r="A47" s="41"/>
      <c r="B47" s="404">
        <v>54</v>
      </c>
      <c r="C47" s="546">
        <v>54</v>
      </c>
      <c r="D47" s="546">
        <v>216</v>
      </c>
      <c r="E47" s="547">
        <v>163.13</v>
      </c>
      <c r="F47" s="40"/>
      <c r="G47" s="40"/>
      <c r="H47" s="40"/>
      <c r="I47" s="40"/>
      <c r="J47" s="40"/>
      <c r="K47" s="40"/>
      <c r="L47" s="40"/>
      <c r="M47" s="40"/>
      <c r="N47" s="169"/>
    </row>
    <row r="48" spans="1:14" x14ac:dyDescent="0.25">
      <c r="A48" s="41"/>
      <c r="B48" s="404">
        <v>60</v>
      </c>
      <c r="C48" s="546">
        <v>60</v>
      </c>
      <c r="D48" s="546">
        <v>240</v>
      </c>
      <c r="E48" s="547">
        <v>177.16</v>
      </c>
      <c r="F48" s="40"/>
      <c r="G48" s="40"/>
      <c r="H48" s="40"/>
      <c r="I48" s="40"/>
      <c r="J48" s="40"/>
      <c r="K48" s="40"/>
      <c r="L48" s="40"/>
      <c r="M48" s="40"/>
      <c r="N48" s="169"/>
    </row>
    <row r="49" spans="1:14" x14ac:dyDescent="0.25">
      <c r="A49" s="41"/>
      <c r="B49" s="404">
        <v>72</v>
      </c>
      <c r="C49" s="546">
        <v>72</v>
      </c>
      <c r="D49" s="546">
        <v>288</v>
      </c>
      <c r="E49" s="547">
        <v>205.23</v>
      </c>
      <c r="F49" s="40"/>
      <c r="G49" s="40"/>
      <c r="H49" s="40"/>
      <c r="I49" s="40"/>
      <c r="J49" s="40"/>
      <c r="K49" s="40"/>
      <c r="L49" s="40"/>
      <c r="M49" s="40"/>
      <c r="N49" s="169"/>
    </row>
    <row r="50" spans="1:14" x14ac:dyDescent="0.25">
      <c r="A50" s="41"/>
      <c r="B50" s="404">
        <v>84</v>
      </c>
      <c r="C50" s="546">
        <v>84</v>
      </c>
      <c r="D50" s="546">
        <v>336</v>
      </c>
      <c r="E50" s="547">
        <v>233.29</v>
      </c>
      <c r="F50" s="40"/>
      <c r="G50" s="40"/>
      <c r="H50" s="40"/>
      <c r="I50" s="40"/>
      <c r="J50" s="40"/>
      <c r="K50" s="40"/>
      <c r="L50" s="40"/>
      <c r="M50" s="40"/>
      <c r="N50" s="169"/>
    </row>
    <row r="51" spans="1:14" x14ac:dyDescent="0.25">
      <c r="A51" s="41"/>
      <c r="B51" s="404">
        <v>90</v>
      </c>
      <c r="C51" s="546">
        <v>90</v>
      </c>
      <c r="D51" s="546">
        <v>360</v>
      </c>
      <c r="E51" s="547">
        <v>247.32</v>
      </c>
      <c r="F51" s="40"/>
      <c r="G51" s="40"/>
      <c r="H51" s="40"/>
      <c r="I51" s="40"/>
      <c r="J51" s="40"/>
      <c r="K51" s="40"/>
      <c r="L51" s="40"/>
      <c r="M51" s="40"/>
      <c r="N51" s="169"/>
    </row>
    <row r="52" spans="1:14" x14ac:dyDescent="0.25">
      <c r="A52" s="41"/>
      <c r="B52" s="404">
        <v>100</v>
      </c>
      <c r="C52" s="546">
        <v>100</v>
      </c>
      <c r="D52" s="546">
        <v>400</v>
      </c>
      <c r="E52" s="547">
        <v>270.70999999999998</v>
      </c>
      <c r="F52" s="40"/>
      <c r="G52" s="40"/>
      <c r="H52" s="40"/>
      <c r="I52" s="40"/>
      <c r="J52" s="40"/>
      <c r="K52" s="40"/>
      <c r="L52" s="40"/>
      <c r="M52" s="40"/>
      <c r="N52" s="169"/>
    </row>
    <row r="53" spans="1:14" x14ac:dyDescent="0.25">
      <c r="A53" s="41"/>
      <c r="B53" s="404">
        <v>110</v>
      </c>
      <c r="C53" s="546">
        <v>110</v>
      </c>
      <c r="D53" s="546">
        <v>440</v>
      </c>
      <c r="E53" s="547">
        <v>294.08999999999997</v>
      </c>
      <c r="F53" s="40"/>
      <c r="G53" s="40"/>
      <c r="H53" s="40"/>
      <c r="I53" s="40"/>
      <c r="J53" s="40"/>
      <c r="K53" s="40"/>
      <c r="L53" s="40"/>
      <c r="M53" s="40"/>
      <c r="N53" s="169"/>
    </row>
    <row r="54" spans="1:14" x14ac:dyDescent="0.25">
      <c r="A54" s="41"/>
      <c r="B54" s="404"/>
      <c r="C54" s="546"/>
      <c r="D54" s="546"/>
      <c r="E54" s="547"/>
      <c r="F54" s="40"/>
      <c r="G54" s="40"/>
      <c r="H54" s="40"/>
      <c r="I54" s="40"/>
      <c r="J54" s="40"/>
      <c r="K54" s="40"/>
      <c r="L54" s="40"/>
      <c r="M54" s="40"/>
      <c r="N54" s="169"/>
    </row>
    <row r="55" spans="1:14" x14ac:dyDescent="0.25">
      <c r="A55" s="41"/>
      <c r="B55" s="404"/>
      <c r="C55" s="546"/>
      <c r="D55" s="546"/>
      <c r="E55" s="547"/>
      <c r="F55" s="40"/>
      <c r="G55" s="40"/>
      <c r="H55" s="40"/>
      <c r="I55" s="40"/>
      <c r="J55" s="40"/>
      <c r="K55" s="40"/>
      <c r="L55" s="40"/>
      <c r="M55" s="40"/>
      <c r="N55" s="169"/>
    </row>
    <row r="56" spans="1:14" x14ac:dyDescent="0.25">
      <c r="A56" s="41"/>
      <c r="B56" s="404"/>
      <c r="C56" s="546"/>
      <c r="D56" s="546"/>
      <c r="E56" s="547"/>
      <c r="F56" s="40"/>
      <c r="G56" s="40"/>
      <c r="H56" s="40"/>
      <c r="I56" s="40"/>
      <c r="J56" s="40"/>
      <c r="K56" s="40"/>
      <c r="L56" s="40"/>
      <c r="M56" s="40"/>
      <c r="N56" s="169"/>
    </row>
    <row r="57" spans="1:14" x14ac:dyDescent="0.25">
      <c r="A57" s="41"/>
      <c r="B57" s="404"/>
      <c r="C57" s="546"/>
      <c r="D57" s="546"/>
      <c r="E57" s="547"/>
      <c r="F57" s="40"/>
      <c r="G57" s="40"/>
      <c r="H57" s="40"/>
      <c r="I57" s="40"/>
      <c r="J57" s="40"/>
      <c r="K57" s="40"/>
      <c r="L57" s="40"/>
      <c r="M57" s="40"/>
      <c r="N57" s="169"/>
    </row>
    <row r="58" spans="1:14" ht="15.75" thickBot="1" x14ac:dyDescent="0.3">
      <c r="A58" s="42"/>
      <c r="B58" s="548"/>
      <c r="C58" s="549"/>
      <c r="D58" s="549"/>
      <c r="E58" s="550"/>
      <c r="F58" s="43"/>
      <c r="G58" s="43"/>
      <c r="H58" s="43"/>
      <c r="I58" s="43"/>
      <c r="J58" s="43"/>
      <c r="K58" s="43"/>
      <c r="L58" s="43"/>
      <c r="M58" s="43"/>
      <c r="N58" s="170"/>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workbookViewId="0">
      <selection activeCell="M91" sqref="M91"/>
    </sheetView>
  </sheetViews>
  <sheetFormatPr defaultRowHeight="15" x14ac:dyDescent="0.25"/>
  <cols>
    <col min="1" max="1" width="16.42578125" customWidth="1"/>
    <col min="2" max="2" width="26.42578125" customWidth="1"/>
    <col min="3" max="3" width="18" customWidth="1"/>
    <col min="4" max="5" width="20.7109375" customWidth="1"/>
    <col min="6" max="6" width="25.42578125" customWidth="1"/>
    <col min="7" max="8" width="17.42578125" customWidth="1"/>
    <col min="10" max="11" width="17.5703125" customWidth="1"/>
    <col min="13" max="13" width="19.42578125" customWidth="1"/>
    <col min="14" max="14" width="15.7109375" bestFit="1" customWidth="1"/>
  </cols>
  <sheetData>
    <row r="1" spans="1:15" x14ac:dyDescent="0.25">
      <c r="A1" s="499" t="s">
        <v>204</v>
      </c>
      <c r="B1" s="499"/>
      <c r="C1" s="499"/>
      <c r="D1" s="499" t="s">
        <v>207</v>
      </c>
      <c r="E1" s="499"/>
      <c r="F1" s="499"/>
      <c r="G1" s="499" t="s">
        <v>210</v>
      </c>
      <c r="H1" s="499"/>
      <c r="I1" s="499"/>
      <c r="J1" s="499" t="s">
        <v>211</v>
      </c>
      <c r="K1" s="499"/>
      <c r="L1" s="499"/>
      <c r="M1" s="499" t="s">
        <v>214</v>
      </c>
    </row>
    <row r="2" spans="1:15" x14ac:dyDescent="0.25">
      <c r="A2" s="198" t="s">
        <v>348</v>
      </c>
      <c r="B2" s="198" t="s">
        <v>349</v>
      </c>
      <c r="C2" s="198" t="s">
        <v>350</v>
      </c>
      <c r="D2" s="198" t="s">
        <v>347</v>
      </c>
      <c r="E2" s="198"/>
      <c r="F2" s="198"/>
      <c r="G2" s="198" t="s">
        <v>347</v>
      </c>
      <c r="H2" s="198"/>
      <c r="I2" s="198"/>
      <c r="J2" s="198" t="s">
        <v>347</v>
      </c>
      <c r="K2" s="198"/>
      <c r="L2" s="198"/>
      <c r="M2" s="198" t="s">
        <v>347</v>
      </c>
    </row>
    <row r="3" spans="1:15" x14ac:dyDescent="0.25">
      <c r="A3" s="198">
        <v>13.06</v>
      </c>
      <c r="B3" s="198">
        <f>A3*25.4</f>
        <v>331.72399999999999</v>
      </c>
      <c r="C3" s="687"/>
      <c r="D3" s="40">
        <v>15.93</v>
      </c>
      <c r="E3" s="40">
        <f>D3*25.4</f>
        <v>404.62199999999996</v>
      </c>
      <c r="F3" s="40">
        <v>405</v>
      </c>
      <c r="G3" s="40">
        <v>13.06</v>
      </c>
      <c r="H3" s="40">
        <f>G3*25.4</f>
        <v>331.72399999999999</v>
      </c>
      <c r="I3" s="40">
        <v>332</v>
      </c>
      <c r="J3" s="40">
        <v>15.72</v>
      </c>
      <c r="K3" s="40">
        <f>J3*25.4</f>
        <v>399.28800000000001</v>
      </c>
      <c r="L3" s="40">
        <v>399</v>
      </c>
      <c r="M3" s="40">
        <v>15.651</v>
      </c>
      <c r="N3" s="61">
        <f>M3*25.4</f>
        <v>397.53539999999998</v>
      </c>
      <c r="O3" s="40">
        <v>398</v>
      </c>
    </row>
    <row r="4" spans="1:15" x14ac:dyDescent="0.25">
      <c r="A4" s="198">
        <v>17.059999999999999</v>
      </c>
      <c r="B4" s="198">
        <f t="shared" ref="B4:B18" si="0">A4*25.4</f>
        <v>433.32399999999996</v>
      </c>
      <c r="C4" s="198">
        <v>433</v>
      </c>
      <c r="D4" s="40">
        <v>20.43</v>
      </c>
      <c r="E4" s="40">
        <f t="shared" ref="E4:E16" si="1">D4*25.4</f>
        <v>518.92199999999991</v>
      </c>
      <c r="F4" s="40">
        <v>519</v>
      </c>
      <c r="G4" s="40">
        <v>17.059999999999999</v>
      </c>
      <c r="H4" s="40">
        <f t="shared" ref="H4:H18" si="2">G4*25.4</f>
        <v>433.32399999999996</v>
      </c>
      <c r="I4" s="40">
        <v>433</v>
      </c>
      <c r="J4" s="40">
        <v>20.72</v>
      </c>
      <c r="K4" s="40">
        <f t="shared" ref="K4:K13" si="3">J4*25.4</f>
        <v>526.2879999999999</v>
      </c>
      <c r="L4" s="40">
        <v>526</v>
      </c>
      <c r="M4" s="40">
        <v>20.651</v>
      </c>
      <c r="N4">
        <f t="shared" ref="N4:N14" si="4">M4*25.4</f>
        <v>524.53539999999998</v>
      </c>
    </row>
    <row r="5" spans="1:15" x14ac:dyDescent="0.25">
      <c r="A5" s="198">
        <v>21.06</v>
      </c>
      <c r="B5" s="198">
        <f t="shared" si="0"/>
        <v>534.92399999999998</v>
      </c>
      <c r="C5" s="687"/>
      <c r="D5" s="40">
        <v>24.93</v>
      </c>
      <c r="E5" s="40">
        <f t="shared" si="1"/>
        <v>633.22199999999998</v>
      </c>
      <c r="F5" s="40">
        <v>633</v>
      </c>
      <c r="G5" s="40">
        <v>21.06</v>
      </c>
      <c r="H5" s="40">
        <f t="shared" si="2"/>
        <v>534.92399999999998</v>
      </c>
      <c r="I5" s="40"/>
      <c r="J5" s="40">
        <v>25.72</v>
      </c>
      <c r="K5" s="40">
        <f t="shared" si="3"/>
        <v>653.2879999999999</v>
      </c>
      <c r="L5" s="40">
        <v>653</v>
      </c>
      <c r="M5" s="40">
        <v>25.651</v>
      </c>
      <c r="N5">
        <f t="shared" si="4"/>
        <v>651.53539999999998</v>
      </c>
      <c r="O5" s="40">
        <v>652</v>
      </c>
    </row>
    <row r="6" spans="1:15" x14ac:dyDescent="0.25">
      <c r="A6" s="198">
        <v>25.06</v>
      </c>
      <c r="B6" s="198">
        <f t="shared" si="0"/>
        <v>636.52399999999989</v>
      </c>
      <c r="C6" s="198">
        <v>637</v>
      </c>
      <c r="D6" s="40">
        <v>29.43</v>
      </c>
      <c r="E6" s="40">
        <f t="shared" si="1"/>
        <v>747.52199999999993</v>
      </c>
      <c r="F6" s="40">
        <v>748</v>
      </c>
      <c r="G6" s="40">
        <v>25.06</v>
      </c>
      <c r="H6" s="40">
        <f t="shared" si="2"/>
        <v>636.52399999999989</v>
      </c>
      <c r="I6" s="40">
        <v>637</v>
      </c>
      <c r="J6" s="40">
        <v>30.72</v>
      </c>
      <c r="K6" s="40">
        <f t="shared" si="3"/>
        <v>780.2879999999999</v>
      </c>
      <c r="L6" s="40">
        <v>780</v>
      </c>
      <c r="M6" s="40">
        <v>30.651</v>
      </c>
      <c r="N6">
        <f t="shared" si="4"/>
        <v>778.53539999999998</v>
      </c>
    </row>
    <row r="7" spans="1:15" x14ac:dyDescent="0.25">
      <c r="A7" s="198">
        <v>29.06</v>
      </c>
      <c r="B7" s="198">
        <f t="shared" si="0"/>
        <v>738.12399999999991</v>
      </c>
      <c r="C7" s="198">
        <v>738</v>
      </c>
      <c r="D7" s="40">
        <v>33.93</v>
      </c>
      <c r="E7" s="40">
        <f t="shared" si="1"/>
        <v>861.82199999999989</v>
      </c>
      <c r="F7" s="40">
        <v>862</v>
      </c>
      <c r="G7" s="40">
        <v>29.06</v>
      </c>
      <c r="H7" s="40">
        <f t="shared" si="2"/>
        <v>738.12399999999991</v>
      </c>
      <c r="I7" s="40">
        <v>738</v>
      </c>
      <c r="J7" s="40">
        <v>35.72</v>
      </c>
      <c r="K7" s="40">
        <f t="shared" si="3"/>
        <v>907.2879999999999</v>
      </c>
      <c r="L7" s="40">
        <v>907</v>
      </c>
      <c r="M7" s="40">
        <v>35.651000000000003</v>
      </c>
      <c r="N7">
        <f t="shared" si="4"/>
        <v>905.53539999999998</v>
      </c>
      <c r="O7" s="40">
        <v>906</v>
      </c>
    </row>
    <row r="8" spans="1:15" x14ac:dyDescent="0.25">
      <c r="A8" s="198">
        <v>33.06</v>
      </c>
      <c r="B8" s="198">
        <f t="shared" si="0"/>
        <v>839.72400000000005</v>
      </c>
      <c r="C8" s="687"/>
      <c r="D8" s="40">
        <v>38.43</v>
      </c>
      <c r="E8" s="40">
        <f t="shared" si="1"/>
        <v>976.12199999999996</v>
      </c>
      <c r="F8" s="40">
        <v>976</v>
      </c>
      <c r="G8" s="40">
        <v>33.06</v>
      </c>
      <c r="H8" s="40">
        <f t="shared" si="2"/>
        <v>839.72400000000005</v>
      </c>
      <c r="I8" s="40"/>
      <c r="J8" s="40">
        <v>40.72</v>
      </c>
      <c r="K8" s="40">
        <f t="shared" si="3"/>
        <v>1034.288</v>
      </c>
      <c r="L8" s="40">
        <v>1034</v>
      </c>
      <c r="M8" s="40">
        <v>40.651000000000003</v>
      </c>
      <c r="N8">
        <f t="shared" si="4"/>
        <v>1032.5354</v>
      </c>
    </row>
    <row r="9" spans="1:15" x14ac:dyDescent="0.25">
      <c r="A9" s="198">
        <v>37.06</v>
      </c>
      <c r="B9" s="198">
        <f t="shared" si="0"/>
        <v>941.32399999999996</v>
      </c>
      <c r="C9" s="198">
        <v>941</v>
      </c>
      <c r="D9" s="40">
        <v>42.93</v>
      </c>
      <c r="E9" s="40">
        <f t="shared" si="1"/>
        <v>1090.422</v>
      </c>
      <c r="F9" s="40">
        <v>1090</v>
      </c>
      <c r="G9" s="40">
        <v>37.06</v>
      </c>
      <c r="H9" s="40">
        <f t="shared" si="2"/>
        <v>941.32399999999996</v>
      </c>
      <c r="I9" s="40">
        <v>941</v>
      </c>
      <c r="J9" s="40">
        <v>45.72</v>
      </c>
      <c r="K9" s="40">
        <f t="shared" si="3"/>
        <v>1161.288</v>
      </c>
      <c r="L9" s="40">
        <v>1161</v>
      </c>
      <c r="M9" s="40">
        <v>45.651000000000003</v>
      </c>
      <c r="N9">
        <f t="shared" si="4"/>
        <v>1159.5354</v>
      </c>
      <c r="O9" s="40">
        <v>1160</v>
      </c>
    </row>
    <row r="10" spans="1:15" x14ac:dyDescent="0.25">
      <c r="A10" s="198">
        <v>41.06</v>
      </c>
      <c r="B10" s="198">
        <f t="shared" si="0"/>
        <v>1042.924</v>
      </c>
      <c r="C10" s="687"/>
      <c r="D10" s="40">
        <v>47.43</v>
      </c>
      <c r="E10" s="40">
        <f t="shared" si="1"/>
        <v>1204.722</v>
      </c>
      <c r="F10" s="40">
        <v>1205</v>
      </c>
      <c r="G10" s="40">
        <v>41.06</v>
      </c>
      <c r="H10" s="40">
        <f t="shared" si="2"/>
        <v>1042.924</v>
      </c>
      <c r="I10" s="40"/>
      <c r="J10" s="40">
        <v>50.72</v>
      </c>
      <c r="K10" s="40">
        <f t="shared" si="3"/>
        <v>1288.288</v>
      </c>
      <c r="L10" s="40">
        <v>1288</v>
      </c>
      <c r="M10" s="40">
        <v>50.651000000000003</v>
      </c>
      <c r="N10">
        <f t="shared" si="4"/>
        <v>1286.5354</v>
      </c>
    </row>
    <row r="11" spans="1:15" x14ac:dyDescent="0.25">
      <c r="A11" s="198">
        <v>45.06</v>
      </c>
      <c r="B11" s="198">
        <f t="shared" si="0"/>
        <v>1144.5239999999999</v>
      </c>
      <c r="C11" s="198">
        <v>1145</v>
      </c>
      <c r="D11" s="40">
        <v>51.93</v>
      </c>
      <c r="E11" s="40">
        <f t="shared" si="1"/>
        <v>1319.0219999999999</v>
      </c>
      <c r="F11" s="40">
        <v>1319</v>
      </c>
      <c r="G11" s="40">
        <v>45.06</v>
      </c>
      <c r="H11" s="40">
        <f t="shared" si="2"/>
        <v>1144.5239999999999</v>
      </c>
      <c r="I11" s="40">
        <v>1145</v>
      </c>
      <c r="J11" s="40">
        <v>55.72</v>
      </c>
      <c r="K11" s="40">
        <f t="shared" si="3"/>
        <v>1415.2879999999998</v>
      </c>
      <c r="L11" s="40">
        <v>1415</v>
      </c>
      <c r="M11" s="40">
        <v>55.651000000000003</v>
      </c>
      <c r="N11">
        <f t="shared" si="4"/>
        <v>1413.5354</v>
      </c>
      <c r="O11" s="40">
        <v>1414</v>
      </c>
    </row>
    <row r="12" spans="1:15" x14ac:dyDescent="0.25">
      <c r="A12" s="198">
        <v>49.06</v>
      </c>
      <c r="B12" s="198">
        <f t="shared" si="0"/>
        <v>1246.124</v>
      </c>
      <c r="C12" s="198">
        <v>1246</v>
      </c>
      <c r="D12" s="40">
        <v>56.43</v>
      </c>
      <c r="E12" s="40">
        <f t="shared" si="1"/>
        <v>1433.3219999999999</v>
      </c>
      <c r="F12" s="40">
        <v>1433</v>
      </c>
      <c r="G12" s="40">
        <v>49.06</v>
      </c>
      <c r="H12" s="40">
        <f t="shared" si="2"/>
        <v>1246.124</v>
      </c>
      <c r="I12" s="40">
        <v>1246</v>
      </c>
      <c r="J12" s="40">
        <v>60.72</v>
      </c>
      <c r="K12" s="40">
        <f t="shared" si="3"/>
        <v>1542.2879999999998</v>
      </c>
      <c r="L12" s="40">
        <v>1542</v>
      </c>
      <c r="M12" s="40">
        <v>60.651000000000003</v>
      </c>
      <c r="N12">
        <f t="shared" si="4"/>
        <v>1540.5354</v>
      </c>
    </row>
    <row r="13" spans="1:15" x14ac:dyDescent="0.25">
      <c r="A13" s="198">
        <v>53.06</v>
      </c>
      <c r="B13" s="198">
        <f t="shared" si="0"/>
        <v>1347.7239999999999</v>
      </c>
      <c r="C13" s="688"/>
      <c r="D13" s="40">
        <v>60.93</v>
      </c>
      <c r="E13" s="40">
        <f t="shared" si="1"/>
        <v>1547.6219999999998</v>
      </c>
      <c r="F13" s="40">
        <v>1548</v>
      </c>
      <c r="G13" s="40">
        <v>53.06</v>
      </c>
      <c r="H13" s="40">
        <f t="shared" si="2"/>
        <v>1347.7239999999999</v>
      </c>
      <c r="I13" s="40"/>
      <c r="J13" s="40">
        <v>65.72</v>
      </c>
      <c r="K13" s="40">
        <f t="shared" si="3"/>
        <v>1669.2879999999998</v>
      </c>
      <c r="L13" s="40">
        <v>1669</v>
      </c>
      <c r="M13" s="40">
        <v>65.650999999999996</v>
      </c>
      <c r="N13">
        <f t="shared" si="4"/>
        <v>1667.5353999999998</v>
      </c>
      <c r="O13" s="40">
        <v>1668</v>
      </c>
    </row>
    <row r="14" spans="1:15" x14ac:dyDescent="0.25">
      <c r="A14" s="198">
        <v>57.06</v>
      </c>
      <c r="B14" s="198">
        <f t="shared" si="0"/>
        <v>1449.3240000000001</v>
      </c>
      <c r="C14" s="198">
        <v>1449</v>
      </c>
      <c r="D14" s="40">
        <v>65.430000000000007</v>
      </c>
      <c r="E14" s="40">
        <f t="shared" si="1"/>
        <v>1661.922</v>
      </c>
      <c r="F14" s="40">
        <v>1662</v>
      </c>
      <c r="G14" s="40">
        <v>57.06</v>
      </c>
      <c r="H14" s="40">
        <f t="shared" si="2"/>
        <v>1449.3240000000001</v>
      </c>
      <c r="I14" s="40">
        <v>1449</v>
      </c>
      <c r="J14" s="40">
        <v>70.72</v>
      </c>
      <c r="K14" s="40">
        <f>J14*25.4</f>
        <v>1796.2879999999998</v>
      </c>
      <c r="L14" s="40">
        <v>1796</v>
      </c>
      <c r="M14" s="40">
        <v>70.650999999999996</v>
      </c>
      <c r="N14">
        <f t="shared" si="4"/>
        <v>1794.5353999999998</v>
      </c>
      <c r="O14" s="40">
        <v>1795</v>
      </c>
    </row>
    <row r="15" spans="1:15" x14ac:dyDescent="0.25">
      <c r="A15" s="198">
        <v>61.06</v>
      </c>
      <c r="B15" s="198">
        <f t="shared" si="0"/>
        <v>1550.924</v>
      </c>
      <c r="C15" s="688"/>
      <c r="D15" s="40">
        <v>69.930000000000007</v>
      </c>
      <c r="E15" s="40">
        <f t="shared" si="1"/>
        <v>1776.222</v>
      </c>
      <c r="F15" s="40">
        <v>1776</v>
      </c>
      <c r="G15" s="40">
        <v>61.06</v>
      </c>
      <c r="H15" s="40">
        <f t="shared" si="2"/>
        <v>1550.924</v>
      </c>
      <c r="I15" s="40"/>
      <c r="J15" s="40"/>
      <c r="K15" s="40"/>
      <c r="L15" s="40"/>
      <c r="M15" s="40"/>
    </row>
    <row r="16" spans="1:15" x14ac:dyDescent="0.25">
      <c r="A16" s="198">
        <v>65.06</v>
      </c>
      <c r="B16" s="198">
        <f t="shared" si="0"/>
        <v>1652.5239999999999</v>
      </c>
      <c r="C16" s="198">
        <v>1653</v>
      </c>
      <c r="D16" s="40">
        <v>74.430000000000007</v>
      </c>
      <c r="E16" s="40">
        <f t="shared" si="1"/>
        <v>1890.5220000000002</v>
      </c>
      <c r="F16" s="40">
        <v>1891</v>
      </c>
      <c r="G16" s="40">
        <v>65.06</v>
      </c>
      <c r="H16" s="40">
        <f t="shared" si="2"/>
        <v>1652.5239999999999</v>
      </c>
      <c r="I16" s="40">
        <v>1653</v>
      </c>
      <c r="J16" s="40"/>
      <c r="K16" s="40"/>
      <c r="L16" s="40"/>
      <c r="M16" s="40"/>
    </row>
    <row r="17" spans="1:16" x14ac:dyDescent="0.25">
      <c r="A17" s="198">
        <v>69.06</v>
      </c>
      <c r="B17" s="198">
        <f t="shared" si="0"/>
        <v>1754.124</v>
      </c>
      <c r="C17" s="198">
        <v>1754</v>
      </c>
      <c r="D17" s="40"/>
      <c r="E17" s="40"/>
      <c r="F17" s="40"/>
      <c r="G17" s="40">
        <v>69.06</v>
      </c>
      <c r="H17" s="40">
        <f t="shared" si="2"/>
        <v>1754.124</v>
      </c>
      <c r="I17" s="40">
        <v>1754</v>
      </c>
      <c r="J17" s="40"/>
      <c r="K17" s="40"/>
      <c r="L17" s="40"/>
      <c r="M17" s="40"/>
    </row>
    <row r="18" spans="1:16" ht="15.75" thickBot="1" x14ac:dyDescent="0.3">
      <c r="A18" s="685">
        <v>73.06</v>
      </c>
      <c r="B18" s="198">
        <f t="shared" si="0"/>
        <v>1855.7239999999999</v>
      </c>
      <c r="C18" s="685">
        <v>1856</v>
      </c>
      <c r="D18" s="43"/>
      <c r="E18" s="43"/>
      <c r="F18" s="43"/>
      <c r="G18" s="43">
        <v>73.06</v>
      </c>
      <c r="H18" s="40">
        <f t="shared" si="2"/>
        <v>1855.7239999999999</v>
      </c>
      <c r="I18" s="43">
        <v>1856</v>
      </c>
      <c r="J18" s="43"/>
      <c r="K18" s="43"/>
      <c r="L18" s="43"/>
      <c r="M18" s="43"/>
    </row>
    <row r="19" spans="1:16" x14ac:dyDescent="0.25">
      <c r="B19" s="659"/>
      <c r="C19" s="659"/>
      <c r="D19" s="659"/>
    </row>
    <row r="20" spans="1:16" x14ac:dyDescent="0.25">
      <c r="B20" s="686"/>
      <c r="C20" s="686"/>
      <c r="D20" s="659"/>
      <c r="H20" s="40">
        <f>COUNT(H3:H18)</f>
        <v>16</v>
      </c>
      <c r="I20" s="40">
        <f>COUNT(I3:I18)</f>
        <v>11</v>
      </c>
      <c r="N20">
        <f>COUNT(N3:N14)</f>
        <v>12</v>
      </c>
      <c r="O20">
        <f>COUNT(O3:O14)</f>
        <v>7</v>
      </c>
    </row>
    <row r="21" spans="1:16" x14ac:dyDescent="0.25">
      <c r="B21" s="659"/>
      <c r="C21" s="659"/>
      <c r="D21" s="659"/>
    </row>
    <row r="22" spans="1:16" x14ac:dyDescent="0.25">
      <c r="B22" s="659"/>
      <c r="C22" s="659"/>
      <c r="D22" s="659"/>
    </row>
    <row r="27" spans="1:16" x14ac:dyDescent="0.25">
      <c r="H27" s="660"/>
      <c r="I27" s="660"/>
      <c r="J27" s="660"/>
      <c r="K27" s="660"/>
      <c r="L27" s="660"/>
      <c r="M27" s="660"/>
      <c r="N27" s="660"/>
      <c r="O27" s="660"/>
      <c r="P27" s="660"/>
    </row>
    <row r="28" spans="1:16" ht="15.75" thickBot="1" x14ac:dyDescent="0.3">
      <c r="H28" s="660"/>
      <c r="I28" s="660"/>
      <c r="J28" s="660"/>
      <c r="K28" s="660"/>
      <c r="L28" s="660"/>
      <c r="M28" s="660"/>
      <c r="N28" s="660"/>
      <c r="O28" s="660"/>
      <c r="P28" s="660"/>
    </row>
    <row r="29" spans="1:16" x14ac:dyDescent="0.25">
      <c r="E29" s="417"/>
      <c r="F29" s="698"/>
      <c r="G29" s="189"/>
      <c r="H29" s="190"/>
      <c r="I29" s="660"/>
      <c r="J29" s="660"/>
      <c r="K29" s="660"/>
      <c r="L29" s="660"/>
      <c r="M29" s="660"/>
      <c r="N29" s="660"/>
      <c r="O29" s="660"/>
      <c r="P29" s="660"/>
    </row>
    <row r="30" spans="1:16" ht="18.75" x14ac:dyDescent="0.3">
      <c r="E30" s="713" t="s">
        <v>204</v>
      </c>
      <c r="F30" s="699"/>
      <c r="G30" s="499"/>
      <c r="H30" s="693"/>
      <c r="I30" s="660"/>
      <c r="J30" s="690"/>
      <c r="K30" s="690"/>
      <c r="L30" s="690"/>
      <c r="M30" s="690"/>
      <c r="N30" s="660"/>
      <c r="O30" s="660"/>
      <c r="P30" s="660"/>
    </row>
    <row r="31" spans="1:16" ht="15.75" x14ac:dyDescent="0.25">
      <c r="E31" s="715" t="s">
        <v>39</v>
      </c>
      <c r="F31" s="715" t="s">
        <v>39</v>
      </c>
      <c r="G31" s="715" t="s">
        <v>39</v>
      </c>
      <c r="H31" s="693"/>
      <c r="I31" s="660"/>
      <c r="J31" s="690"/>
      <c r="K31" s="690"/>
      <c r="L31" s="690"/>
      <c r="M31" s="690"/>
      <c r="N31" s="660"/>
      <c r="O31" s="660"/>
      <c r="P31" s="660"/>
    </row>
    <row r="32" spans="1:16" x14ac:dyDescent="0.25">
      <c r="E32" s="709" t="s">
        <v>348</v>
      </c>
      <c r="F32" s="710" t="s">
        <v>349</v>
      </c>
      <c r="G32" s="711" t="s">
        <v>350</v>
      </c>
      <c r="H32" s="712"/>
      <c r="I32" s="660"/>
      <c r="J32" s="477"/>
      <c r="K32" s="477"/>
      <c r="L32" s="477"/>
      <c r="M32" s="477"/>
      <c r="N32" s="660"/>
      <c r="O32" s="660"/>
      <c r="P32" s="660"/>
    </row>
    <row r="33" spans="5:16" x14ac:dyDescent="0.25">
      <c r="E33" s="447">
        <v>13.06</v>
      </c>
      <c r="F33" s="700">
        <f>E33*25.4</f>
        <v>331.72399999999999</v>
      </c>
      <c r="G33" s="688"/>
      <c r="H33" s="169"/>
      <c r="I33" s="660"/>
      <c r="J33" s="660"/>
      <c r="K33" s="660"/>
      <c r="L33" s="660"/>
      <c r="M33" s="660"/>
      <c r="N33" s="691"/>
      <c r="O33" s="660"/>
      <c r="P33" s="660"/>
    </row>
    <row r="34" spans="5:16" x14ac:dyDescent="0.25">
      <c r="E34" s="447">
        <v>17.059999999999999</v>
      </c>
      <c r="F34" s="700">
        <f t="shared" ref="F34:F48" si="5">E34*25.4</f>
        <v>433.32399999999996</v>
      </c>
      <c r="G34" s="198">
        <v>433</v>
      </c>
      <c r="H34" s="169"/>
      <c r="I34" s="660"/>
      <c r="J34" s="660"/>
      <c r="K34" s="660"/>
      <c r="L34" s="660"/>
      <c r="M34" s="660"/>
      <c r="N34" s="660"/>
      <c r="O34" s="660"/>
      <c r="P34" s="660"/>
    </row>
    <row r="35" spans="5:16" x14ac:dyDescent="0.25">
      <c r="E35" s="447">
        <v>21.06</v>
      </c>
      <c r="F35" s="700">
        <f t="shared" si="5"/>
        <v>534.92399999999998</v>
      </c>
      <c r="G35" s="688"/>
      <c r="H35" s="169"/>
      <c r="I35" s="660"/>
      <c r="J35" s="660"/>
      <c r="K35" s="660"/>
      <c r="L35" s="660"/>
      <c r="M35" s="660"/>
      <c r="N35" s="660"/>
      <c r="O35" s="660"/>
      <c r="P35" s="660"/>
    </row>
    <row r="36" spans="5:16" x14ac:dyDescent="0.25">
      <c r="E36" s="447">
        <v>25.06</v>
      </c>
      <c r="F36" s="700">
        <f t="shared" si="5"/>
        <v>636.52399999999989</v>
      </c>
      <c r="G36" s="198">
        <v>637</v>
      </c>
      <c r="H36" s="169"/>
      <c r="I36" s="660"/>
      <c r="J36" s="660"/>
      <c r="K36" s="660"/>
      <c r="L36" s="660"/>
      <c r="M36" s="660"/>
      <c r="N36" s="660"/>
      <c r="O36" s="660"/>
      <c r="P36" s="660"/>
    </row>
    <row r="37" spans="5:16" x14ac:dyDescent="0.25">
      <c r="E37" s="447">
        <v>29.06</v>
      </c>
      <c r="F37" s="700">
        <f t="shared" si="5"/>
        <v>738.12399999999991</v>
      </c>
      <c r="G37" s="198">
        <v>738</v>
      </c>
      <c r="H37" s="169"/>
      <c r="I37" s="660"/>
      <c r="J37" s="660"/>
      <c r="K37" s="660"/>
      <c r="L37" s="660"/>
      <c r="M37" s="660"/>
      <c r="N37" s="660"/>
      <c r="O37" s="660"/>
      <c r="P37" s="660"/>
    </row>
    <row r="38" spans="5:16" x14ac:dyDescent="0.25">
      <c r="E38" s="447">
        <v>33.06</v>
      </c>
      <c r="F38" s="700">
        <f t="shared" si="5"/>
        <v>839.72400000000005</v>
      </c>
      <c r="G38" s="688"/>
      <c r="H38" s="169"/>
      <c r="I38" s="660"/>
      <c r="J38" s="660"/>
      <c r="K38" s="660"/>
      <c r="L38" s="660"/>
      <c r="M38" s="660"/>
      <c r="N38" s="660"/>
      <c r="O38" s="660"/>
      <c r="P38" s="660"/>
    </row>
    <row r="39" spans="5:16" x14ac:dyDescent="0.25">
      <c r="E39" s="447">
        <v>37.06</v>
      </c>
      <c r="F39" s="700">
        <f t="shared" si="5"/>
        <v>941.32399999999996</v>
      </c>
      <c r="G39" s="198">
        <v>941</v>
      </c>
      <c r="H39" s="169"/>
      <c r="I39" s="660"/>
      <c r="J39" s="660"/>
      <c r="K39" s="660"/>
      <c r="L39" s="660"/>
      <c r="M39" s="660"/>
      <c r="N39" s="660"/>
      <c r="O39" s="660"/>
      <c r="P39" s="660"/>
    </row>
    <row r="40" spans="5:16" x14ac:dyDescent="0.25">
      <c r="E40" s="447">
        <v>41.06</v>
      </c>
      <c r="F40" s="700">
        <f t="shared" si="5"/>
        <v>1042.924</v>
      </c>
      <c r="G40" s="688"/>
      <c r="H40" s="169"/>
      <c r="I40" s="660"/>
      <c r="J40" s="660"/>
      <c r="K40" s="660"/>
      <c r="L40" s="660"/>
      <c r="M40" s="660"/>
      <c r="N40" s="660"/>
      <c r="O40" s="660"/>
      <c r="P40" s="660"/>
    </row>
    <row r="41" spans="5:16" x14ac:dyDescent="0.25">
      <c r="E41" s="447">
        <v>45.06</v>
      </c>
      <c r="F41" s="700">
        <f t="shared" si="5"/>
        <v>1144.5239999999999</v>
      </c>
      <c r="G41" s="198">
        <v>1145</v>
      </c>
      <c r="H41" s="169"/>
      <c r="I41" s="660"/>
      <c r="J41" s="660"/>
      <c r="K41" s="660"/>
      <c r="L41" s="660"/>
      <c r="M41" s="660"/>
      <c r="N41" s="660"/>
      <c r="O41" s="660"/>
      <c r="P41" s="660"/>
    </row>
    <row r="42" spans="5:16" x14ac:dyDescent="0.25">
      <c r="E42" s="447">
        <v>49.06</v>
      </c>
      <c r="F42" s="700">
        <f t="shared" si="5"/>
        <v>1246.124</v>
      </c>
      <c r="G42" s="198">
        <v>1246</v>
      </c>
      <c r="H42" s="169"/>
      <c r="I42" s="660"/>
      <c r="J42" s="660"/>
      <c r="K42" s="660"/>
      <c r="L42" s="660"/>
      <c r="M42" s="660"/>
      <c r="N42" s="660"/>
      <c r="O42" s="660"/>
      <c r="P42" s="660"/>
    </row>
    <row r="43" spans="5:16" x14ac:dyDescent="0.25">
      <c r="E43" s="447">
        <v>53.06</v>
      </c>
      <c r="F43" s="700">
        <f t="shared" si="5"/>
        <v>1347.7239999999999</v>
      </c>
      <c r="G43" s="688"/>
      <c r="H43" s="169"/>
      <c r="I43" s="660"/>
      <c r="J43" s="660"/>
      <c r="K43" s="660"/>
      <c r="L43" s="660"/>
      <c r="M43" s="660"/>
      <c r="N43" s="660"/>
      <c r="O43" s="660"/>
      <c r="P43" s="660"/>
    </row>
    <row r="44" spans="5:16" x14ac:dyDescent="0.25">
      <c r="E44" s="447">
        <v>57.06</v>
      </c>
      <c r="F44" s="700">
        <f t="shared" si="5"/>
        <v>1449.3240000000001</v>
      </c>
      <c r="G44" s="198">
        <v>1449</v>
      </c>
      <c r="H44" s="169"/>
      <c r="I44" s="660"/>
      <c r="J44" s="660"/>
      <c r="K44" s="660"/>
      <c r="L44" s="660"/>
      <c r="M44" s="660"/>
      <c r="N44" s="660"/>
      <c r="O44" s="660"/>
      <c r="P44" s="660"/>
    </row>
    <row r="45" spans="5:16" x14ac:dyDescent="0.25">
      <c r="E45" s="447">
        <v>61.06</v>
      </c>
      <c r="F45" s="700">
        <f t="shared" si="5"/>
        <v>1550.924</v>
      </c>
      <c r="G45" s="688"/>
      <c r="H45" s="169"/>
      <c r="I45" s="660"/>
      <c r="J45" s="660"/>
      <c r="K45" s="660"/>
      <c r="L45" s="660"/>
      <c r="M45" s="660"/>
      <c r="N45" s="660"/>
      <c r="O45" s="660"/>
      <c r="P45" s="660"/>
    </row>
    <row r="46" spans="5:16" x14ac:dyDescent="0.25">
      <c r="E46" s="447">
        <v>65.06</v>
      </c>
      <c r="F46" s="700">
        <f t="shared" si="5"/>
        <v>1652.5239999999999</v>
      </c>
      <c r="G46" s="198">
        <v>1653</v>
      </c>
      <c r="H46" s="169"/>
      <c r="I46" s="660"/>
      <c r="J46" s="660"/>
      <c r="K46" s="660"/>
      <c r="L46" s="660"/>
      <c r="M46" s="660"/>
      <c r="N46" s="660"/>
      <c r="O46" s="660"/>
      <c r="P46" s="660"/>
    </row>
    <row r="47" spans="5:16" x14ac:dyDescent="0.25">
      <c r="E47" s="447">
        <v>69.06</v>
      </c>
      <c r="F47" s="700">
        <f t="shared" si="5"/>
        <v>1754.124</v>
      </c>
      <c r="G47" s="198">
        <v>1754</v>
      </c>
      <c r="H47" s="169"/>
      <c r="I47" s="660"/>
      <c r="J47" s="660"/>
      <c r="K47" s="660"/>
      <c r="L47" s="660"/>
      <c r="M47" s="660"/>
      <c r="N47" s="660"/>
      <c r="O47" s="660"/>
      <c r="P47" s="660"/>
    </row>
    <row r="48" spans="5:16" x14ac:dyDescent="0.25">
      <c r="E48" s="447">
        <v>73.06</v>
      </c>
      <c r="F48" s="700">
        <f t="shared" si="5"/>
        <v>1855.7239999999999</v>
      </c>
      <c r="G48" s="198">
        <v>1856</v>
      </c>
      <c r="H48" s="169"/>
      <c r="I48" s="660"/>
      <c r="J48" s="660"/>
      <c r="K48" s="660"/>
      <c r="L48" s="660"/>
      <c r="M48" s="660"/>
      <c r="N48" s="660"/>
      <c r="O48" s="660"/>
      <c r="P48" s="660"/>
    </row>
    <row r="49" spans="5:16" ht="15.75" thickBot="1" x14ac:dyDescent="0.3">
      <c r="E49" s="695"/>
      <c r="F49" s="701"/>
      <c r="G49" s="685"/>
      <c r="H49" s="170"/>
      <c r="I49" s="660"/>
      <c r="J49" s="660"/>
      <c r="K49" s="660"/>
      <c r="L49" s="660"/>
      <c r="M49" s="660"/>
      <c r="N49" s="660"/>
      <c r="O49" s="660"/>
      <c r="P49" s="660"/>
    </row>
    <row r="50" spans="5:16" ht="21" x14ac:dyDescent="0.35">
      <c r="E50" s="714" t="s">
        <v>210</v>
      </c>
      <c r="F50" s="702"/>
      <c r="G50" s="696"/>
      <c r="H50" s="697"/>
      <c r="I50" s="660"/>
      <c r="J50" s="660"/>
      <c r="K50" s="660"/>
      <c r="L50" s="660"/>
      <c r="M50" s="660"/>
      <c r="N50" s="660"/>
      <c r="O50" s="660"/>
      <c r="P50" s="660"/>
    </row>
    <row r="51" spans="5:16" ht="15.75" x14ac:dyDescent="0.25">
      <c r="E51" s="715" t="s">
        <v>39</v>
      </c>
      <c r="F51" s="715" t="s">
        <v>39</v>
      </c>
      <c r="G51" s="715" t="s">
        <v>39</v>
      </c>
      <c r="H51" s="694"/>
      <c r="I51" s="660"/>
      <c r="J51" s="660"/>
      <c r="K51" s="660"/>
      <c r="L51" s="660"/>
      <c r="M51" s="660"/>
      <c r="N51" s="660"/>
      <c r="O51" s="660"/>
      <c r="P51" s="660"/>
    </row>
    <row r="52" spans="5:16" x14ac:dyDescent="0.25">
      <c r="E52" s="704" t="s">
        <v>348</v>
      </c>
      <c r="F52" s="705" t="s">
        <v>349</v>
      </c>
      <c r="G52" s="706" t="s">
        <v>350</v>
      </c>
      <c r="H52" s="708"/>
      <c r="I52" s="660"/>
      <c r="J52" s="660"/>
      <c r="K52" s="660"/>
      <c r="L52" s="660"/>
      <c r="M52" s="660"/>
      <c r="N52" s="660"/>
      <c r="O52" s="660"/>
      <c r="P52" s="660"/>
    </row>
    <row r="53" spans="5:16" x14ac:dyDescent="0.25">
      <c r="E53" s="41">
        <v>13.06</v>
      </c>
      <c r="F53" s="497">
        <f>E53*25.4</f>
        <v>331.72399999999999</v>
      </c>
      <c r="G53" s="40">
        <v>332</v>
      </c>
      <c r="H53" s="694"/>
      <c r="I53" s="660"/>
      <c r="J53" s="660"/>
      <c r="K53" s="660"/>
      <c r="L53" s="660"/>
      <c r="M53" s="660"/>
      <c r="N53" s="660"/>
      <c r="O53" s="660"/>
      <c r="P53" s="660"/>
    </row>
    <row r="54" spans="5:16" x14ac:dyDescent="0.25">
      <c r="E54" s="41">
        <v>17.059999999999999</v>
      </c>
      <c r="F54" s="497">
        <f t="shared" ref="F54:F68" si="6">E54*25.4</f>
        <v>433.32399999999996</v>
      </c>
      <c r="G54" s="40">
        <v>433</v>
      </c>
      <c r="H54" s="169"/>
      <c r="I54" s="660"/>
      <c r="J54" s="660"/>
      <c r="K54" s="660"/>
      <c r="L54" s="660"/>
      <c r="M54" s="660"/>
      <c r="N54" s="660"/>
      <c r="O54" s="660"/>
      <c r="P54" s="660"/>
    </row>
    <row r="55" spans="5:16" x14ac:dyDescent="0.25">
      <c r="E55" s="41">
        <v>21.06</v>
      </c>
      <c r="F55" s="497">
        <f t="shared" si="6"/>
        <v>534.92399999999998</v>
      </c>
      <c r="G55" s="689"/>
      <c r="H55" s="169"/>
      <c r="I55" s="660"/>
      <c r="J55" s="660"/>
      <c r="K55" s="660"/>
      <c r="L55" s="660"/>
      <c r="M55" s="660"/>
      <c r="N55" s="660"/>
      <c r="O55" s="660"/>
      <c r="P55" s="660"/>
    </row>
    <row r="56" spans="5:16" x14ac:dyDescent="0.25">
      <c r="E56" s="41">
        <v>25.06</v>
      </c>
      <c r="F56" s="497">
        <f t="shared" si="6"/>
        <v>636.52399999999989</v>
      </c>
      <c r="G56" s="40">
        <v>637</v>
      </c>
      <c r="H56" s="169"/>
    </row>
    <row r="57" spans="5:16" x14ac:dyDescent="0.25">
      <c r="E57" s="41">
        <v>29.06</v>
      </c>
      <c r="F57" s="497">
        <f t="shared" si="6"/>
        <v>738.12399999999991</v>
      </c>
      <c r="G57" s="40">
        <v>738</v>
      </c>
      <c r="H57" s="169"/>
    </row>
    <row r="58" spans="5:16" x14ac:dyDescent="0.25">
      <c r="E58" s="41">
        <v>33.06</v>
      </c>
      <c r="F58" s="497">
        <f t="shared" si="6"/>
        <v>839.72400000000005</v>
      </c>
      <c r="G58" s="689"/>
      <c r="H58" s="169"/>
    </row>
    <row r="59" spans="5:16" x14ac:dyDescent="0.25">
      <c r="E59" s="41">
        <v>37.06</v>
      </c>
      <c r="F59" s="497">
        <f t="shared" si="6"/>
        <v>941.32399999999996</v>
      </c>
      <c r="G59" s="40">
        <v>941</v>
      </c>
      <c r="H59" s="169"/>
    </row>
    <row r="60" spans="5:16" x14ac:dyDescent="0.25">
      <c r="E60" s="41">
        <v>41.06</v>
      </c>
      <c r="F60" s="497">
        <f t="shared" si="6"/>
        <v>1042.924</v>
      </c>
      <c r="G60" s="689"/>
      <c r="H60" s="169"/>
    </row>
    <row r="61" spans="5:16" x14ac:dyDescent="0.25">
      <c r="E61" s="41">
        <v>45.06</v>
      </c>
      <c r="F61" s="497">
        <f t="shared" si="6"/>
        <v>1144.5239999999999</v>
      </c>
      <c r="G61" s="40">
        <v>1145</v>
      </c>
      <c r="H61" s="169"/>
    </row>
    <row r="62" spans="5:16" x14ac:dyDescent="0.25">
      <c r="E62" s="41">
        <v>49.06</v>
      </c>
      <c r="F62" s="497">
        <f t="shared" si="6"/>
        <v>1246.124</v>
      </c>
      <c r="G62" s="40">
        <v>1246</v>
      </c>
      <c r="H62" s="169"/>
    </row>
    <row r="63" spans="5:16" x14ac:dyDescent="0.25">
      <c r="E63" s="41">
        <v>53.06</v>
      </c>
      <c r="F63" s="497">
        <f t="shared" si="6"/>
        <v>1347.7239999999999</v>
      </c>
      <c r="G63" s="689"/>
      <c r="H63" s="169"/>
    </row>
    <row r="64" spans="5:16" x14ac:dyDescent="0.25">
      <c r="E64" s="41">
        <v>57.06</v>
      </c>
      <c r="F64" s="497">
        <f t="shared" si="6"/>
        <v>1449.3240000000001</v>
      </c>
      <c r="G64" s="40">
        <v>1449</v>
      </c>
      <c r="H64" s="169"/>
    </row>
    <row r="65" spans="5:8" x14ac:dyDescent="0.25">
      <c r="E65" s="41">
        <v>61.06</v>
      </c>
      <c r="F65" s="497">
        <f t="shared" si="6"/>
        <v>1550.924</v>
      </c>
      <c r="G65" s="689"/>
      <c r="H65" s="169"/>
    </row>
    <row r="66" spans="5:8" x14ac:dyDescent="0.25">
      <c r="E66" s="41">
        <v>65.06</v>
      </c>
      <c r="F66" s="497">
        <f t="shared" si="6"/>
        <v>1652.5239999999999</v>
      </c>
      <c r="G66" s="40">
        <v>1653</v>
      </c>
      <c r="H66" s="169"/>
    </row>
    <row r="67" spans="5:8" x14ac:dyDescent="0.25">
      <c r="E67" s="41">
        <v>69.06</v>
      </c>
      <c r="F67" s="497">
        <f t="shared" si="6"/>
        <v>1754.124</v>
      </c>
      <c r="G67" s="40">
        <v>1754</v>
      </c>
      <c r="H67" s="169"/>
    </row>
    <row r="68" spans="5:8" x14ac:dyDescent="0.25">
      <c r="E68" s="41">
        <v>73.06</v>
      </c>
      <c r="F68" s="497">
        <f t="shared" si="6"/>
        <v>1855.7239999999999</v>
      </c>
      <c r="G68" s="40">
        <v>1856</v>
      </c>
      <c r="H68" s="169"/>
    </row>
    <row r="69" spans="5:8" ht="15.75" thickBot="1" x14ac:dyDescent="0.3">
      <c r="E69" s="42"/>
      <c r="F69" s="498"/>
      <c r="G69" s="43"/>
      <c r="H69" s="170"/>
    </row>
    <row r="70" spans="5:8" ht="21" x14ac:dyDescent="0.35">
      <c r="E70" s="714" t="s">
        <v>214</v>
      </c>
      <c r="F70" s="698"/>
      <c r="G70" s="189"/>
      <c r="H70" s="190"/>
    </row>
    <row r="71" spans="5:8" ht="15.75" x14ac:dyDescent="0.25">
      <c r="E71" s="715" t="s">
        <v>39</v>
      </c>
      <c r="F71" s="715" t="s">
        <v>39</v>
      </c>
      <c r="G71" s="715" t="s">
        <v>39</v>
      </c>
      <c r="H71" s="169"/>
    </row>
    <row r="72" spans="5:8" x14ac:dyDescent="0.25">
      <c r="E72" s="704" t="s">
        <v>348</v>
      </c>
      <c r="F72" s="705" t="s">
        <v>349</v>
      </c>
      <c r="G72" s="706" t="s">
        <v>350</v>
      </c>
      <c r="H72" s="707"/>
    </row>
    <row r="73" spans="5:8" x14ac:dyDescent="0.25">
      <c r="E73" s="41">
        <v>15.651</v>
      </c>
      <c r="F73" s="703">
        <f>E73*25.4</f>
        <v>397.53539999999998</v>
      </c>
      <c r="G73" s="40">
        <v>398</v>
      </c>
      <c r="H73" s="169"/>
    </row>
    <row r="74" spans="5:8" x14ac:dyDescent="0.25">
      <c r="E74" s="41">
        <v>20.651</v>
      </c>
      <c r="F74" s="497">
        <f t="shared" ref="F74:F84" si="7">E74*25.4</f>
        <v>524.53539999999998</v>
      </c>
      <c r="G74" s="689"/>
      <c r="H74" s="169"/>
    </row>
    <row r="75" spans="5:8" x14ac:dyDescent="0.25">
      <c r="E75" s="41">
        <v>25.651</v>
      </c>
      <c r="F75" s="497">
        <f t="shared" si="7"/>
        <v>651.53539999999998</v>
      </c>
      <c r="G75" s="40">
        <v>652</v>
      </c>
      <c r="H75" s="169"/>
    </row>
    <row r="76" spans="5:8" x14ac:dyDescent="0.25">
      <c r="E76" s="41">
        <v>30.651</v>
      </c>
      <c r="F76" s="497">
        <f t="shared" si="7"/>
        <v>778.53539999999998</v>
      </c>
      <c r="G76" s="689"/>
      <c r="H76" s="169"/>
    </row>
    <row r="77" spans="5:8" x14ac:dyDescent="0.25">
      <c r="E77" s="41">
        <v>35.651000000000003</v>
      </c>
      <c r="F77" s="497">
        <f t="shared" si="7"/>
        <v>905.53539999999998</v>
      </c>
      <c r="G77" s="40">
        <v>906</v>
      </c>
      <c r="H77" s="169"/>
    </row>
    <row r="78" spans="5:8" x14ac:dyDescent="0.25">
      <c r="E78" s="41">
        <v>40.651000000000003</v>
      </c>
      <c r="F78" s="497">
        <f t="shared" si="7"/>
        <v>1032.5354</v>
      </c>
      <c r="G78" s="689"/>
      <c r="H78" s="169"/>
    </row>
    <row r="79" spans="5:8" x14ac:dyDescent="0.25">
      <c r="E79" s="41">
        <v>45.651000000000003</v>
      </c>
      <c r="F79" s="497">
        <f t="shared" si="7"/>
        <v>1159.5354</v>
      </c>
      <c r="G79" s="40">
        <v>1160</v>
      </c>
      <c r="H79" s="169"/>
    </row>
    <row r="80" spans="5:8" x14ac:dyDescent="0.25">
      <c r="E80" s="41">
        <v>50.651000000000003</v>
      </c>
      <c r="F80" s="497">
        <f t="shared" si="7"/>
        <v>1286.5354</v>
      </c>
      <c r="G80" s="689"/>
      <c r="H80" s="169"/>
    </row>
    <row r="81" spans="5:8" x14ac:dyDescent="0.25">
      <c r="E81" s="41">
        <v>55.651000000000003</v>
      </c>
      <c r="F81" s="497">
        <f t="shared" si="7"/>
        <v>1413.5354</v>
      </c>
      <c r="G81" s="40">
        <v>1414</v>
      </c>
      <c r="H81" s="169"/>
    </row>
    <row r="82" spans="5:8" x14ac:dyDescent="0.25">
      <c r="E82" s="41">
        <v>60.651000000000003</v>
      </c>
      <c r="F82" s="497">
        <f t="shared" si="7"/>
        <v>1540.5354</v>
      </c>
      <c r="G82" s="689"/>
      <c r="H82" s="169"/>
    </row>
    <row r="83" spans="5:8" x14ac:dyDescent="0.25">
      <c r="E83" s="41">
        <v>65.650999999999996</v>
      </c>
      <c r="F83" s="497">
        <f t="shared" si="7"/>
        <v>1667.5353999999998</v>
      </c>
      <c r="G83" s="40">
        <v>1668</v>
      </c>
      <c r="H83" s="169"/>
    </row>
    <row r="84" spans="5:8" x14ac:dyDescent="0.25">
      <c r="E84" s="41">
        <v>70.650999999999996</v>
      </c>
      <c r="F84" s="497">
        <f t="shared" si="7"/>
        <v>1794.5353999999998</v>
      </c>
      <c r="G84" s="40">
        <v>1795</v>
      </c>
      <c r="H84" s="169"/>
    </row>
    <row r="85" spans="5:8" ht="15.75" thickBot="1" x14ac:dyDescent="0.3">
      <c r="E85" s="42"/>
      <c r="F85" s="498"/>
      <c r="G85" s="628"/>
      <c r="H85" s="17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8"/>
  <sheetViews>
    <sheetView showGridLines="0" view="pageBreakPreview" zoomScale="90" zoomScaleNormal="160" zoomScaleSheetLayoutView="90" workbookViewId="0">
      <selection activeCell="I43" sqref="I43"/>
    </sheetView>
  </sheetViews>
  <sheetFormatPr defaultRowHeight="15" x14ac:dyDescent="0.25"/>
  <cols>
    <col min="1" max="1" width="9.85546875" customWidth="1"/>
    <col min="2" max="2" width="10.7109375" customWidth="1"/>
    <col min="3" max="4" width="10.140625" customWidth="1"/>
    <col min="5" max="5" width="10.28515625" customWidth="1"/>
    <col min="6" max="6" width="8" customWidth="1"/>
    <col min="7" max="7" width="15.140625" customWidth="1"/>
    <col min="8" max="8" width="10.140625" customWidth="1"/>
    <col min="9" max="9" width="14.5703125" customWidth="1"/>
    <col min="10" max="10" width="9.140625" customWidth="1"/>
    <col min="12" max="12" width="9.140625" customWidth="1"/>
  </cols>
  <sheetData>
    <row r="1" spans="1:11" x14ac:dyDescent="0.25">
      <c r="A1" s="62"/>
      <c r="B1" s="62"/>
      <c r="C1" s="965" t="str">
        <f>IF(E1="","","Job Name:")</f>
        <v/>
      </c>
      <c r="D1" s="966"/>
      <c r="E1" s="62" t="str">
        <f>IF(OR('DATA ENTRY'!B30="",'DATA ENTRY'!B30="ENTER JOB NAME"),"",'DATA ENTRY'!B30)</f>
        <v/>
      </c>
      <c r="F1" s="62"/>
      <c r="G1" s="62"/>
      <c r="H1" s="62"/>
    </row>
    <row r="2" spans="1:11" ht="20.25" customHeight="1" x14ac:dyDescent="0.3">
      <c r="A2" s="62"/>
      <c r="B2" s="62"/>
      <c r="C2" s="965" t="str">
        <f>IF(E2="","","Unit Tag:")</f>
        <v/>
      </c>
      <c r="D2" s="966"/>
      <c r="E2" s="62" t="str">
        <f>IF(OR('DATA ENTRY'!B31="",'DATA ENTRY'!B31="ENTER UNIT TAG"),"",'DATA ENTRY'!B31)</f>
        <v/>
      </c>
      <c r="G2" s="128"/>
      <c r="I2" s="62"/>
    </row>
    <row r="3" spans="1:11" ht="15" customHeight="1" thickBot="1" x14ac:dyDescent="0.3">
      <c r="A3" s="130"/>
      <c r="B3" s="130"/>
      <c r="C3" s="130"/>
      <c r="D3" s="130"/>
      <c r="E3" s="130"/>
      <c r="F3" s="130"/>
      <c r="G3" s="130"/>
      <c r="H3" s="130"/>
      <c r="I3" s="130"/>
    </row>
    <row r="4" spans="1:11" ht="18.75" thickTop="1" x14ac:dyDescent="0.25">
      <c r="A4" s="129"/>
      <c r="B4" s="129"/>
      <c r="C4" s="129"/>
      <c r="D4" s="129"/>
      <c r="E4" s="129"/>
      <c r="F4" s="68"/>
      <c r="G4" s="68"/>
      <c r="H4" s="68"/>
      <c r="I4" s="68"/>
    </row>
    <row r="5" spans="1:11" ht="27" x14ac:dyDescent="0.35">
      <c r="A5" s="64" t="str">
        <f>'DATA ENTRY'!B21&amp;":"</f>
        <v>SELECT MODEL:</v>
      </c>
      <c r="B5" s="64"/>
      <c r="C5" s="950" t="e">
        <f ca="1">'DATA ENTRY'!F21</f>
        <v>#N/A</v>
      </c>
      <c r="D5" s="951"/>
      <c r="E5" s="951"/>
      <c r="F5" s="951"/>
      <c r="G5" s="952"/>
      <c r="H5" s="62"/>
      <c r="I5" s="62"/>
    </row>
    <row r="6" spans="1:11" ht="13.5" customHeight="1" x14ac:dyDescent="0.25">
      <c r="A6" s="63"/>
      <c r="B6" s="63"/>
      <c r="C6" s="953"/>
      <c r="D6" s="954"/>
      <c r="E6" s="954"/>
      <c r="F6" s="954"/>
      <c r="G6" s="955"/>
      <c r="H6" s="62"/>
      <c r="I6" s="62"/>
    </row>
    <row r="7" spans="1:11" ht="15" customHeight="1" x14ac:dyDescent="0.25">
      <c r="A7" s="358" t="str">
        <f ca="1">IF(AND('DATA ENTRY'!O22="",'DATA ENTRY'!O23="",'DATA ENTRY'!O24="",'DATA ENTRY'!O25="",'DATA ENTRY'!O26="",'DATA ENTRY'!O27=""),"","WARNINGS:")</f>
        <v/>
      </c>
      <c r="B7" s="62"/>
      <c r="C7" s="62"/>
      <c r="D7" s="62"/>
      <c r="E7" s="62"/>
      <c r="F7" s="62"/>
      <c r="G7" s="62"/>
      <c r="H7" s="62"/>
      <c r="I7" s="62"/>
    </row>
    <row r="8" spans="1:11" x14ac:dyDescent="0.25">
      <c r="A8" s="361" t="str">
        <f>'DATA ENTRY'!O25</f>
        <v/>
      </c>
      <c r="B8" s="362"/>
      <c r="C8" s="362"/>
      <c r="D8" s="362"/>
      <c r="E8" s="363"/>
      <c r="F8" s="62"/>
      <c r="G8" s="62"/>
      <c r="H8" s="62"/>
      <c r="I8" s="62"/>
    </row>
    <row r="9" spans="1:11" x14ac:dyDescent="0.25">
      <c r="A9" s="361" t="str">
        <f ca="1">'DATA ENTRY'!O26</f>
        <v/>
      </c>
      <c r="B9" s="362"/>
      <c r="C9" s="362"/>
      <c r="D9" s="362"/>
      <c r="E9" s="363"/>
      <c r="F9" s="62"/>
      <c r="G9" s="62"/>
      <c r="H9" s="62"/>
      <c r="I9" s="62"/>
    </row>
    <row r="10" spans="1:11" x14ac:dyDescent="0.25">
      <c r="A10" s="364" t="str">
        <f>'DATA ENTRY'!O22</f>
        <v/>
      </c>
      <c r="B10" s="364"/>
      <c r="C10" s="364"/>
      <c r="D10" s="364"/>
      <c r="E10" s="359"/>
      <c r="F10" s="62"/>
      <c r="G10" s="62"/>
      <c r="H10" s="62"/>
      <c r="I10" s="62"/>
    </row>
    <row r="11" spans="1:11" x14ac:dyDescent="0.25">
      <c r="A11" s="361" t="str">
        <f>'DATA ENTRY'!O23</f>
        <v/>
      </c>
      <c r="B11" s="362"/>
      <c r="C11" s="362"/>
      <c r="D11" s="363"/>
      <c r="E11" s="65"/>
      <c r="F11" s="62"/>
      <c r="G11" s="62"/>
      <c r="H11" s="62"/>
      <c r="I11" s="62"/>
    </row>
    <row r="12" spans="1:11" x14ac:dyDescent="0.25">
      <c r="A12" s="905" t="str">
        <f ca="1">'DATA ENTRY'!O27</f>
        <v/>
      </c>
      <c r="B12" s="65"/>
      <c r="C12" s="65"/>
      <c r="E12" s="65"/>
      <c r="F12" s="62"/>
      <c r="G12" s="62"/>
      <c r="H12" s="62"/>
      <c r="I12" s="62"/>
    </row>
    <row r="13" spans="1:11" x14ac:dyDescent="0.25">
      <c r="A13" s="66" t="s">
        <v>54</v>
      </c>
      <c r="B13" s="67"/>
      <c r="C13" s="67"/>
      <c r="D13" s="67"/>
      <c r="E13" s="67"/>
      <c r="F13" s="67"/>
      <c r="G13" s="67"/>
      <c r="H13" s="62"/>
      <c r="I13" s="62"/>
    </row>
    <row r="14" spans="1:11" ht="56.25" customHeight="1" x14ac:dyDescent="0.25">
      <c r="A14" s="69" t="s">
        <v>49</v>
      </c>
      <c r="B14" s="69" t="str">
        <f>"Throat Louver Length ["&amp;'DATA ENTRY'!C23&amp;"] "&amp;IF('DATA ENTRY'!B22="Inch","(mm)","(in.)")</f>
        <v>Throat Louver Length [] (in.)</v>
      </c>
      <c r="C14" s="69" t="str">
        <f>"Throat Louver Width ["&amp;'DATA ENTRY'!C23&amp;"] "&amp;IF('DATA ENTRY'!B22="Inch","(mm)","(in.)")</f>
        <v>Throat Louver Width [] (in.)</v>
      </c>
      <c r="D14" s="69" t="str">
        <f>"Louver Height ["&amp;'DATA ENTRY'!C23&amp;"] "&amp;IF('DATA ENTRY'!B22="Inch","(mm)","(in.)")</f>
        <v>Louver Height [] (in.)</v>
      </c>
      <c r="E14" s="69" t="str">
        <f>"Throat Area "&amp;IF('DATA ENTRY'!B22="Inch","[sq.ft]","[sq.m]")&amp;" "&amp;IF('DATA ENTRY'!B22="Inch","(sq.m)","(sq.ft)")</f>
        <v>Throat Area [sq.m] (sq.ft)</v>
      </c>
      <c r="F14" s="69" t="str">
        <f>"Free Area "&amp;IF('DATA ENTRY'!B22="Inch","[sq.ft]","[sq.m]")&amp;" "&amp;IF('DATA ENTRY'!B22="Inch","(sq.m)","(sq.ft)")</f>
        <v>Free Area [sq.m] (sq.ft)</v>
      </c>
      <c r="G14" s="69" t="s">
        <v>56</v>
      </c>
      <c r="H14" s="69" t="str">
        <f>"Estimated Total Weight "&amp;IF('DATA ENTRY'!B22="Inch","[lb]","[kg]")&amp;" "&amp;IF('DATA ENTRY'!B22="Inch","(kg)","(lb)")</f>
        <v>Estimated Total Weight [kg] (lb)</v>
      </c>
      <c r="I14" s="69" t="s">
        <v>375</v>
      </c>
      <c r="J14" s="192"/>
      <c r="K14" s="192"/>
    </row>
    <row r="15" spans="1:11" ht="19.5" customHeight="1" x14ac:dyDescent="0.25">
      <c r="A15" s="944" t="str">
        <f>'DATA ENTRY'!B21</f>
        <v>SELECT MODEL</v>
      </c>
      <c r="B15" s="870" t="str">
        <f>'DATA ENTRY'!B23</f>
        <v>ENTER LENGTH</v>
      </c>
      <c r="C15" s="870" t="str">
        <f>'DATA ENTRY'!B24</f>
        <v>ENTER WIDTH</v>
      </c>
      <c r="D15" s="870" t="str">
        <f>'DATA ENTRY'!B25</f>
        <v>ENTER HEIGHT</v>
      </c>
      <c r="E15" s="908" t="str">
        <f ca="1">IF('DATA ENTRY'!B22="Inch",'DATA ENTRY'!F24,FIXED('DATA ENTRY'!H24,2,TRUE))</f>
        <v>0.00</v>
      </c>
      <c r="F15" s="908" t="str">
        <f ca="1">IF('DATA ENTRY'!B22="Inch",'DATA ENTRY'!F22,"("&amp;FIXED('DATA ENTRY'!H22,2,TRUE)&amp;")")</f>
        <v>(0.00)</v>
      </c>
      <c r="G15" s="963">
        <f ca="1">'DATA ENTRY'!F23</f>
        <v>0</v>
      </c>
      <c r="H15" s="634">
        <f ca="1">IF('DATA ENTRY'!B22="Inch",'DATA ENTRY'!F28,'DATA ENTRY'!H28)</f>
        <v>0</v>
      </c>
      <c r="I15" s="963" t="str">
        <f>'DATA ENTRY'!B28</f>
        <v>No Curb</v>
      </c>
      <c r="J15" s="192"/>
      <c r="K15" s="192"/>
    </row>
    <row r="16" spans="1:11" ht="16.5" customHeight="1" x14ac:dyDescent="0.25">
      <c r="A16" s="945"/>
      <c r="B16" s="597" t="e">
        <f>IF('DATA ENTRY'!B22="Inch",B15*25.4,B15/25.4)</f>
        <v>#VALUE!</v>
      </c>
      <c r="C16" s="597" t="e">
        <f>IF('DATA ENTRY'!B22="Inch",C15*25.4,C15/25.4)</f>
        <v>#VALUE!</v>
      </c>
      <c r="D16" s="597" t="e">
        <f>IF('DATA ENTRY'!B22="Inch",D15*25.4,D15/25.4)</f>
        <v>#VALUE!</v>
      </c>
      <c r="E16" s="910">
        <f ca="1">IF('DATA ENTRY'!B22="Inch","("&amp;FIXED('DATA ENTRY'!H24,2,TRUE)&amp;")",'DATA ENTRY'!F24)</f>
        <v>0</v>
      </c>
      <c r="F16" s="785">
        <f ca="1">IF('DATA ENTRY'!B22="Inch","("&amp;FIXED('DATA ENTRY'!H22,2,TRUE)&amp;")",'DATA ENTRY'!F22)</f>
        <v>0</v>
      </c>
      <c r="G16" s="964"/>
      <c r="H16" s="597">
        <f ca="1">IF('DATA ENTRY'!B22="Inch",'DATA ENTRY'!H28,'DATA ENTRY'!F28)</f>
        <v>0</v>
      </c>
      <c r="I16" s="964"/>
      <c r="J16" s="192"/>
      <c r="K16" s="192"/>
    </row>
    <row r="17" spans="1:14" x14ac:dyDescent="0.25">
      <c r="A17" s="68"/>
      <c r="B17" s="68"/>
      <c r="C17" s="68"/>
      <c r="D17" s="68"/>
      <c r="E17" s="68"/>
      <c r="F17" s="68"/>
      <c r="G17" s="68"/>
      <c r="H17" s="62"/>
      <c r="I17" s="62"/>
      <c r="J17" s="192"/>
      <c r="K17" s="192"/>
      <c r="L17" s="192"/>
    </row>
    <row r="18" spans="1:14" x14ac:dyDescent="0.25">
      <c r="A18" s="66" t="s">
        <v>55</v>
      </c>
      <c r="B18" s="67"/>
      <c r="C18" s="67"/>
      <c r="D18" s="67"/>
      <c r="E18" s="67"/>
      <c r="F18" s="67"/>
      <c r="G18" s="67"/>
      <c r="H18" s="62"/>
      <c r="I18" s="62"/>
      <c r="J18" s="192"/>
      <c r="K18" s="192"/>
      <c r="L18" s="192"/>
    </row>
    <row r="19" spans="1:14" ht="44.25" customHeight="1" x14ac:dyDescent="0.25">
      <c r="A19" s="70" t="s">
        <v>105</v>
      </c>
      <c r="B19" s="70" t="str">
        <f>"Air Volume "&amp;IF('DATA ENTRY'!B22="Inch","[CFM]","[L/s]")&amp;" "&amp;IF('DATA ENTRY'!B22="Inch","(L/s)","(CFM)")</f>
        <v>Air Volume [L/s] (CFM)</v>
      </c>
      <c r="C19" s="958" t="str">
        <f>"Free Area Velocity "&amp;IF('DATA ENTRY'!B22="Inch","[FPM]","[m/s]")&amp;" "&amp;IF('DATA ENTRY'!B22="Inch","(m/s)","(FPM)")&amp;" *"</f>
        <v>Free Area Velocity [m/s] (FPM) *</v>
      </c>
      <c r="D19" s="959"/>
      <c r="E19" s="958" t="str">
        <f>"Pressure Drop "&amp;IF('DATA ENTRY'!B22="Inch","[in.w.g]","[Pa]")&amp;" "&amp;IF('DATA ENTRY'!B22="Inch","(Pa)","(in.w.g)")&amp;" *"</f>
        <v>Pressure Drop [Pa] (in.w.g) *</v>
      </c>
      <c r="F19" s="961"/>
      <c r="G19" s="67"/>
      <c r="H19" s="62"/>
      <c r="I19" s="437"/>
      <c r="J19" s="4"/>
      <c r="K19" s="192"/>
      <c r="L19" s="192"/>
    </row>
    <row r="20" spans="1:14" ht="16.5" customHeight="1" x14ac:dyDescent="0.25">
      <c r="A20" s="944" t="str">
        <f>'DATA ENTRY'!B27</f>
        <v>SELECT AIR DIRECTION</v>
      </c>
      <c r="B20" s="871" t="str">
        <f>'DATA ENTRY'!B26</f>
        <v>ENTER AIR VOLUME</v>
      </c>
      <c r="C20" s="960">
        <f ca="1">IF('DATA ENTRY'!B22="Inch",FIXED('DATA ENTRY'!F25,0,TRUE),'DATA ENTRY'!H25)</f>
        <v>0</v>
      </c>
      <c r="D20" s="960"/>
      <c r="E20" s="962" t="str">
        <f ca="1">IF('DATA ENTRY'!B22="Inch",'DATA ENTRY'!F27,FIXED('DATA ENTRY'!H27,0,TRUE))</f>
        <v>0</v>
      </c>
      <c r="F20" s="962"/>
      <c r="G20" s="594"/>
      <c r="H20" s="62"/>
      <c r="I20" s="437"/>
      <c r="J20" s="4"/>
      <c r="K20" s="192"/>
      <c r="L20" s="192"/>
    </row>
    <row r="21" spans="1:14" ht="14.25" customHeight="1" x14ac:dyDescent="0.25">
      <c r="A21" s="945"/>
      <c r="B21" s="596" t="e">
        <f>IF('DATA ENTRY'!B22="Inch",B20/2.1188799727597,B20*2.1188799727597)</f>
        <v>#VALUE!</v>
      </c>
      <c r="C21" s="946" t="str">
        <f ca="1">IF('DATA ENTRY'!B22="Inch",'DATA ENTRY'!H25,"("&amp;FIXED('DATA ENTRY'!F25,0,TRUE)&amp;")")</f>
        <v>(0)</v>
      </c>
      <c r="D21" s="947"/>
      <c r="E21" s="948">
        <f ca="1">IF('DATA ENTRY'!B22="Inch","("&amp;FIXED('DATA ENTRY'!H27,0,TRUE)&amp;")",'DATA ENTRY'!F27)</f>
        <v>0</v>
      </c>
      <c r="F21" s="949"/>
      <c r="G21" s="594"/>
      <c r="H21" s="67"/>
      <c r="I21" s="593"/>
      <c r="J21" s="4"/>
      <c r="K21" s="192"/>
      <c r="L21" s="192"/>
    </row>
    <row r="22" spans="1:14" x14ac:dyDescent="0.25">
      <c r="A22" s="717" t="str">
        <f>IF('DATA ENTRY'!B27="Intake","Note: Water penetration point is "&amp;'DATA ENTRY'!F26&amp; " FPM for intake "&amp;'DATA ENTRY'!B21,"Note: Water penetration point not applicable for exhaust louver.")</f>
        <v>Note: Water penetration point not applicable for exhaust louver.</v>
      </c>
      <c r="B22" s="718"/>
      <c r="C22" s="718"/>
      <c r="D22" s="718"/>
      <c r="E22" s="718"/>
      <c r="F22" s="718"/>
      <c r="G22" s="67"/>
      <c r="H22" s="505"/>
      <c r="I22" s="506"/>
      <c r="J22" s="40"/>
      <c r="K22" s="192"/>
      <c r="L22" s="192"/>
    </row>
    <row r="23" spans="1:14" ht="24.75" customHeight="1" x14ac:dyDescent="0.25">
      <c r="A23" s="719"/>
      <c r="B23" s="439"/>
      <c r="C23" s="439"/>
      <c r="D23" s="439"/>
      <c r="E23" s="439"/>
      <c r="F23" s="439"/>
      <c r="G23" s="439"/>
      <c r="H23" s="507"/>
      <c r="I23" s="507"/>
      <c r="J23" s="40"/>
      <c r="K23" s="40"/>
      <c r="L23" s="40"/>
      <c r="M23" s="2"/>
    </row>
    <row r="24" spans="1:14" ht="38.25" customHeight="1" x14ac:dyDescent="0.25">
      <c r="A24" s="721"/>
      <c r="B24" s="721"/>
      <c r="C24" s="721"/>
      <c r="D24" s="721"/>
      <c r="E24" s="721"/>
      <c r="F24" s="968"/>
      <c r="G24" s="968"/>
      <c r="H24" s="508"/>
      <c r="I24" s="508"/>
      <c r="J24" s="439"/>
      <c r="K24" s="439"/>
      <c r="L24" s="40"/>
      <c r="M24" s="40"/>
      <c r="N24" s="192"/>
    </row>
    <row r="25" spans="1:14" x14ac:dyDescent="0.25">
      <c r="A25" s="720"/>
      <c r="B25" s="720"/>
      <c r="C25" s="720"/>
      <c r="D25" s="720"/>
      <c r="E25" s="720"/>
      <c r="F25" s="967"/>
      <c r="G25" s="967"/>
      <c r="H25" s="507"/>
      <c r="I25" s="507"/>
      <c r="J25" s="2"/>
      <c r="K25" s="2"/>
      <c r="L25" s="2"/>
      <c r="M25" s="2"/>
    </row>
    <row r="26" spans="1:14" x14ac:dyDescent="0.25">
      <c r="A26" s="68"/>
      <c r="B26" s="68"/>
      <c r="C26" s="68"/>
      <c r="D26" s="68"/>
      <c r="E26" s="68"/>
      <c r="F26" s="68"/>
      <c r="G26" s="68"/>
      <c r="H26" s="68"/>
      <c r="I26" s="68"/>
    </row>
    <row r="27" spans="1:14" x14ac:dyDescent="0.25">
      <c r="A27" s="62"/>
      <c r="B27" s="62"/>
      <c r="C27" s="62"/>
      <c r="D27" s="62"/>
      <c r="E27" s="62"/>
      <c r="F27" s="62"/>
      <c r="G27" s="62"/>
      <c r="H27" s="62"/>
      <c r="I27" s="62"/>
    </row>
    <row r="28" spans="1:14" x14ac:dyDescent="0.25">
      <c r="A28" s="62"/>
      <c r="B28" s="62"/>
      <c r="C28" s="62"/>
      <c r="D28" s="62"/>
      <c r="E28" s="62"/>
      <c r="F28" s="62"/>
      <c r="G28" s="62"/>
      <c r="H28" s="62"/>
      <c r="I28" s="62"/>
    </row>
    <row r="29" spans="1:14" x14ac:dyDescent="0.25">
      <c r="A29" s="62"/>
      <c r="B29" s="62"/>
      <c r="C29" s="62"/>
      <c r="D29" s="62"/>
      <c r="E29" s="62"/>
      <c r="F29" s="62"/>
      <c r="G29" s="62"/>
      <c r="H29" s="62"/>
      <c r="I29" s="62"/>
    </row>
    <row r="30" spans="1:14" x14ac:dyDescent="0.25">
      <c r="A30" s="62"/>
      <c r="B30" s="62"/>
      <c r="C30" s="62"/>
      <c r="D30" s="62"/>
      <c r="E30" s="62"/>
      <c r="F30" s="62"/>
      <c r="G30" s="62"/>
      <c r="H30" s="62"/>
      <c r="I30" s="62"/>
    </row>
    <row r="31" spans="1:14" x14ac:dyDescent="0.25">
      <c r="A31" s="62"/>
      <c r="B31" s="62"/>
      <c r="C31" s="62"/>
      <c r="D31" s="62"/>
      <c r="E31" s="62"/>
      <c r="F31" s="62"/>
      <c r="G31" s="62"/>
      <c r="H31" s="62"/>
      <c r="I31" s="62"/>
    </row>
    <row r="32" spans="1:14" x14ac:dyDescent="0.25">
      <c r="A32" s="62"/>
      <c r="B32" s="62"/>
      <c r="C32" s="62"/>
      <c r="D32" s="62"/>
      <c r="E32" s="62"/>
      <c r="F32" s="62"/>
      <c r="G32" s="62"/>
      <c r="H32" s="62"/>
      <c r="I32" s="62"/>
    </row>
    <row r="33" spans="1:9" x14ac:dyDescent="0.25">
      <c r="B33" s="62"/>
      <c r="C33" s="62"/>
      <c r="D33" s="62"/>
      <c r="E33" s="62"/>
      <c r="F33" s="62"/>
      <c r="G33" s="62"/>
      <c r="H33" s="62"/>
      <c r="I33" s="62"/>
    </row>
    <row r="34" spans="1:9" x14ac:dyDescent="0.25">
      <c r="A34" s="62"/>
      <c r="B34" s="62"/>
      <c r="C34" s="62"/>
      <c r="D34" s="62"/>
      <c r="E34" s="62"/>
      <c r="F34" s="62"/>
      <c r="G34" s="62"/>
      <c r="H34" s="62"/>
      <c r="I34" s="62"/>
    </row>
    <row r="35" spans="1:9" x14ac:dyDescent="0.25">
      <c r="A35" s="127" t="s">
        <v>102</v>
      </c>
      <c r="B35" s="62"/>
      <c r="C35" s="62"/>
      <c r="D35" s="62"/>
      <c r="E35" s="62"/>
      <c r="F35" s="62"/>
      <c r="G35" s="62"/>
      <c r="H35" s="62"/>
      <c r="I35" s="62"/>
    </row>
    <row r="36" spans="1:9" x14ac:dyDescent="0.25">
      <c r="A36" s="127" t="s">
        <v>119</v>
      </c>
      <c r="B36" s="62"/>
      <c r="C36" s="62"/>
      <c r="D36" s="62"/>
      <c r="E36" s="62"/>
      <c r="F36" s="62"/>
      <c r="G36" s="62"/>
      <c r="H36" s="62"/>
      <c r="I36" s="62"/>
    </row>
    <row r="37" spans="1:9" x14ac:dyDescent="0.25">
      <c r="A37" s="127" t="s">
        <v>107</v>
      </c>
      <c r="B37" s="62"/>
      <c r="C37" s="62"/>
      <c r="D37" s="62"/>
      <c r="E37" s="62"/>
      <c r="F37" s="62"/>
      <c r="G37" s="62"/>
      <c r="H37" s="62"/>
      <c r="I37" s="62"/>
    </row>
    <row r="38" spans="1:9" ht="39" customHeight="1" x14ac:dyDescent="0.25">
      <c r="A38" s="62"/>
      <c r="B38" s="62"/>
      <c r="C38" s="62"/>
      <c r="D38" s="62"/>
      <c r="E38" s="62"/>
      <c r="F38" s="62"/>
      <c r="G38" s="62"/>
      <c r="H38" s="62"/>
      <c r="I38" s="62"/>
    </row>
    <row r="39" spans="1:9" ht="12" customHeight="1" x14ac:dyDescent="0.25">
      <c r="A39" s="131" t="s">
        <v>154</v>
      </c>
      <c r="B39" s="62"/>
      <c r="C39" s="62"/>
      <c r="D39" s="62"/>
      <c r="E39" s="62"/>
      <c r="F39" s="62"/>
      <c r="G39" s="62"/>
      <c r="H39" s="62"/>
      <c r="I39" s="62"/>
    </row>
    <row r="40" spans="1:9" ht="11.25" customHeight="1" x14ac:dyDescent="0.25">
      <c r="A40" s="67"/>
      <c r="B40" s="67"/>
      <c r="C40" s="67"/>
      <c r="D40" s="67"/>
      <c r="E40" s="67"/>
      <c r="F40" s="67"/>
      <c r="G40" s="67"/>
      <c r="H40" s="67"/>
      <c r="I40" s="67"/>
    </row>
    <row r="41" spans="1:9" ht="15" customHeight="1" x14ac:dyDescent="0.25">
      <c r="A41" s="132" t="s">
        <v>78</v>
      </c>
      <c r="B41" s="133"/>
      <c r="C41" s="133"/>
      <c r="D41" s="133"/>
      <c r="E41" s="133"/>
      <c r="F41" s="133"/>
      <c r="G41" s="133"/>
      <c r="H41" s="133"/>
      <c r="I41" s="134" t="s">
        <v>75</v>
      </c>
    </row>
    <row r="42" spans="1:9" ht="13.5" customHeight="1" x14ac:dyDescent="0.25">
      <c r="A42" s="67"/>
      <c r="B42" s="67"/>
      <c r="C42" s="67"/>
      <c r="D42" s="67"/>
      <c r="E42" s="67"/>
      <c r="F42" s="67"/>
      <c r="G42" s="67"/>
      <c r="H42" s="67"/>
      <c r="I42" s="438" t="s">
        <v>437</v>
      </c>
    </row>
    <row r="43" spans="1:9" ht="10.5" customHeight="1" x14ac:dyDescent="0.25">
      <c r="A43" s="439"/>
      <c r="B43" s="439"/>
      <c r="C43" s="439"/>
      <c r="D43" s="439"/>
      <c r="E43" s="439"/>
      <c r="F43" s="439"/>
      <c r="G43" s="439"/>
      <c r="H43" s="439"/>
      <c r="I43" s="439"/>
    </row>
    <row r="44" spans="1:9" ht="28.5" customHeight="1" x14ac:dyDescent="0.25">
      <c r="A44" s="2"/>
      <c r="B44" s="2"/>
      <c r="C44" s="2"/>
      <c r="D44" s="2"/>
      <c r="E44" s="2"/>
      <c r="F44" s="2"/>
      <c r="G44" s="2"/>
      <c r="H44" s="2"/>
      <c r="I44" s="2"/>
    </row>
    <row r="45" spans="1:9" ht="38.25" customHeight="1" x14ac:dyDescent="0.25"/>
    <row r="46" spans="1:9" ht="63.75" customHeight="1" x14ac:dyDescent="0.25"/>
    <row r="48" spans="1:9" ht="12.75" customHeight="1" x14ac:dyDescent="0.25"/>
  </sheetData>
  <sheetProtection algorithmName="SHA-512" hashValue="0kS1w6Di4Y1dA5pR8h2LbLlTROqcER0Pa9rjZdc2MZjUpJdpyI7J5wFWDtl1ZoD5EsyNFYBjXLJ7IwuSK50KJw==" saltValue="BkWgsyMVhmPsUAqaN6zJkw==" spinCount="100000" sheet="1" objects="1" selectLockedCells="1" selectUnlockedCells="1"/>
  <mergeCells count="15">
    <mergeCell ref="I15:I16"/>
    <mergeCell ref="C19:D19"/>
    <mergeCell ref="E19:F19"/>
    <mergeCell ref="F25:G25"/>
    <mergeCell ref="A20:A21"/>
    <mergeCell ref="C20:D20"/>
    <mergeCell ref="E20:F20"/>
    <mergeCell ref="C21:D21"/>
    <mergeCell ref="E21:F21"/>
    <mergeCell ref="F24:G24"/>
    <mergeCell ref="C1:D1"/>
    <mergeCell ref="C2:D2"/>
    <mergeCell ref="C5:G6"/>
    <mergeCell ref="A15:A16"/>
    <mergeCell ref="G15:G16"/>
  </mergeCells>
  <pageMargins left="0.31496062992125984" right="0.31496062992125984" top="0.31496062992125984" bottom="0.23622047244094491" header="0.31496062992125984" footer="0.31496062992125984"/>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0883AD46-46D7-438D-8DCF-2243EE1A70BA}">
            <xm:f>'DATA ENTRY'!$B$22="mm"</xm:f>
            <x14:dxf>
              <numFmt numFmtId="1" formatCode="0"/>
            </x14:dxf>
          </x14:cfRule>
          <xm:sqref>B15:D15</xm:sqref>
        </x14:conditionalFormatting>
        <x14:conditionalFormatting xmlns:xm="http://schemas.microsoft.com/office/excel/2006/main">
          <x14:cfRule type="expression" priority="1" id="{9F0D6569-98F6-4982-9023-FC1FA56CB294}">
            <xm:f>'DATA ENTRY'!$B$22="mm"</xm:f>
            <x14:dxf>
              <numFmt numFmtId="171" formatCode="\(0.00\)"/>
            </x14:dxf>
          </x14:cfRule>
          <xm:sqref>B16:D16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0"/>
  <sheetViews>
    <sheetView zoomScale="70" zoomScaleNormal="70" workbookViewId="0">
      <selection activeCell="T39" sqref="T39"/>
    </sheetView>
  </sheetViews>
  <sheetFormatPr defaultRowHeight="15" x14ac:dyDescent="0.25"/>
  <cols>
    <col min="1" max="1" width="28.85546875" customWidth="1"/>
    <col min="2" max="2" width="16.42578125" customWidth="1"/>
    <col min="4" max="4" width="31.7109375" customWidth="1"/>
    <col min="5" max="5" width="41.5703125" hidden="1" customWidth="1"/>
    <col min="6" max="6" width="19" bestFit="1" customWidth="1"/>
  </cols>
  <sheetData>
    <row r="1" spans="1:8" ht="21" x14ac:dyDescent="0.35">
      <c r="A1" s="611" t="s">
        <v>327</v>
      </c>
      <c r="B1" s="612"/>
      <c r="C1" s="612"/>
      <c r="D1" s="613"/>
      <c r="E1" s="614"/>
      <c r="F1" s="614"/>
      <c r="G1" s="614"/>
      <c r="H1" s="615"/>
    </row>
    <row r="2" spans="1:8" ht="18.75" x14ac:dyDescent="0.3">
      <c r="A2" s="603" t="s">
        <v>332</v>
      </c>
      <c r="B2" s="598"/>
      <c r="C2" s="782" t="s">
        <v>338</v>
      </c>
      <c r="D2" s="608" t="s">
        <v>328</v>
      </c>
      <c r="E2" s="602"/>
      <c r="F2" s="602"/>
      <c r="G2" s="602"/>
      <c r="H2" s="604"/>
    </row>
    <row r="3" spans="1:8" ht="18.75" x14ac:dyDescent="0.3">
      <c r="A3" s="605" t="str">
        <f>'DATA ENTRY'!A8</f>
        <v>Model:</v>
      </c>
      <c r="B3" s="599" t="str">
        <f>'DATA ENTRY'!B8</f>
        <v>SELECT MODEL</v>
      </c>
      <c r="C3" s="599"/>
      <c r="D3" s="609" t="s">
        <v>329</v>
      </c>
      <c r="E3" s="600" t="str">
        <f>B3&amp;"_ENG_FA"</f>
        <v>SELECT MODEL_ENG_FA</v>
      </c>
      <c r="F3" s="618" t="e">
        <f t="array" aca="1" ref="F3" ca="1">VLOOKUP(E3,INDIRECT("'"&amp;INDEX(BOXCORNER,MATCH(1,--(COUNTIF(INDIRECT("'"&amp;BOXCORNER&amp;"'!$H$83:$I$88"),E3)&gt;0),0))&amp;"'!$H$83:$I$88"),2,FALSE)</f>
        <v>#N/A</v>
      </c>
      <c r="G3" s="622" t="s">
        <v>42</v>
      </c>
      <c r="H3" s="604"/>
    </row>
    <row r="4" spans="1:8" ht="18.75" x14ac:dyDescent="0.3">
      <c r="A4" s="605" t="str">
        <f>'DATA ENTRY'!A9</f>
        <v>Units:</v>
      </c>
      <c r="B4" s="599" t="str">
        <f>'DATA ENTRY'!B9</f>
        <v>SELECT UNITS</v>
      </c>
      <c r="C4" s="599"/>
      <c r="D4" s="609" t="s">
        <v>330</v>
      </c>
      <c r="E4" s="600" t="str">
        <f>B3&amp;"_ENG_FACE_AREA"</f>
        <v>SELECT MODEL_ENG_FACE_AREA</v>
      </c>
      <c r="F4" s="618" t="e">
        <f t="array" aca="1" ref="F4" ca="1">VLOOKUP(E4,INDIRECT("'"&amp;INDEX(BOXCORNER,MATCH(1,--(COUNTIF(INDIRECT("'"&amp;BOXCORNER&amp;"'!$H$83:$I$88"),E4)&gt;0),0))&amp;"'!$H$83:$I$88"),2,FALSE)</f>
        <v>#N/A</v>
      </c>
      <c r="G4" s="622" t="s">
        <v>42</v>
      </c>
      <c r="H4" s="604"/>
    </row>
    <row r="5" spans="1:8" ht="18.75" x14ac:dyDescent="0.3">
      <c r="A5" s="605" t="str">
        <f>'DATA ENTRY'!A10</f>
        <v>Throat Louver Length:</v>
      </c>
      <c r="B5" s="599" t="str">
        <f>'DATA ENTRY'!B10</f>
        <v>ENTER LENGTH</v>
      </c>
      <c r="C5" s="599" t="str">
        <f>'DATA ENTRY'!C10</f>
        <v/>
      </c>
      <c r="D5" s="609" t="s">
        <v>265</v>
      </c>
      <c r="E5" s="600"/>
      <c r="F5" s="624" t="e">
        <f>(B5*B6)/144</f>
        <v>#VALUE!</v>
      </c>
      <c r="G5" s="622" t="s">
        <v>42</v>
      </c>
      <c r="H5" s="604"/>
    </row>
    <row r="6" spans="1:8" ht="18.75" x14ac:dyDescent="0.3">
      <c r="A6" s="605" t="str">
        <f>'DATA ENTRY'!A11</f>
        <v>Throat Louver Width:</v>
      </c>
      <c r="B6" s="599" t="str">
        <f>'DATA ENTRY'!B11</f>
        <v>ENTER WIDTH</v>
      </c>
      <c r="C6" s="599" t="str">
        <f>'DATA ENTRY'!C11</f>
        <v/>
      </c>
      <c r="D6" s="609" t="s">
        <v>56</v>
      </c>
      <c r="E6" s="600" t="str">
        <f>B3&amp;"_ENG_FA%"</f>
        <v>SELECT MODEL_ENG_FA%</v>
      </c>
      <c r="F6" s="619" t="e">
        <f t="array" aca="1" ref="F6" ca="1">VLOOKUP(E6,INDIRECT("'"&amp;INDEX(BOXCORNER,MATCH(1,--(COUNTIF(INDIRECT("'"&amp;BOXCORNER&amp;"'!$H$83:$I$88"),E6)&gt;0),0))&amp;"'!$H$83:$I$88"),2,FALSE)</f>
        <v>#N/A</v>
      </c>
      <c r="G6" s="622" t="s">
        <v>13</v>
      </c>
      <c r="H6" s="604"/>
    </row>
    <row r="7" spans="1:8" ht="18.75" x14ac:dyDescent="0.3">
      <c r="A7" s="605" t="str">
        <f>'DATA ENTRY'!A12</f>
        <v>Louver Height:</v>
      </c>
      <c r="B7" s="599" t="str">
        <f>'DATA ENTRY'!B12</f>
        <v>ENTER HEIGHT</v>
      </c>
      <c r="C7" s="599" t="str">
        <f>'DATA ENTRY'!C12</f>
        <v/>
      </c>
      <c r="D7" s="609" t="s">
        <v>331</v>
      </c>
      <c r="E7" s="600" t="str">
        <f>B3&amp;"_ENG_VEL"</f>
        <v>SELECT MODEL_ENG_VEL</v>
      </c>
      <c r="F7" s="620" t="e">
        <f t="array" aca="1" ref="F7" ca="1">VLOOKUP(E7,INDIRECT("'"&amp;INDEX(BOXCORNER,MATCH(1,--(COUNTIF(INDIRECT("'"&amp;BOXCORNER&amp;"'!$H$83:$I$88"),E7)&gt;0),0))&amp;"'!$H$83:$I$88"),2,FALSE)</f>
        <v>#N/A</v>
      </c>
      <c r="G7" s="623" t="s">
        <v>0</v>
      </c>
      <c r="H7" s="604"/>
    </row>
    <row r="8" spans="1:8" ht="18.75" x14ac:dyDescent="0.3">
      <c r="A8" s="605" t="str">
        <f>'DATA ENTRY'!A13</f>
        <v>Air Volume:</v>
      </c>
      <c r="B8" s="599" t="str">
        <f>'DATA ENTRY'!B13</f>
        <v>ENTER AIR VOLUME</v>
      </c>
      <c r="C8" s="599" t="str">
        <f>'DATA ENTRY'!C13</f>
        <v/>
      </c>
      <c r="D8" s="609" t="s">
        <v>335</v>
      </c>
      <c r="E8" s="601"/>
      <c r="F8" s="866" t="str">
        <f>'DATA ENTRY'!F13</f>
        <v>N/A</v>
      </c>
      <c r="G8" s="623" t="s">
        <v>0</v>
      </c>
      <c r="H8" s="604"/>
    </row>
    <row r="9" spans="1:8" ht="18.75" x14ac:dyDescent="0.3">
      <c r="A9" s="605" t="str">
        <f>'DATA ENTRY'!A14</f>
        <v>Air Direction:</v>
      </c>
      <c r="B9" s="599" t="str">
        <f>'DATA ENTRY'!B14</f>
        <v>SELECT AIR DIRECTION</v>
      </c>
      <c r="C9" s="599"/>
      <c r="D9" s="609" t="s">
        <v>80</v>
      </c>
      <c r="E9" s="601" t="str">
        <f>B3&amp;"_ENG_P_IN"</f>
        <v>SELECT MODEL_ENG_P_IN</v>
      </c>
      <c r="F9" s="620" t="e">
        <f t="array" aca="1" ref="F9" ca="1">VLOOKUP(E9,INDIRECT("'"&amp;INDEX(BOXCORNER,MATCH(1,--(COUNTIF(INDIRECT("'"&amp;BOXCORNER&amp;"'!$H$83:$I$88"),E9)&gt;0),0))&amp;"'!$H$83:$I$88"),2,FALSE)</f>
        <v>#N/A</v>
      </c>
      <c r="G9" s="623" t="s">
        <v>85</v>
      </c>
      <c r="H9" s="604"/>
    </row>
    <row r="10" spans="1:8" ht="18.75" x14ac:dyDescent="0.3">
      <c r="A10" s="626"/>
      <c r="B10" s="598"/>
      <c r="C10" s="598"/>
      <c r="D10" s="609" t="s">
        <v>81</v>
      </c>
      <c r="E10" s="600" t="str">
        <f>B3&amp;"_ENG_P_EX"</f>
        <v>SELECT MODEL_ENG_P_EX</v>
      </c>
      <c r="F10" s="620" t="e">
        <f t="array" aca="1" ref="F10" ca="1">VLOOKUP(E10,INDIRECT("'"&amp;INDEX(BOXCORNER,MATCH(1,--(COUNTIF(INDIRECT("'"&amp;BOXCORNER&amp;"'!$H$83:$I$88"),E10)&gt;0),0))&amp;"'!$H$83:$I$88"),2,FALSE)</f>
        <v>#N/A</v>
      </c>
      <c r="G10" s="623" t="s">
        <v>85</v>
      </c>
      <c r="H10" s="604"/>
    </row>
    <row r="11" spans="1:8" ht="19.5" thickBot="1" x14ac:dyDescent="0.35">
      <c r="A11" s="616"/>
      <c r="B11" s="617"/>
      <c r="C11" s="617"/>
      <c r="D11" s="610"/>
      <c r="E11" s="606"/>
      <c r="F11" s="621"/>
      <c r="G11" s="606"/>
      <c r="H11" s="607"/>
    </row>
    <row r="12" spans="1:8" ht="18.75" x14ac:dyDescent="0.3">
      <c r="A12" s="603" t="s">
        <v>332</v>
      </c>
      <c r="B12" s="781"/>
      <c r="C12" s="782" t="s">
        <v>343</v>
      </c>
      <c r="D12" s="608" t="s">
        <v>328</v>
      </c>
      <c r="E12" s="602"/>
      <c r="F12" s="602"/>
      <c r="G12" s="602"/>
      <c r="H12" s="604"/>
    </row>
    <row r="13" spans="1:8" ht="18.75" x14ac:dyDescent="0.3">
      <c r="A13" s="605" t="str">
        <f>'DATA ENTRY'!A21</f>
        <v>Model:</v>
      </c>
      <c r="B13" s="599" t="str">
        <f>'DATA ENTRY'!B21</f>
        <v>SELECT MODEL</v>
      </c>
      <c r="C13" s="599"/>
      <c r="D13" s="609" t="s">
        <v>329</v>
      </c>
      <c r="E13" s="600" t="str">
        <f>B13&amp;"_ENG_FA"</f>
        <v>SELECT MODEL_ENG_FA</v>
      </c>
      <c r="F13" s="618" t="e">
        <f t="array" aca="1" ref="F13" ca="1">VLOOKUP(E13,INDIRECT("'"&amp;INDEX(MITERCORNER,MATCH(1,--(COUNTIF(INDIRECT("'"&amp;MITERCORNER&amp;"'!$V$20:$W$25"),E13)&gt;0),0))&amp;"'!$V$20:$W$25"),2,FALSE)</f>
        <v>#N/A</v>
      </c>
      <c r="G13" s="622" t="s">
        <v>42</v>
      </c>
      <c r="H13" s="604"/>
    </row>
    <row r="14" spans="1:8" ht="18.75" x14ac:dyDescent="0.3">
      <c r="A14" s="605" t="str">
        <f>'DATA ENTRY'!A22</f>
        <v>Units:</v>
      </c>
      <c r="B14" s="599" t="str">
        <f>'DATA ENTRY'!B22</f>
        <v>SELECT UNITS</v>
      </c>
      <c r="C14" s="599"/>
      <c r="D14" s="609" t="s">
        <v>330</v>
      </c>
      <c r="E14" s="600" t="str">
        <f>B13&amp;"_ENG_FACE_AREA"</f>
        <v>SELECT MODEL_ENG_FACE_AREA</v>
      </c>
      <c r="F14" s="618" t="e">
        <f t="array" aca="1" ref="F14" ca="1">VLOOKUP(E14,INDIRECT("'"&amp;INDEX(MITERCORNER,MATCH(1,--(COUNTIF(INDIRECT("'"&amp;MITERCORNER&amp;"'!$V$20:$W$25"),E14)&gt;0),0))&amp;"'!$V$20:$W$25"),2,FALSE)</f>
        <v>#N/A</v>
      </c>
      <c r="G14" s="622" t="s">
        <v>42</v>
      </c>
      <c r="H14" s="604"/>
    </row>
    <row r="15" spans="1:8" ht="18.75" x14ac:dyDescent="0.3">
      <c r="A15" s="605" t="str">
        <f>'DATA ENTRY'!A23</f>
        <v>Throat Louver Length:</v>
      </c>
      <c r="B15" s="599" t="str">
        <f>'DATA ENTRY'!B23</f>
        <v>ENTER LENGTH</v>
      </c>
      <c r="C15" s="599" t="str">
        <f>'DATA ENTRY'!C23</f>
        <v/>
      </c>
      <c r="D15" s="609" t="s">
        <v>265</v>
      </c>
      <c r="E15" s="600"/>
      <c r="F15" s="624" t="e">
        <f>(B15*B16)/144</f>
        <v>#VALUE!</v>
      </c>
      <c r="G15" s="622" t="s">
        <v>42</v>
      </c>
      <c r="H15" s="604"/>
    </row>
    <row r="16" spans="1:8" ht="18.75" x14ac:dyDescent="0.3">
      <c r="A16" s="605" t="str">
        <f>'DATA ENTRY'!A24</f>
        <v>Throat Louver Width:</v>
      </c>
      <c r="B16" s="599" t="str">
        <f>'DATA ENTRY'!B24</f>
        <v>ENTER WIDTH</v>
      </c>
      <c r="C16" s="599" t="str">
        <f>'DATA ENTRY'!C24</f>
        <v/>
      </c>
      <c r="D16" s="609" t="s">
        <v>56</v>
      </c>
      <c r="E16" s="600" t="str">
        <f>B13&amp;"_ENG_FA%"</f>
        <v>SELECT MODEL_ENG_FA%</v>
      </c>
      <c r="F16" s="619" t="e">
        <f t="array" aca="1" ref="F16" ca="1">VLOOKUP(E16,INDIRECT("'"&amp;INDEX(MITERCORNER,MATCH(1,--(COUNTIF(INDIRECT("'"&amp;MITERCORNER&amp;"'!$V$20:$W$25"),E16)&gt;0),0))&amp;"'!$V$20:$W$25"),2,FALSE)</f>
        <v>#N/A</v>
      </c>
      <c r="G16" s="622" t="s">
        <v>13</v>
      </c>
      <c r="H16" s="604"/>
    </row>
    <row r="17" spans="1:18" ht="18.75" x14ac:dyDescent="0.3">
      <c r="A17" s="605" t="str">
        <f>'DATA ENTRY'!A25</f>
        <v>Louver Height:</v>
      </c>
      <c r="B17" s="599" t="str">
        <f>'DATA ENTRY'!B25</f>
        <v>ENTER HEIGHT</v>
      </c>
      <c r="C17" s="599" t="str">
        <f>'DATA ENTRY'!C25</f>
        <v/>
      </c>
      <c r="D17" s="609" t="s">
        <v>331</v>
      </c>
      <c r="E17" s="600" t="str">
        <f>B13&amp;"_ENG_VEL"</f>
        <v>SELECT MODEL_ENG_VEL</v>
      </c>
      <c r="F17" s="620" t="e">
        <f t="array" aca="1" ref="F17" ca="1">VLOOKUP(E17,INDIRECT("'"&amp;INDEX(MITERCORNER,MATCH(1,--(COUNTIF(INDIRECT("'"&amp;MITERCORNER&amp;"'!$V$20:$W$25"),E17)&gt;0),0))&amp;"'!$V$20:$W$25"),2,FALSE)</f>
        <v>#N/A</v>
      </c>
      <c r="G17" s="623" t="s">
        <v>0</v>
      </c>
      <c r="H17" s="604"/>
    </row>
    <row r="18" spans="1:18" ht="18.75" x14ac:dyDescent="0.3">
      <c r="A18" s="605" t="str">
        <f>'DATA ENTRY'!A26</f>
        <v>Air Volume:</v>
      </c>
      <c r="B18" s="599" t="str">
        <f>'DATA ENTRY'!B26</f>
        <v>ENTER AIR VOLUME</v>
      </c>
      <c r="C18" s="599" t="str">
        <f>'DATA ENTRY'!C26</f>
        <v/>
      </c>
      <c r="D18" s="609" t="s">
        <v>335</v>
      </c>
      <c r="E18" s="601"/>
      <c r="F18" s="619" t="str">
        <f>'DATA ENTRY'!F26</f>
        <v>N/A</v>
      </c>
      <c r="G18" s="623" t="s">
        <v>0</v>
      </c>
      <c r="H18" s="604"/>
    </row>
    <row r="19" spans="1:18" ht="18.75" x14ac:dyDescent="0.3">
      <c r="A19" s="605" t="str">
        <f>'DATA ENTRY'!A27</f>
        <v>Air Direction:</v>
      </c>
      <c r="B19" s="599" t="str">
        <f>'DATA ENTRY'!B27</f>
        <v>SELECT AIR DIRECTION</v>
      </c>
      <c r="C19" s="599"/>
      <c r="D19" s="609" t="s">
        <v>80</v>
      </c>
      <c r="E19" s="601" t="str">
        <f>B13&amp;"_ENG_P_IN"</f>
        <v>SELECT MODEL_ENG_P_IN</v>
      </c>
      <c r="F19" s="620" t="e">
        <f ca="1">VLOOKUP(E19,INDIRECT("'"&amp;INDEX(MITERCORNER,MATCH(1,--(COUNTIF(INDIRECT("'"&amp;MITERCORNER&amp;"'!$V$20:$W$25"),E19)&gt;0),0))&amp;"'!$V$20:$W$25"),2,FALSE)</f>
        <v>#VALUE!</v>
      </c>
      <c r="G19" s="623" t="s">
        <v>85</v>
      </c>
      <c r="H19" s="604"/>
    </row>
    <row r="20" spans="1:18" ht="18.75" x14ac:dyDescent="0.3">
      <c r="A20" s="626"/>
      <c r="B20" s="598"/>
      <c r="C20" s="598"/>
      <c r="D20" s="609" t="s">
        <v>81</v>
      </c>
      <c r="E20" s="600" t="str">
        <f>B13&amp;"_ENG_P_EX"</f>
        <v>SELECT MODEL_ENG_P_EX</v>
      </c>
      <c r="F20" s="620" t="e">
        <f t="array" aca="1" ref="F20" ca="1">VLOOKUP(E20,INDIRECT("'"&amp;INDEX(MITERCORNER,MATCH(1,--(COUNTIF(INDIRECT("'"&amp;MITERCORNER&amp;"'!$V$20:$W$25"),E20)&gt;0),0))&amp;"'!$V$20:$W$25"),2,FALSE)</f>
        <v>#N/A</v>
      </c>
      <c r="G20" s="623" t="s">
        <v>85</v>
      </c>
      <c r="H20" s="604"/>
    </row>
    <row r="21" spans="1:18" ht="19.5" thickBot="1" x14ac:dyDescent="0.35">
      <c r="A21" s="616"/>
      <c r="B21" s="617"/>
      <c r="C21" s="617"/>
      <c r="D21" s="610" t="s">
        <v>333</v>
      </c>
      <c r="E21" s="606"/>
      <c r="F21" s="621" t="e">
        <f>G24</f>
        <v>#N/A</v>
      </c>
      <c r="G21" s="606"/>
      <c r="H21" s="607"/>
    </row>
    <row r="24" spans="1:18" x14ac:dyDescent="0.25">
      <c r="B24" s="909" t="s">
        <v>411</v>
      </c>
      <c r="C24" s="909"/>
      <c r="F24" s="889" t="s">
        <v>402</v>
      </c>
      <c r="G24" s="890" t="e">
        <f xml:space="preserve"> IF(LEFT(B13,2)="BC", N/A, IF(RIGHT(B13, 5)="DE635","Type "&amp;G33,"Type "&amp;G44))</f>
        <v>#N/A</v>
      </c>
      <c r="H24" s="890"/>
      <c r="I24" s="890"/>
      <c r="J24" s="890"/>
      <c r="K24" s="890"/>
      <c r="L24" s="890"/>
      <c r="M24" s="890"/>
      <c r="N24" s="890"/>
      <c r="O24" s="890"/>
      <c r="P24" s="890"/>
      <c r="Q24" s="890"/>
      <c r="R24" s="891"/>
    </row>
    <row r="25" spans="1:18" x14ac:dyDescent="0.25">
      <c r="A25" s="909" t="s">
        <v>409</v>
      </c>
      <c r="B25" s="909" t="str">
        <f>IF('DATA ENTRY'!$B$22="mm", 'FOR ENGINEERS'!B15/25.4, 'FOR ENGINEERS'!B15)</f>
        <v>ENTER LENGTH</v>
      </c>
      <c r="C25" s="909"/>
      <c r="F25" s="892"/>
      <c r="G25" s="2"/>
      <c r="H25" s="2"/>
      <c r="I25" s="2"/>
      <c r="J25" s="2"/>
      <c r="K25" s="2"/>
      <c r="L25" s="2"/>
      <c r="M25" s="2"/>
      <c r="N25" s="2"/>
      <c r="O25" s="2"/>
      <c r="P25" s="2"/>
      <c r="Q25" s="2"/>
      <c r="R25" s="893"/>
    </row>
    <row r="26" spans="1:18" x14ac:dyDescent="0.25">
      <c r="A26" s="909" t="s">
        <v>410</v>
      </c>
      <c r="B26" s="909" t="str">
        <f>IF('DATA ENTRY'!$B$22="mm", 'FOR ENGINEERS'!B16/25.4, 'FOR ENGINEERS'!B16)</f>
        <v>ENTER WIDTH</v>
      </c>
      <c r="C26" s="909"/>
      <c r="F26" s="894" t="s">
        <v>396</v>
      </c>
      <c r="G26" s="2"/>
      <c r="H26" s="2"/>
      <c r="I26" s="2"/>
      <c r="J26" s="110"/>
      <c r="K26" s="193" t="s">
        <v>389</v>
      </c>
      <c r="L26" s="2"/>
      <c r="M26" s="2"/>
      <c r="N26" s="2"/>
      <c r="O26" s="2"/>
      <c r="P26" s="2"/>
      <c r="Q26" s="2"/>
      <c r="R26" s="893"/>
    </row>
    <row r="27" spans="1:18" x14ac:dyDescent="0.25">
      <c r="F27" s="892" t="s">
        <v>387</v>
      </c>
      <c r="G27" s="2" t="b">
        <f>AND(AND(15.98&lt;=$B$25, $B$25&lt;=44), AND(15.98&lt;=$B$26, $B$26&lt;=16.25))</f>
        <v>0</v>
      </c>
      <c r="H27" s="2">
        <v>1</v>
      </c>
      <c r="I27" s="2"/>
      <c r="J27" s="110"/>
      <c r="K27" s="895">
        <v>16</v>
      </c>
      <c r="L27" s="895">
        <v>16.25</v>
      </c>
      <c r="M27" s="896" t="s">
        <v>393</v>
      </c>
      <c r="N27" s="895">
        <v>44</v>
      </c>
      <c r="O27" s="896" t="s">
        <v>394</v>
      </c>
      <c r="P27" s="895">
        <v>60.25</v>
      </c>
      <c r="Q27" s="896" t="s">
        <v>395</v>
      </c>
      <c r="R27" s="897">
        <v>104</v>
      </c>
    </row>
    <row r="28" spans="1:18" x14ac:dyDescent="0.25">
      <c r="E28" t="s">
        <v>334</v>
      </c>
      <c r="F28" s="892" t="s">
        <v>390</v>
      </c>
      <c r="G28" s="2" t="b">
        <f>AND(AND(16.25&lt;$B$25, $B$25&lt;=60.25), AND(16.25&lt;$B$26, $B$26&lt;=60.25))</f>
        <v>0</v>
      </c>
      <c r="H28" s="2">
        <v>2</v>
      </c>
      <c r="I28" s="2"/>
      <c r="J28" s="110">
        <v>16</v>
      </c>
      <c r="K28" s="2">
        <v>1</v>
      </c>
      <c r="L28" s="2">
        <v>1</v>
      </c>
      <c r="M28" s="2">
        <v>1</v>
      </c>
      <c r="N28" s="2">
        <v>1</v>
      </c>
      <c r="O28" s="2">
        <v>2</v>
      </c>
      <c r="P28" s="2">
        <v>2</v>
      </c>
      <c r="Q28" s="2">
        <v>3</v>
      </c>
      <c r="R28" s="893">
        <v>3</v>
      </c>
    </row>
    <row r="29" spans="1:18" x14ac:dyDescent="0.25">
      <c r="F29" s="892" t="s">
        <v>391</v>
      </c>
      <c r="G29" s="2" t="b">
        <f>AND(AND(44&lt;$B$25, $B$25&lt;=60.25), AND(15.98&lt;=$B$26, $B$26&lt;=16.25))</f>
        <v>0</v>
      </c>
      <c r="H29" s="2">
        <v>2</v>
      </c>
      <c r="I29" s="2"/>
      <c r="J29" s="110">
        <v>16.25</v>
      </c>
      <c r="K29" s="898"/>
      <c r="L29" s="2">
        <v>1</v>
      </c>
      <c r="M29" s="2">
        <v>1</v>
      </c>
      <c r="N29" s="2">
        <v>1</v>
      </c>
      <c r="O29" s="2">
        <v>2</v>
      </c>
      <c r="P29" s="2">
        <v>2</v>
      </c>
      <c r="Q29" s="2">
        <v>3</v>
      </c>
      <c r="R29" s="893">
        <v>3</v>
      </c>
    </row>
    <row r="30" spans="1:18" x14ac:dyDescent="0.25">
      <c r="E30" t="s">
        <v>215</v>
      </c>
      <c r="F30" s="892" t="s">
        <v>392</v>
      </c>
      <c r="G30" s="2" t="b">
        <f>AND(AND(60.25&lt;$B$25, $B$25&lt;=104), AND(15.98&lt;=$B$26, $B$26&lt;=44))</f>
        <v>0</v>
      </c>
      <c r="H30" s="2">
        <v>3</v>
      </c>
      <c r="I30" s="2"/>
      <c r="J30" s="899" t="s">
        <v>393</v>
      </c>
      <c r="K30" s="898"/>
      <c r="L30" s="898"/>
      <c r="M30" s="2">
        <v>2</v>
      </c>
      <c r="N30" s="2">
        <v>2</v>
      </c>
      <c r="O30" s="2">
        <v>2</v>
      </c>
      <c r="P30" s="2">
        <v>2</v>
      </c>
      <c r="Q30" s="2">
        <v>3</v>
      </c>
      <c r="R30" s="893">
        <v>3</v>
      </c>
    </row>
    <row r="31" spans="1:18" x14ac:dyDescent="0.25">
      <c r="F31" s="892" t="s">
        <v>388</v>
      </c>
      <c r="G31" s="2" t="b">
        <f>AND(AND(60.25&lt;$B$25, $B$25&lt;=104), AND(44&lt;$B$26, $B$26&lt;=104))</f>
        <v>0</v>
      </c>
      <c r="H31" s="2">
        <v>4</v>
      </c>
      <c r="I31" s="2"/>
      <c r="J31" s="110">
        <v>44</v>
      </c>
      <c r="K31" s="898"/>
      <c r="L31" s="898"/>
      <c r="M31" s="898"/>
      <c r="N31" s="2">
        <v>2</v>
      </c>
      <c r="O31" s="2">
        <v>2</v>
      </c>
      <c r="P31" s="2">
        <v>2</v>
      </c>
      <c r="Q31" s="2">
        <v>3</v>
      </c>
      <c r="R31" s="893">
        <v>3</v>
      </c>
    </row>
    <row r="32" spans="1:18" x14ac:dyDescent="0.25">
      <c r="F32" s="892"/>
      <c r="G32" s="2"/>
      <c r="H32" s="2"/>
      <c r="I32" s="2"/>
      <c r="J32" s="899" t="s">
        <v>394</v>
      </c>
      <c r="K32" s="898"/>
      <c r="L32" s="898"/>
      <c r="M32" s="898"/>
      <c r="N32" s="898"/>
      <c r="O32" s="2">
        <v>2</v>
      </c>
      <c r="P32" s="2">
        <v>2</v>
      </c>
      <c r="Q32" s="2">
        <v>4</v>
      </c>
      <c r="R32" s="893">
        <v>4</v>
      </c>
    </row>
    <row r="33" spans="4:18" x14ac:dyDescent="0.25">
      <c r="F33" s="892" t="s">
        <v>397</v>
      </c>
      <c r="G33" s="2" t="e">
        <f>INDEX(H27:H31, MATCH(TRUE, G27:G31, 0), 1)</f>
        <v>#N/A</v>
      </c>
      <c r="H33" s="2"/>
      <c r="I33" s="2"/>
      <c r="J33" s="110">
        <v>60.25</v>
      </c>
      <c r="K33" s="898"/>
      <c r="L33" s="898"/>
      <c r="M33" s="898"/>
      <c r="N33" s="898"/>
      <c r="O33" s="898"/>
      <c r="P33" s="2">
        <v>2</v>
      </c>
      <c r="Q33" s="2">
        <v>4</v>
      </c>
      <c r="R33" s="893">
        <v>4</v>
      </c>
    </row>
    <row r="34" spans="4:18" x14ac:dyDescent="0.25">
      <c r="F34" s="892"/>
      <c r="G34" s="2"/>
      <c r="H34" s="2"/>
      <c r="I34" s="2"/>
      <c r="J34" s="899" t="s">
        <v>395</v>
      </c>
      <c r="K34" s="898"/>
      <c r="L34" s="898"/>
      <c r="M34" s="898"/>
      <c r="N34" s="898"/>
      <c r="O34" s="898"/>
      <c r="P34" s="898"/>
      <c r="Q34" s="2">
        <v>4</v>
      </c>
      <c r="R34" s="893">
        <v>4</v>
      </c>
    </row>
    <row r="35" spans="4:18" x14ac:dyDescent="0.25">
      <c r="F35" s="892"/>
      <c r="G35" s="2"/>
      <c r="H35" s="2"/>
      <c r="I35" s="2"/>
      <c r="J35" s="110">
        <v>104</v>
      </c>
      <c r="K35" s="898"/>
      <c r="L35" s="898"/>
      <c r="M35" s="898"/>
      <c r="N35" s="898"/>
      <c r="O35" s="898"/>
      <c r="P35" s="898"/>
      <c r="Q35" s="898"/>
      <c r="R35" s="893">
        <v>4</v>
      </c>
    </row>
    <row r="36" spans="4:18" x14ac:dyDescent="0.25">
      <c r="F36" s="892"/>
      <c r="G36" s="2"/>
      <c r="H36" s="2"/>
      <c r="I36" s="2"/>
      <c r="J36" s="2"/>
      <c r="K36" s="2"/>
      <c r="L36" s="2"/>
      <c r="M36" s="2"/>
      <c r="N36" s="2"/>
      <c r="O36" s="2"/>
      <c r="P36" s="2"/>
      <c r="Q36" s="2"/>
      <c r="R36" s="893"/>
    </row>
    <row r="37" spans="4:18" x14ac:dyDescent="0.25">
      <c r="F37" s="892" t="s">
        <v>398</v>
      </c>
      <c r="G37" s="2"/>
      <c r="H37" s="2"/>
      <c r="I37" s="2"/>
      <c r="J37" s="110"/>
      <c r="K37" s="193" t="s">
        <v>386</v>
      </c>
      <c r="L37" s="2"/>
      <c r="M37" s="2"/>
      <c r="N37" s="2"/>
      <c r="O37" s="2"/>
      <c r="P37" s="2"/>
      <c r="Q37" s="2"/>
      <c r="R37" s="893"/>
    </row>
    <row r="38" spans="4:18" x14ac:dyDescent="0.25">
      <c r="D38" s="71"/>
      <c r="F38" s="892" t="s">
        <v>387</v>
      </c>
      <c r="G38" s="2" t="b">
        <f>AND(AND(15.98&lt;=$B$25, $B$25&lt;=48), AND(15.98&lt;=$B$26, $B$26&lt;=20.25))</f>
        <v>0</v>
      </c>
      <c r="H38" s="2">
        <v>1</v>
      </c>
      <c r="I38" s="2"/>
      <c r="J38" s="110"/>
      <c r="K38" s="895">
        <v>16</v>
      </c>
      <c r="L38" s="895">
        <v>20.25</v>
      </c>
      <c r="M38" s="896" t="s">
        <v>399</v>
      </c>
      <c r="N38" s="895">
        <v>48</v>
      </c>
      <c r="O38" s="896" t="s">
        <v>401</v>
      </c>
      <c r="P38" s="895">
        <v>64.25</v>
      </c>
      <c r="Q38" s="896" t="s">
        <v>400</v>
      </c>
      <c r="R38" s="897">
        <v>108</v>
      </c>
    </row>
    <row r="39" spans="4:18" x14ac:dyDescent="0.25">
      <c r="D39" s="888"/>
      <c r="E39" s="442">
        <v>16</v>
      </c>
      <c r="F39" s="892" t="s">
        <v>390</v>
      </c>
      <c r="G39" s="2" t="b">
        <f>AND(AND(20.25&lt;$B$25, $B$25&lt;=64.25), AND(20.25&lt;$B$26, $B$26&lt;=64.25))</f>
        <v>0</v>
      </c>
      <c r="H39" s="2">
        <v>2</v>
      </c>
      <c r="I39" s="2"/>
      <c r="J39" s="110">
        <v>16</v>
      </c>
      <c r="K39" s="2">
        <v>1</v>
      </c>
      <c r="L39" s="2">
        <v>1</v>
      </c>
      <c r="M39" s="2">
        <v>1</v>
      </c>
      <c r="N39" s="2">
        <v>1</v>
      </c>
      <c r="O39" s="2">
        <v>2</v>
      </c>
      <c r="P39" s="2">
        <v>2</v>
      </c>
      <c r="Q39" s="2">
        <v>3</v>
      </c>
      <c r="R39" s="893">
        <v>3</v>
      </c>
    </row>
    <row r="40" spans="4:18" x14ac:dyDescent="0.25">
      <c r="D40" s="71"/>
      <c r="E40" s="442">
        <v>16.25</v>
      </c>
      <c r="F40" s="892" t="s">
        <v>391</v>
      </c>
      <c r="G40" s="2" t="b">
        <f>AND(AND(48&lt;$B$25, $B$25&lt;=64.25), AND(15.98&lt;=$B$26, $B$26&lt;=20.25))</f>
        <v>0</v>
      </c>
      <c r="H40" s="2">
        <v>2</v>
      </c>
      <c r="I40" s="2"/>
      <c r="J40" s="110">
        <v>20.25</v>
      </c>
      <c r="K40" s="898"/>
      <c r="L40" s="2">
        <v>1</v>
      </c>
      <c r="M40" s="2">
        <v>1</v>
      </c>
      <c r="N40" s="2">
        <v>1</v>
      </c>
      <c r="O40" s="2">
        <v>2</v>
      </c>
      <c r="P40" s="2">
        <v>2</v>
      </c>
      <c r="Q40" s="2">
        <v>3</v>
      </c>
      <c r="R40" s="893">
        <v>3</v>
      </c>
    </row>
    <row r="41" spans="4:18" x14ac:dyDescent="0.25">
      <c r="D41" s="71"/>
      <c r="E41" s="39" t="s">
        <v>393</v>
      </c>
      <c r="F41" s="892" t="s">
        <v>392</v>
      </c>
      <c r="G41" s="2" t="b">
        <f>AND(AND(64.25&lt;$B$25, $B$25&lt;=108), AND(15.98&lt;=$B$26, $B$26&lt;=48))</f>
        <v>0</v>
      </c>
      <c r="H41" s="2">
        <v>3</v>
      </c>
      <c r="I41" s="2"/>
      <c r="J41" s="899" t="s">
        <v>399</v>
      </c>
      <c r="K41" s="898"/>
      <c r="L41" s="898"/>
      <c r="M41" s="2">
        <v>2</v>
      </c>
      <c r="N41" s="2">
        <v>2</v>
      </c>
      <c r="O41" s="2">
        <v>2</v>
      </c>
      <c r="P41" s="2">
        <v>2</v>
      </c>
      <c r="Q41" s="2">
        <v>3</v>
      </c>
      <c r="R41" s="893">
        <v>3</v>
      </c>
    </row>
    <row r="42" spans="4:18" x14ac:dyDescent="0.25">
      <c r="D42" s="71"/>
      <c r="E42" s="442">
        <v>44</v>
      </c>
      <c r="F42" s="892" t="s">
        <v>388</v>
      </c>
      <c r="G42" s="2" t="b">
        <f>AND(AND(64.25&lt;$B$25, $B$25&lt;=108), AND(48&lt;$B$26, $B$26&lt;=108))</f>
        <v>0</v>
      </c>
      <c r="H42" s="2">
        <v>4</v>
      </c>
      <c r="I42" s="2"/>
      <c r="J42" s="110">
        <v>48</v>
      </c>
      <c r="K42" s="898"/>
      <c r="L42" s="898"/>
      <c r="M42" s="898"/>
      <c r="N42" s="2">
        <v>2</v>
      </c>
      <c r="O42" s="2">
        <v>2</v>
      </c>
      <c r="P42" s="2">
        <v>2</v>
      </c>
      <c r="Q42" s="2">
        <v>3</v>
      </c>
      <c r="R42" s="893">
        <v>3</v>
      </c>
    </row>
    <row r="43" spans="4:18" x14ac:dyDescent="0.25">
      <c r="D43" s="71"/>
      <c r="E43" s="39" t="s">
        <v>394</v>
      </c>
      <c r="F43" s="892"/>
      <c r="G43" s="2"/>
      <c r="H43" s="2"/>
      <c r="I43" s="2"/>
      <c r="J43" s="899" t="s">
        <v>401</v>
      </c>
      <c r="K43" s="898"/>
      <c r="L43" s="898"/>
      <c r="M43" s="898"/>
      <c r="N43" s="898"/>
      <c r="O43" s="2">
        <v>2</v>
      </c>
      <c r="P43" s="2">
        <v>2</v>
      </c>
      <c r="Q43" s="2">
        <v>4</v>
      </c>
      <c r="R43" s="893">
        <v>4</v>
      </c>
    </row>
    <row r="44" spans="4:18" x14ac:dyDescent="0.25">
      <c r="D44" s="71"/>
      <c r="E44" s="442">
        <v>60.25</v>
      </c>
      <c r="F44" s="892" t="s">
        <v>397</v>
      </c>
      <c r="G44" s="2" t="e">
        <f>INDEX(H38:H42, MATCH(TRUE, G38:G42, 0), 1)</f>
        <v>#N/A</v>
      </c>
      <c r="H44" s="2"/>
      <c r="I44" s="2"/>
      <c r="J44" s="110">
        <v>64.25</v>
      </c>
      <c r="K44" s="898"/>
      <c r="L44" s="898"/>
      <c r="M44" s="898"/>
      <c r="N44" s="898"/>
      <c r="O44" s="898"/>
      <c r="P44" s="2">
        <v>2</v>
      </c>
      <c r="Q44" s="2">
        <v>4</v>
      </c>
      <c r="R44" s="893">
        <v>4</v>
      </c>
    </row>
    <row r="45" spans="4:18" x14ac:dyDescent="0.25">
      <c r="D45" s="71"/>
      <c r="E45" s="39" t="s">
        <v>395</v>
      </c>
      <c r="F45" s="892"/>
      <c r="G45" s="2"/>
      <c r="H45" s="2"/>
      <c r="I45" s="2"/>
      <c r="J45" s="899" t="s">
        <v>400</v>
      </c>
      <c r="K45" s="898"/>
      <c r="L45" s="898"/>
      <c r="M45" s="898"/>
      <c r="N45" s="898"/>
      <c r="O45" s="898"/>
      <c r="P45" s="898"/>
      <c r="Q45" s="2">
        <v>4</v>
      </c>
      <c r="R45" s="893">
        <v>4</v>
      </c>
    </row>
    <row r="46" spans="4:18" x14ac:dyDescent="0.25">
      <c r="D46" s="71"/>
      <c r="E46" s="442">
        <v>104</v>
      </c>
      <c r="F46" s="900"/>
      <c r="G46" s="901"/>
      <c r="H46" s="901"/>
      <c r="I46" s="901"/>
      <c r="J46" s="902">
        <v>108</v>
      </c>
      <c r="K46" s="903"/>
      <c r="L46" s="903"/>
      <c r="M46" s="903"/>
      <c r="N46" s="903"/>
      <c r="O46" s="903"/>
      <c r="P46" s="903"/>
      <c r="Q46" s="903"/>
      <c r="R46" s="904">
        <v>4</v>
      </c>
    </row>
    <row r="47" spans="4:18" x14ac:dyDescent="0.25">
      <c r="D47" s="71"/>
    </row>
    <row r="48" spans="4:18" x14ac:dyDescent="0.25">
      <c r="D48" s="71"/>
    </row>
    <row r="49" spans="4:5" x14ac:dyDescent="0.25">
      <c r="D49" s="71"/>
      <c r="E49" s="71"/>
    </row>
    <row r="50" spans="4:5" x14ac:dyDescent="0.25">
      <c r="D50" s="71"/>
      <c r="E50" s="71"/>
    </row>
  </sheetData>
  <conditionalFormatting sqref="F23:F24">
    <cfRule type="containsText" dxfId="4" priority="8" operator="containsText" text="TRUE">
      <formula>NOT(ISERROR(SEARCH("TRUE",F23)))</formula>
    </cfRule>
  </conditionalFormatting>
  <conditionalFormatting sqref="F7">
    <cfRule type="expression" dxfId="3" priority="5">
      <formula>IF($F$7&gt;$F$8,TRUE,FALSE)</formula>
    </cfRule>
    <cfRule type="expression" dxfId="2" priority="6">
      <formula>IF($F$7&gt;=($F$8*0.9),TRUE,FALSE)</formula>
    </cfRule>
  </conditionalFormatting>
  <conditionalFormatting sqref="F17">
    <cfRule type="expression" dxfId="1" priority="3">
      <formula>IF($F$7&gt;$F$8,TRUE,FALSE)</formula>
    </cfRule>
    <cfRule type="expression" dxfId="0" priority="4">
      <formula>IF($F$7&gt;=($F$8*0.9),TRUE,FALSE)</formula>
    </cfRule>
  </conditionalFormatting>
  <conditionalFormatting sqref="K28:R35">
    <cfRule type="colorScale" priority="2">
      <colorScale>
        <cfvo type="min"/>
        <cfvo type="percentile" val="50"/>
        <cfvo type="max"/>
        <color rgb="FFF8696B"/>
        <color rgb="FFFFEB84"/>
        <color rgb="FF63BE7B"/>
      </colorScale>
    </cfRule>
  </conditionalFormatting>
  <conditionalFormatting sqref="K39:R46">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ignoredErrors>
    <ignoredError sqref="F18 F15" formula="1"/>
    <ignoredError sqref="F3:F4 F9:F10 F6:F7" evalError="1"/>
    <ignoredError sqref="F8 F5" evalError="1"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T39" sqref="T39"/>
    </sheetView>
  </sheetViews>
  <sheetFormatPr defaultRowHeight="15" x14ac:dyDescent="0.25"/>
  <cols>
    <col min="1" max="1" width="11.28515625" customWidth="1"/>
    <col min="2" max="2" width="13" customWidth="1"/>
    <col min="3" max="3" width="12.85546875" customWidth="1"/>
    <col min="4" max="4" width="108" customWidth="1"/>
  </cols>
  <sheetData>
    <row r="1" spans="1:4" ht="23.25" x14ac:dyDescent="0.35">
      <c r="A1" s="60" t="s">
        <v>167</v>
      </c>
    </row>
    <row r="2" spans="1:4" x14ac:dyDescent="0.25">
      <c r="A2" t="s">
        <v>174</v>
      </c>
    </row>
    <row r="4" spans="1:4" ht="15.75" x14ac:dyDescent="0.25">
      <c r="A4" s="440" t="s">
        <v>168</v>
      </c>
      <c r="B4" s="440" t="s">
        <v>169</v>
      </c>
      <c r="C4" s="440" t="s">
        <v>171</v>
      </c>
      <c r="D4" s="440" t="s">
        <v>172</v>
      </c>
    </row>
    <row r="5" spans="1:4" x14ac:dyDescent="0.25">
      <c r="A5" s="441">
        <v>1</v>
      </c>
      <c r="B5" s="442" t="s">
        <v>170</v>
      </c>
      <c r="C5" s="443">
        <v>43679</v>
      </c>
      <c r="D5" t="s">
        <v>173</v>
      </c>
    </row>
    <row r="6" spans="1:4" ht="45" x14ac:dyDescent="0.25">
      <c r="A6">
        <v>1.1000000000000001</v>
      </c>
      <c r="B6" s="442" t="s">
        <v>385</v>
      </c>
      <c r="C6" s="940">
        <v>43762</v>
      </c>
      <c r="D6" s="939" t="s">
        <v>428</v>
      </c>
    </row>
    <row r="7" spans="1:4" x14ac:dyDescent="0.25">
      <c r="A7" s="442">
        <v>1.2</v>
      </c>
      <c r="B7" s="442" t="s">
        <v>385</v>
      </c>
      <c r="C7" s="940">
        <v>43934</v>
      </c>
      <c r="D7" t="s">
        <v>432</v>
      </c>
    </row>
    <row r="8" spans="1:4" x14ac:dyDescent="0.25">
      <c r="A8">
        <v>1.3</v>
      </c>
      <c r="B8" s="442" t="s">
        <v>385</v>
      </c>
      <c r="C8" s="443">
        <v>44601</v>
      </c>
      <c r="D8" t="s">
        <v>433</v>
      </c>
    </row>
  </sheetData>
  <sheetProtection selectLockedCells="1" selectUn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63"/>
  <sheetViews>
    <sheetView zoomScale="70" zoomScaleNormal="70" workbookViewId="0">
      <selection activeCell="T39" sqref="T39"/>
    </sheetView>
  </sheetViews>
  <sheetFormatPr defaultRowHeight="15" x14ac:dyDescent="0.25"/>
  <cols>
    <col min="1" max="1" width="19.7109375" customWidth="1"/>
    <col min="3" max="3" width="7.85546875" customWidth="1"/>
    <col min="4" max="4" width="14.140625" customWidth="1"/>
    <col min="5" max="5" width="23.5703125" customWidth="1"/>
    <col min="6" max="6" width="3" customWidth="1"/>
    <col min="7" max="7" width="19.85546875" customWidth="1"/>
    <col min="8" max="8" width="9.140625" customWidth="1"/>
    <col min="9" max="9" width="11" customWidth="1"/>
    <col min="10" max="10" width="5.85546875" customWidth="1"/>
    <col min="13" max="13" width="16.42578125" customWidth="1"/>
    <col min="14" max="14" width="27.85546875" customWidth="1"/>
    <col min="15" max="15" width="21.140625" customWidth="1"/>
    <col min="16" max="16" width="18.140625" customWidth="1"/>
    <col min="17" max="17" width="37.28515625" customWidth="1"/>
    <col min="19" max="19" width="14.7109375" customWidth="1"/>
    <col min="20" max="20" width="16.28515625" customWidth="1"/>
    <col min="21" max="21" width="21.7109375" customWidth="1"/>
    <col min="22" max="22" width="10.42578125" customWidth="1"/>
    <col min="23" max="23" width="12.85546875" customWidth="1"/>
    <col min="25" max="25" width="23.140625" customWidth="1"/>
    <col min="26" max="26" width="15" customWidth="1"/>
    <col min="28" max="28" width="17.85546875" customWidth="1"/>
    <col min="29" max="29" width="22.42578125" customWidth="1"/>
    <col min="33" max="33" width="28" customWidth="1"/>
    <col min="37" max="37" width="12" customWidth="1"/>
    <col min="39" max="39" width="28.28515625" customWidth="1"/>
    <col min="41" max="41" width="17.28515625" customWidth="1"/>
    <col min="42" max="42" width="19.42578125" customWidth="1"/>
    <col min="43" max="43" width="17.28515625" customWidth="1"/>
    <col min="44" max="44" width="17" customWidth="1"/>
    <col min="45" max="45" width="20" customWidth="1"/>
  </cols>
  <sheetData>
    <row r="1" spans="1:47" ht="23.25" x14ac:dyDescent="0.35">
      <c r="A1" s="195" t="s">
        <v>97</v>
      </c>
      <c r="B1" s="196" t="s">
        <v>3</v>
      </c>
      <c r="C1" s="189"/>
      <c r="D1" s="374"/>
      <c r="E1" s="378"/>
      <c r="F1" s="189"/>
      <c r="G1" s="196" t="s">
        <v>48</v>
      </c>
      <c r="H1" s="197" t="s">
        <v>49</v>
      </c>
      <c r="I1" s="197" t="s">
        <v>0</v>
      </c>
      <c r="J1" s="189"/>
      <c r="K1" s="189"/>
      <c r="L1" s="374"/>
      <c r="M1" s="375" t="s">
        <v>89</v>
      </c>
      <c r="N1" s="376"/>
      <c r="O1" s="377" t="s">
        <v>98</v>
      </c>
      <c r="P1" s="376" t="s">
        <v>99</v>
      </c>
      <c r="Q1" s="378"/>
      <c r="R1" s="189"/>
      <c r="S1" s="196" t="s">
        <v>135</v>
      </c>
      <c r="T1" s="189" t="s">
        <v>49</v>
      </c>
      <c r="U1" s="189" t="s">
        <v>178</v>
      </c>
      <c r="V1" s="197" t="s">
        <v>199</v>
      </c>
      <c r="W1" s="197" t="s">
        <v>120</v>
      </c>
      <c r="X1" s="444" t="s">
        <v>121</v>
      </c>
      <c r="Y1" s="445" t="s">
        <v>179</v>
      </c>
      <c r="Z1" s="197" t="s">
        <v>199</v>
      </c>
      <c r="AA1" s="197" t="s">
        <v>120</v>
      </c>
      <c r="AB1" s="446" t="s">
        <v>121</v>
      </c>
      <c r="AC1" s="189" t="s">
        <v>216</v>
      </c>
      <c r="AD1" s="197" t="s">
        <v>199</v>
      </c>
      <c r="AE1" s="197" t="s">
        <v>120</v>
      </c>
      <c r="AF1" s="444" t="s">
        <v>121</v>
      </c>
      <c r="AG1" s="445" t="s">
        <v>217</v>
      </c>
      <c r="AH1" s="197" t="s">
        <v>199</v>
      </c>
      <c r="AI1" s="197" t="s">
        <v>120</v>
      </c>
      <c r="AJ1" s="446" t="s">
        <v>121</v>
      </c>
      <c r="AK1" s="445" t="s">
        <v>251</v>
      </c>
      <c r="AL1" s="190"/>
      <c r="AM1" s="445" t="s">
        <v>252</v>
      </c>
      <c r="AN1" s="684" t="s">
        <v>340</v>
      </c>
      <c r="AO1" s="675"/>
      <c r="AP1" s="189"/>
      <c r="AQ1" s="189"/>
      <c r="AR1" s="189"/>
      <c r="AS1" s="189"/>
      <c r="AT1" s="189"/>
      <c r="AU1" s="676"/>
    </row>
    <row r="2" spans="1:47" x14ac:dyDescent="0.25">
      <c r="A2" s="41"/>
      <c r="B2" t="s">
        <v>175</v>
      </c>
      <c r="C2" s="40"/>
      <c r="D2" s="379" t="s">
        <v>4</v>
      </c>
      <c r="E2" s="381" t="s">
        <v>176</v>
      </c>
      <c r="F2" s="40"/>
      <c r="G2" s="40"/>
      <c r="H2" s="40" t="s">
        <v>180</v>
      </c>
      <c r="I2" s="40">
        <v>886</v>
      </c>
      <c r="J2" s="40"/>
      <c r="K2" s="40"/>
      <c r="L2" s="379"/>
      <c r="M2" s="380"/>
      <c r="N2" s="380" t="s">
        <v>87</v>
      </c>
      <c r="O2" s="380" t="str">
        <f>'DATA ENTRY'!B8&amp;"_MODEL"</f>
        <v>SELECT MODEL_MODEL</v>
      </c>
      <c r="P2" s="380" t="e">
        <f t="array" aca="1" ref="P2" ca="1">VLOOKUP(O2,INDIRECT("'"&amp;INDEX(BOXCORNER,MATCH(1,--(COUNTIF(INDIRECT("'"&amp;BOXCORNER&amp;"'!$O$4:$P$12"),O2)&gt;0),0))&amp;"'!$O$4:$P$12"),2,FALSE)</f>
        <v>#N/A</v>
      </c>
      <c r="Q2" s="381"/>
      <c r="R2" s="40"/>
      <c r="S2" s="40"/>
      <c r="T2" s="40" t="s">
        <v>180</v>
      </c>
      <c r="U2" s="198" t="s">
        <v>200</v>
      </c>
      <c r="V2" s="40">
        <v>12</v>
      </c>
      <c r="W2" s="40">
        <v>12</v>
      </c>
      <c r="X2" s="40">
        <v>9.5</v>
      </c>
      <c r="Y2" s="447" t="s">
        <v>220</v>
      </c>
      <c r="Z2" s="198">
        <v>304.8</v>
      </c>
      <c r="AA2" s="198">
        <v>304.8</v>
      </c>
      <c r="AB2" s="449">
        <v>242</v>
      </c>
      <c r="AC2" s="198" t="s">
        <v>201</v>
      </c>
      <c r="AD2" s="40">
        <v>240</v>
      </c>
      <c r="AE2" s="40">
        <v>120</v>
      </c>
      <c r="AF2" s="40">
        <v>72</v>
      </c>
      <c r="AG2" s="447" t="s">
        <v>219</v>
      </c>
      <c r="AH2" s="198">
        <v>6096</v>
      </c>
      <c r="AI2" s="448">
        <v>3048</v>
      </c>
      <c r="AJ2" s="449">
        <v>1829</v>
      </c>
      <c r="AK2" s="41">
        <v>107.815</v>
      </c>
      <c r="AL2" s="169">
        <v>35.814999999999998</v>
      </c>
      <c r="AM2" s="41">
        <v>107.815</v>
      </c>
      <c r="AN2" s="41"/>
      <c r="AO2" s="499" t="s">
        <v>204</v>
      </c>
      <c r="AP2" s="499" t="s">
        <v>207</v>
      </c>
      <c r="AQ2" s="499" t="s">
        <v>210</v>
      </c>
      <c r="AR2" s="499" t="s">
        <v>211</v>
      </c>
      <c r="AS2" s="499" t="s">
        <v>214</v>
      </c>
      <c r="AT2" s="40"/>
      <c r="AU2" s="1"/>
    </row>
    <row r="3" spans="1:47" x14ac:dyDescent="0.25">
      <c r="A3" s="41"/>
      <c r="B3" s="40" t="s">
        <v>180</v>
      </c>
      <c r="C3" s="40"/>
      <c r="D3" s="379"/>
      <c r="E3" s="381" t="s">
        <v>73</v>
      </c>
      <c r="F3" s="40"/>
      <c r="G3" s="40"/>
      <c r="H3" s="40" t="s">
        <v>192</v>
      </c>
      <c r="I3" s="40">
        <v>1233</v>
      </c>
      <c r="J3" s="40"/>
      <c r="K3" s="40"/>
      <c r="L3" s="379"/>
      <c r="M3" s="380"/>
      <c r="N3" s="380" t="s">
        <v>9</v>
      </c>
      <c r="O3" s="380" t="str">
        <f>'DATA ENTRY'!B8&amp;"_FA"</f>
        <v>SELECT MODEL_FA</v>
      </c>
      <c r="P3" s="380" t="e">
        <f t="array" aca="1" ref="P3" ca="1">VLOOKUP(O3,INDIRECT("'"&amp;INDEX(BOXCORNER,MATCH(1,--(COUNTIF(INDIRECT("'"&amp;BOXCORNER&amp;"'!$O$4:$P$12"),O3)&gt;0),0))&amp;"'!$O$4:$P$12"),2,FALSE)</f>
        <v>#N/A</v>
      </c>
      <c r="Q3" s="381"/>
      <c r="R3" s="40"/>
      <c r="S3" s="40"/>
      <c r="T3" s="40" t="s">
        <v>192</v>
      </c>
      <c r="U3" s="198" t="s">
        <v>202</v>
      </c>
      <c r="V3" s="40">
        <v>12</v>
      </c>
      <c r="W3" s="40">
        <v>12</v>
      </c>
      <c r="X3" s="40">
        <v>10.130000000000001</v>
      </c>
      <c r="Y3" s="447" t="s">
        <v>221</v>
      </c>
      <c r="Z3" s="198">
        <v>304.8</v>
      </c>
      <c r="AA3" s="198">
        <v>304.8</v>
      </c>
      <c r="AB3" s="449">
        <v>257</v>
      </c>
      <c r="AC3" s="198" t="s">
        <v>201</v>
      </c>
      <c r="AD3" s="40">
        <v>240</v>
      </c>
      <c r="AE3" s="40">
        <v>120</v>
      </c>
      <c r="AF3" s="40">
        <v>72</v>
      </c>
      <c r="AG3" s="447" t="s">
        <v>219</v>
      </c>
      <c r="AH3" s="198">
        <v>6096</v>
      </c>
      <c r="AI3" s="448">
        <v>3048</v>
      </c>
      <c r="AJ3" s="449">
        <v>1829</v>
      </c>
      <c r="AK3" s="41">
        <v>103.815</v>
      </c>
      <c r="AL3" s="169">
        <v>31.815000000000001</v>
      </c>
      <c r="AM3" s="41">
        <v>103.815</v>
      </c>
      <c r="AN3" s="41"/>
      <c r="AO3" s="198" t="s">
        <v>347</v>
      </c>
      <c r="AP3" s="198" t="s">
        <v>347</v>
      </c>
      <c r="AQ3" s="198" t="s">
        <v>347</v>
      </c>
      <c r="AR3" s="198" t="s">
        <v>347</v>
      </c>
      <c r="AS3" s="198" t="s">
        <v>347</v>
      </c>
      <c r="AT3" s="40"/>
      <c r="AU3" s="1"/>
    </row>
    <row r="4" spans="1:47" x14ac:dyDescent="0.25">
      <c r="A4" s="41"/>
      <c r="B4" s="40" t="s">
        <v>192</v>
      </c>
      <c r="C4" s="40"/>
      <c r="D4" s="379"/>
      <c r="E4" s="381" t="s">
        <v>74</v>
      </c>
      <c r="F4" s="40"/>
      <c r="G4" s="40"/>
      <c r="H4" s="40" t="s">
        <v>193</v>
      </c>
      <c r="I4" s="40">
        <v>849</v>
      </c>
      <c r="J4" s="40"/>
      <c r="K4" s="40"/>
      <c r="L4" s="379"/>
      <c r="M4" s="380"/>
      <c r="N4" s="380" t="s">
        <v>10</v>
      </c>
      <c r="O4" s="380" t="str">
        <f>'DATA ENTRY'!B8&amp;"_FA%"</f>
        <v>SELECT MODEL_FA%</v>
      </c>
      <c r="P4" s="380" t="e">
        <f t="array" aca="1" ref="P4" ca="1">VLOOKUP(O4,INDIRECT("'"&amp;INDEX(BOXCORNER,MATCH(1,--(COUNTIF(INDIRECT("'"&amp;BOXCORNER&amp;"'!$O$4:$P$12"),O4)&gt;0),0))&amp;"'!$O$4:$P$12"),2,FALSE)</f>
        <v>#N/A</v>
      </c>
      <c r="Q4" s="381"/>
      <c r="R4" s="40"/>
      <c r="S4" s="40"/>
      <c r="T4" s="40" t="s">
        <v>193</v>
      </c>
      <c r="U4" s="198" t="s">
        <v>200</v>
      </c>
      <c r="V4" s="40">
        <v>12</v>
      </c>
      <c r="W4" s="40">
        <v>12</v>
      </c>
      <c r="X4" s="40">
        <v>9.5</v>
      </c>
      <c r="Y4" s="447" t="s">
        <v>218</v>
      </c>
      <c r="Z4" s="198">
        <v>304.8</v>
      </c>
      <c r="AA4" s="198">
        <v>304.8</v>
      </c>
      <c r="AB4" s="449">
        <v>241</v>
      </c>
      <c r="AC4" s="198" t="s">
        <v>201</v>
      </c>
      <c r="AD4" s="40">
        <v>240</v>
      </c>
      <c r="AE4" s="40">
        <v>120</v>
      </c>
      <c r="AF4" s="40">
        <v>72</v>
      </c>
      <c r="AG4" s="447" t="s">
        <v>223</v>
      </c>
      <c r="AH4" s="198">
        <v>6096</v>
      </c>
      <c r="AI4" s="448">
        <v>3048</v>
      </c>
      <c r="AJ4" s="449">
        <v>1828.8</v>
      </c>
      <c r="AK4" s="41">
        <v>107.815</v>
      </c>
      <c r="AL4" s="169">
        <v>35.814999999999998</v>
      </c>
      <c r="AM4" s="41">
        <v>107.815</v>
      </c>
      <c r="AN4" s="41"/>
      <c r="AO4" s="911">
        <f>IF('DATA ENTRY'!$B$22="mm",VALUE(FIXED(SHEETDATA!AO23*25.4, 1)),VALUE(FIXED(SHEETDATA!AO23,3)))</f>
        <v>13.06</v>
      </c>
      <c r="AP4" s="911">
        <f>IF('DATA ENTRY'!$B$22="mm",VALUE(FIXED(SHEETDATA!AP23*25.4, 1)),VALUE(FIXED(SHEETDATA!AP23,3)))</f>
        <v>15.93</v>
      </c>
      <c r="AQ4" s="911">
        <f>IF('DATA ENTRY'!$B$22="mm",VALUE(FIXED(SHEETDATA!AQ23*25.4, 1)),VALUE(FIXED(SHEETDATA!AQ23,3)))</f>
        <v>13.06</v>
      </c>
      <c r="AR4" s="911">
        <f>IF('DATA ENTRY'!$B$22="mm",VALUE(FIXED(SHEETDATA!AR23*25.4, 1)),VALUE(FIXED(SHEETDATA!AR23,3)))</f>
        <v>15.72</v>
      </c>
      <c r="AS4" s="911">
        <f>IF('DATA ENTRY'!$B$22="mm",VALUE(FIXED(SHEETDATA!AS23*25.4, 1)),VALUE(FIXED(SHEETDATA!AS23,3)))</f>
        <v>15.651</v>
      </c>
      <c r="AT4" s="40"/>
      <c r="AU4" s="1"/>
    </row>
    <row r="5" spans="1:47" x14ac:dyDescent="0.25">
      <c r="A5" s="41"/>
      <c r="B5" s="40" t="s">
        <v>193</v>
      </c>
      <c r="C5" s="40"/>
      <c r="D5" s="379" t="s">
        <v>266</v>
      </c>
      <c r="E5" s="381" t="s">
        <v>267</v>
      </c>
      <c r="F5" s="40"/>
      <c r="G5" s="40"/>
      <c r="H5" s="40" t="s">
        <v>195</v>
      </c>
      <c r="I5" s="40">
        <v>669</v>
      </c>
      <c r="J5" s="40"/>
      <c r="K5" s="40"/>
      <c r="L5" s="379"/>
      <c r="M5" s="380"/>
      <c r="N5" s="380" t="s">
        <v>11</v>
      </c>
      <c r="O5" s="380" t="str">
        <f>'DATA ENTRY'!B8&amp;"_VEL"</f>
        <v>SELECT MODEL_VEL</v>
      </c>
      <c r="P5" s="380" t="e">
        <f t="array" aca="1" ref="P5" ca="1">VLOOKUP(O5,INDIRECT("'"&amp;INDEX(BOXCORNER,MATCH(1,--(COUNTIF(INDIRECT("'"&amp;BOXCORNER&amp;"'!$O$4:$P$12"),O5)&gt;0),0))&amp;"'!$O$4:$P$12"),2,FALSE)</f>
        <v>#N/A</v>
      </c>
      <c r="Q5" s="381"/>
      <c r="R5" s="40"/>
      <c r="S5" s="40"/>
      <c r="T5" s="40" t="s">
        <v>195</v>
      </c>
      <c r="U5" s="198" t="s">
        <v>203</v>
      </c>
      <c r="V5" s="40">
        <v>12</v>
      </c>
      <c r="W5" s="40">
        <v>12</v>
      </c>
      <c r="X5" s="40">
        <v>10.5</v>
      </c>
      <c r="Y5" s="447" t="s">
        <v>222</v>
      </c>
      <c r="Z5" s="198">
        <v>304.8</v>
      </c>
      <c r="AA5" s="198">
        <v>304.8</v>
      </c>
      <c r="AB5" s="449">
        <v>267</v>
      </c>
      <c r="AC5" s="198" t="s">
        <v>201</v>
      </c>
      <c r="AD5" s="40">
        <v>240</v>
      </c>
      <c r="AE5" s="40">
        <v>120</v>
      </c>
      <c r="AF5" s="40">
        <v>72</v>
      </c>
      <c r="AG5" s="447" t="s">
        <v>223</v>
      </c>
      <c r="AH5" s="198">
        <v>6096</v>
      </c>
      <c r="AI5" s="448">
        <v>3048</v>
      </c>
      <c r="AJ5" s="449">
        <v>1828.8</v>
      </c>
      <c r="AK5" s="41">
        <v>107.815</v>
      </c>
      <c r="AL5" s="169">
        <v>35.814999999999998</v>
      </c>
      <c r="AM5" s="41">
        <v>107.815</v>
      </c>
      <c r="AN5" s="41"/>
      <c r="AO5" s="911">
        <f>IF('DATA ENTRY'!$B$22="mm",VALUE(FIXED(SHEETDATA!AO24*25.4, 1)),VALUE(FIXED(SHEETDATA!AO24,3)))</f>
        <v>17.059999999999999</v>
      </c>
      <c r="AP5" s="911">
        <f>IF('DATA ENTRY'!$B$22="mm",VALUE(FIXED(SHEETDATA!AP24*25.4, 1)),VALUE(FIXED(SHEETDATA!AP24,3)))</f>
        <v>20.43</v>
      </c>
      <c r="AQ5" s="911">
        <f>IF('DATA ENTRY'!$B$22="mm",VALUE(FIXED(SHEETDATA!AQ24*25.4, 1)),VALUE(FIXED(SHEETDATA!AQ24,3)))</f>
        <v>17.059999999999999</v>
      </c>
      <c r="AR5" s="911">
        <f>IF('DATA ENTRY'!$B$22="mm",VALUE(FIXED(SHEETDATA!AR24*25.4, 1)),VALUE(FIXED(SHEETDATA!AR24,3)))</f>
        <v>20.72</v>
      </c>
      <c r="AS5" s="911">
        <f>IF('DATA ENTRY'!$B$22="mm",VALUE(FIXED(SHEETDATA!AS24*25.4, 1)),VALUE(FIXED(SHEETDATA!AS24,3)))</f>
        <v>20.651</v>
      </c>
      <c r="AT5" s="40"/>
      <c r="AU5" s="1"/>
    </row>
    <row r="6" spans="1:47" x14ac:dyDescent="0.25">
      <c r="A6" s="41"/>
      <c r="B6" s="40" t="s">
        <v>195</v>
      </c>
      <c r="C6" s="40"/>
      <c r="D6" s="379"/>
      <c r="E6" s="381" t="s">
        <v>434</v>
      </c>
      <c r="F6" s="40"/>
      <c r="G6" s="40"/>
      <c r="H6" s="40" t="s">
        <v>197</v>
      </c>
      <c r="I6" s="40">
        <v>642</v>
      </c>
      <c r="J6" s="40"/>
      <c r="K6" s="40"/>
      <c r="L6" s="379"/>
      <c r="M6" s="380"/>
      <c r="N6" s="380" t="s">
        <v>12</v>
      </c>
      <c r="O6" s="380" t="str">
        <f>'DATA ENTRY'!B8&amp;"_"&amp;'DATA ENTRY'!B14</f>
        <v>SELECT MODEL_SELECT AIR DIRECTION</v>
      </c>
      <c r="P6" s="380" t="e">
        <f t="array" aca="1" ref="P6" ca="1">VLOOKUP(O6,INDIRECT("'"&amp;INDEX(BOXCORNER,MATCH(1,--(COUNTIF(INDIRECT("'"&amp;BOXCORNER&amp;"'!$O$4:$P$12"),O6)&gt;0),0))&amp;"'!$O$4:$P$12"),2,FALSE)</f>
        <v>#N/A</v>
      </c>
      <c r="Q6" s="381"/>
      <c r="R6" s="40"/>
      <c r="S6" s="40"/>
      <c r="T6" s="40" t="s">
        <v>197</v>
      </c>
      <c r="U6" s="198" t="s">
        <v>203</v>
      </c>
      <c r="V6" s="40">
        <v>12</v>
      </c>
      <c r="W6" s="40">
        <v>12</v>
      </c>
      <c r="X6" s="40">
        <v>10.5</v>
      </c>
      <c r="Y6" s="447" t="s">
        <v>222</v>
      </c>
      <c r="Z6" s="198">
        <v>304.8</v>
      </c>
      <c r="AA6" s="198">
        <v>304.8</v>
      </c>
      <c r="AB6" s="449">
        <v>267</v>
      </c>
      <c r="AC6" s="198" t="s">
        <v>201</v>
      </c>
      <c r="AD6" s="40">
        <v>240</v>
      </c>
      <c r="AE6" s="40">
        <v>120</v>
      </c>
      <c r="AF6" s="40">
        <v>72</v>
      </c>
      <c r="AG6" s="447" t="s">
        <v>223</v>
      </c>
      <c r="AH6" s="198">
        <v>6096</v>
      </c>
      <c r="AI6" s="448">
        <v>3048</v>
      </c>
      <c r="AJ6" s="449">
        <v>1828.8</v>
      </c>
      <c r="AK6" s="41">
        <v>107.815</v>
      </c>
      <c r="AL6" s="169">
        <v>35.814999999999998</v>
      </c>
      <c r="AM6" s="41">
        <v>107.815</v>
      </c>
      <c r="AN6" s="41"/>
      <c r="AO6" s="911">
        <f>IF('DATA ENTRY'!$B$22="mm",VALUE(FIXED(SHEETDATA!AO25*25.4, 1)),VALUE(FIXED(SHEETDATA!AO25,3)))</f>
        <v>21.06</v>
      </c>
      <c r="AP6" s="911">
        <f>IF('DATA ENTRY'!$B$22="mm",VALUE(FIXED(SHEETDATA!AP25*25.4, 1)),VALUE(FIXED(SHEETDATA!AP25,3)))</f>
        <v>24.93</v>
      </c>
      <c r="AQ6" s="911">
        <f>IF('DATA ENTRY'!$B$22="mm",VALUE(FIXED(SHEETDATA!AQ25*25.4, 1)),VALUE(FIXED(SHEETDATA!AQ25,3)))</f>
        <v>21.06</v>
      </c>
      <c r="AR6" s="911">
        <f>IF('DATA ENTRY'!$B$22="mm",VALUE(FIXED(SHEETDATA!AR25*25.4, 1)),VALUE(FIXED(SHEETDATA!AR25,3)))</f>
        <v>25.72</v>
      </c>
      <c r="AS6" s="911">
        <f>IF('DATA ENTRY'!$B$22="mm",VALUE(FIXED(SHEETDATA!AS25*25.4, 1)),VALUE(FIXED(SHEETDATA!AS25,3)))</f>
        <v>25.651</v>
      </c>
      <c r="AT6" s="40"/>
      <c r="AU6" s="1"/>
    </row>
    <row r="7" spans="1:47" x14ac:dyDescent="0.25">
      <c r="A7" s="41"/>
      <c r="B7" s="40" t="s">
        <v>197</v>
      </c>
      <c r="C7" s="40"/>
      <c r="D7" s="379"/>
      <c r="E7" s="381" t="s">
        <v>268</v>
      </c>
      <c r="F7" s="40"/>
      <c r="G7" s="40"/>
      <c r="H7" s="40" t="s">
        <v>204</v>
      </c>
      <c r="I7" s="40">
        <v>886</v>
      </c>
      <c r="J7" s="40"/>
      <c r="K7" s="40"/>
      <c r="L7" s="379"/>
      <c r="M7" s="380"/>
      <c r="N7" s="380" t="s">
        <v>86</v>
      </c>
      <c r="O7" s="380" t="str">
        <f>'DATA ENTRY'!B8&amp;"_SEC"</f>
        <v>SELECT MODEL_SEC</v>
      </c>
      <c r="P7" s="380" t="e">
        <f t="array" aca="1" ref="P7" ca="1">VLOOKUP(O7,INDIRECT("'"&amp;INDEX(BOXCORNER,MATCH(1,--(COUNTIF(INDIRECT("'"&amp;BOXCORNER&amp;"'!$O$4:$P$12"),O7)&gt;0),0))&amp;"'!$O$4:$P$12"),2,FALSE)</f>
        <v>#N/A</v>
      </c>
      <c r="Q7" s="381"/>
      <c r="R7" s="40"/>
      <c r="S7" s="40"/>
      <c r="T7" s="40" t="s">
        <v>204</v>
      </c>
      <c r="U7" s="198" t="s">
        <v>205</v>
      </c>
      <c r="V7" s="40">
        <v>16</v>
      </c>
      <c r="W7" s="40">
        <v>16</v>
      </c>
      <c r="X7" s="40">
        <v>13.06</v>
      </c>
      <c r="Y7" s="447" t="s">
        <v>404</v>
      </c>
      <c r="Z7" s="198">
        <v>406</v>
      </c>
      <c r="AA7" s="198">
        <v>406</v>
      </c>
      <c r="AB7" s="449">
        <v>331.72399999999999</v>
      </c>
      <c r="AC7" s="198" t="s">
        <v>206</v>
      </c>
      <c r="AD7" s="40">
        <v>108</v>
      </c>
      <c r="AE7" s="40">
        <v>108</v>
      </c>
      <c r="AF7" s="40">
        <v>73.06</v>
      </c>
      <c r="AG7" s="447" t="s">
        <v>406</v>
      </c>
      <c r="AH7" s="198">
        <v>2743</v>
      </c>
      <c r="AI7" s="198">
        <v>2743</v>
      </c>
      <c r="AJ7" s="449">
        <v>1855.7239999999999</v>
      </c>
      <c r="AK7" s="41">
        <v>108.977</v>
      </c>
      <c r="AL7" s="169">
        <v>36.976999999999997</v>
      </c>
      <c r="AM7" s="41">
        <v>108.977</v>
      </c>
      <c r="AN7" s="41"/>
      <c r="AO7" s="911">
        <f>IF('DATA ENTRY'!$B$22="mm",VALUE(FIXED(SHEETDATA!AO26*25.4, 1)),VALUE(FIXED(SHEETDATA!AO26,3)))</f>
        <v>25.06</v>
      </c>
      <c r="AP7" s="911">
        <f>IF('DATA ENTRY'!$B$22="mm",VALUE(FIXED(SHEETDATA!AP26*25.4, 1)),VALUE(FIXED(SHEETDATA!AP26,3)))</f>
        <v>29.43</v>
      </c>
      <c r="AQ7" s="911">
        <f>IF('DATA ENTRY'!$B$22="mm",VALUE(FIXED(SHEETDATA!AQ26*25.4, 1)),VALUE(FIXED(SHEETDATA!AQ26,3)))</f>
        <v>25.06</v>
      </c>
      <c r="AR7" s="911">
        <f>IF('DATA ENTRY'!$B$22="mm",VALUE(FIXED(SHEETDATA!AR26*25.4, 1)),VALUE(FIXED(SHEETDATA!AR26,3)))</f>
        <v>30.72</v>
      </c>
      <c r="AS7" s="911">
        <f>IF('DATA ENTRY'!$B$22="mm",VALUE(FIXED(SHEETDATA!AS26*25.4, 1)),VALUE(FIXED(SHEETDATA!AS26,3)))</f>
        <v>30.651</v>
      </c>
      <c r="AT7" s="40"/>
      <c r="AU7" s="1"/>
    </row>
    <row r="8" spans="1:47" x14ac:dyDescent="0.25">
      <c r="A8" s="41"/>
      <c r="B8" s="40" t="s">
        <v>204</v>
      </c>
      <c r="C8" s="40"/>
      <c r="D8" s="379"/>
      <c r="E8" s="381" t="s">
        <v>269</v>
      </c>
      <c r="F8" s="40"/>
      <c r="G8" s="40"/>
      <c r="H8" s="40" t="s">
        <v>207</v>
      </c>
      <c r="I8" s="199">
        <v>1233</v>
      </c>
      <c r="J8" s="40"/>
      <c r="K8" s="40"/>
      <c r="L8" s="379"/>
      <c r="M8" s="380"/>
      <c r="N8" s="380" t="s">
        <v>312</v>
      </c>
      <c r="O8" s="380" t="str">
        <f>'DATA ENTRY'!B15</f>
        <v>No Curb</v>
      </c>
      <c r="P8" s="380">
        <f>INDEX(BC_CURB!J2:K5, MATCH(O8,BC_CURB!J2:J5,0),2)</f>
        <v>0</v>
      </c>
      <c r="Q8" s="381"/>
      <c r="R8" s="40"/>
      <c r="S8" s="40"/>
      <c r="T8" s="40" t="s">
        <v>207</v>
      </c>
      <c r="U8" s="198" t="s">
        <v>208</v>
      </c>
      <c r="V8" s="40">
        <v>16</v>
      </c>
      <c r="W8" s="40">
        <v>16</v>
      </c>
      <c r="X8" s="40">
        <v>15.93</v>
      </c>
      <c r="Y8" s="447" t="s">
        <v>224</v>
      </c>
      <c r="Z8" s="198">
        <v>406</v>
      </c>
      <c r="AA8" s="198">
        <v>406</v>
      </c>
      <c r="AB8" s="449">
        <v>405</v>
      </c>
      <c r="AC8" s="198" t="s">
        <v>209</v>
      </c>
      <c r="AD8" s="40">
        <v>104</v>
      </c>
      <c r="AE8" s="40">
        <v>104</v>
      </c>
      <c r="AF8" s="40">
        <v>74.430000000000007</v>
      </c>
      <c r="AG8" s="447" t="s">
        <v>407</v>
      </c>
      <c r="AH8" s="198">
        <v>2743</v>
      </c>
      <c r="AI8" s="198">
        <v>2743</v>
      </c>
      <c r="AJ8" s="449">
        <v>1891</v>
      </c>
      <c r="AK8" s="41">
        <v>108.977</v>
      </c>
      <c r="AL8" s="169">
        <v>36.976999999999997</v>
      </c>
      <c r="AM8" s="41">
        <v>108.977</v>
      </c>
      <c r="AN8" s="41"/>
      <c r="AO8" s="911">
        <f>IF('DATA ENTRY'!$B$22="mm",VALUE(FIXED(SHEETDATA!AO27*25.4, 1)),VALUE(FIXED(SHEETDATA!AO27,3)))</f>
        <v>29.06</v>
      </c>
      <c r="AP8" s="911">
        <f>IF('DATA ENTRY'!$B$22="mm",VALUE(FIXED(SHEETDATA!AP27*25.4, 1)),VALUE(FIXED(SHEETDATA!AP27,3)))</f>
        <v>33.93</v>
      </c>
      <c r="AQ8" s="911">
        <f>IF('DATA ENTRY'!$B$22="mm",VALUE(FIXED(SHEETDATA!AQ27*25.4, 1)),VALUE(FIXED(SHEETDATA!AQ27,3)))</f>
        <v>29.06</v>
      </c>
      <c r="AR8" s="911">
        <f>IF('DATA ENTRY'!$B$22="mm",VALUE(FIXED(SHEETDATA!AR27*25.4, 1)),VALUE(FIXED(SHEETDATA!AR27,3)))</f>
        <v>35.72</v>
      </c>
      <c r="AS8" s="911">
        <f>IF('DATA ENTRY'!$B$22="mm",VALUE(FIXED(SHEETDATA!AS27*25.4, 1)),VALUE(FIXED(SHEETDATA!AS27,3)))</f>
        <v>35.651000000000003</v>
      </c>
      <c r="AT8" s="40"/>
      <c r="AU8" s="1"/>
    </row>
    <row r="9" spans="1:47" x14ac:dyDescent="0.25">
      <c r="A9" s="41"/>
      <c r="B9" s="40" t="s">
        <v>207</v>
      </c>
      <c r="C9" s="40"/>
      <c r="D9" s="379"/>
      <c r="E9" s="381"/>
      <c r="F9" s="40"/>
      <c r="G9" s="40"/>
      <c r="H9" s="40" t="s">
        <v>210</v>
      </c>
      <c r="I9" s="40">
        <v>849</v>
      </c>
      <c r="J9" s="40"/>
      <c r="K9" s="40"/>
      <c r="L9" s="379"/>
      <c r="M9" s="380"/>
      <c r="N9" s="380" t="s">
        <v>84</v>
      </c>
      <c r="O9" s="380" t="str">
        <f>'DATA ENTRY'!B8&amp;"_TW"</f>
        <v>SELECT MODEL_TW</v>
      </c>
      <c r="P9" s="380" t="e">
        <f t="array" aca="1" ref="P9" ca="1">VLOOKUP(O9,INDIRECT("'"&amp;INDEX(BOXCORNER,MATCH(1,--(COUNTIF(INDIRECT("'"&amp;BOXCORNER&amp;"'!$O$4:$P$12"),O9)&gt;0),0))&amp;"'!$O$4:$P$12"),2,FALSE)</f>
        <v>#N/A</v>
      </c>
      <c r="Q9" s="381"/>
      <c r="R9" s="40"/>
      <c r="S9" s="40"/>
      <c r="T9" s="40" t="s">
        <v>210</v>
      </c>
      <c r="U9" s="198" t="s">
        <v>205</v>
      </c>
      <c r="V9" s="40">
        <v>16</v>
      </c>
      <c r="W9" s="40">
        <v>16</v>
      </c>
      <c r="X9" s="40">
        <v>13.06</v>
      </c>
      <c r="Y9" s="447" t="s">
        <v>404</v>
      </c>
      <c r="Z9" s="198">
        <v>406</v>
      </c>
      <c r="AA9" s="198">
        <v>406</v>
      </c>
      <c r="AB9" s="449">
        <v>331.72399999999999</v>
      </c>
      <c r="AC9" s="198" t="s">
        <v>206</v>
      </c>
      <c r="AD9" s="40">
        <v>108</v>
      </c>
      <c r="AE9" s="40">
        <v>108</v>
      </c>
      <c r="AF9" s="40">
        <v>73.06</v>
      </c>
      <c r="AG9" s="447" t="s">
        <v>406</v>
      </c>
      <c r="AH9" s="198">
        <v>2743</v>
      </c>
      <c r="AI9" s="198">
        <v>2743</v>
      </c>
      <c r="AJ9" s="449">
        <v>1855.7239999999999</v>
      </c>
      <c r="AK9" s="41">
        <v>108.977</v>
      </c>
      <c r="AL9" s="169">
        <v>36.976999999999997</v>
      </c>
      <c r="AM9" s="41">
        <v>108.977</v>
      </c>
      <c r="AN9" s="41"/>
      <c r="AO9" s="911">
        <f>IF('DATA ENTRY'!$B$22="mm",VALUE(FIXED(SHEETDATA!AO28*25.4, 1)),VALUE(FIXED(SHEETDATA!AO28,3)))</f>
        <v>33.06</v>
      </c>
      <c r="AP9" s="911">
        <f>IF('DATA ENTRY'!$B$22="mm",VALUE(FIXED(SHEETDATA!AP28*25.4, 1)),VALUE(FIXED(SHEETDATA!AP28,3)))</f>
        <v>38.43</v>
      </c>
      <c r="AQ9" s="911">
        <f>IF('DATA ENTRY'!$B$22="mm",VALUE(FIXED(SHEETDATA!AQ28*25.4, 1)),VALUE(FIXED(SHEETDATA!AQ28,3)))</f>
        <v>33.06</v>
      </c>
      <c r="AR9" s="911">
        <f>IF('DATA ENTRY'!$B$22="mm",VALUE(FIXED(SHEETDATA!AR28*25.4, 1)),VALUE(FIXED(SHEETDATA!AR28,3)))</f>
        <v>40.72</v>
      </c>
      <c r="AS9" s="911">
        <f>IF('DATA ENTRY'!$B$22="mm",VALUE(FIXED(SHEETDATA!AS28*25.4, 1)),VALUE(FIXED(SHEETDATA!AS28,3)))</f>
        <v>40.651000000000003</v>
      </c>
      <c r="AT9" s="40"/>
      <c r="AU9" s="1"/>
    </row>
    <row r="10" spans="1:47" x14ac:dyDescent="0.25">
      <c r="A10" s="41"/>
      <c r="B10" s="40" t="s">
        <v>210</v>
      </c>
      <c r="C10" s="40"/>
      <c r="D10" s="379" t="s">
        <v>90</v>
      </c>
      <c r="E10" s="381" t="s">
        <v>177</v>
      </c>
      <c r="F10" s="40"/>
      <c r="G10" s="40"/>
      <c r="H10" s="40" t="s">
        <v>211</v>
      </c>
      <c r="I10" s="40">
        <v>669</v>
      </c>
      <c r="J10" s="40"/>
      <c r="K10" s="40"/>
      <c r="L10" s="379"/>
      <c r="M10" s="380"/>
      <c r="N10" s="380" t="s">
        <v>258</v>
      </c>
      <c r="O10" s="380" t="str">
        <f>'DATA ENTRY'!B8&amp;"_SL"</f>
        <v>SELECT MODEL_SL</v>
      </c>
      <c r="P10" s="380" t="e">
        <f t="array" aca="1" ref="P10" ca="1">VLOOKUP(O10,INDIRECT("'"&amp;INDEX(BOXCORNER,MATCH(1,--(COUNTIF(INDIRECT("'"&amp;BOXCORNER&amp;"'!$V$4:$W$8"),O10)&gt;0),0))&amp;"'!$V$4:$W$8"),2,FALSE)</f>
        <v>#N/A</v>
      </c>
      <c r="Q10" s="381"/>
      <c r="R10" s="40"/>
      <c r="S10" s="40"/>
      <c r="T10" s="40" t="s">
        <v>211</v>
      </c>
      <c r="U10" s="200" t="s">
        <v>212</v>
      </c>
      <c r="V10" s="40">
        <v>16</v>
      </c>
      <c r="W10" s="40">
        <v>16</v>
      </c>
      <c r="X10" s="40">
        <v>15.72</v>
      </c>
      <c r="Y10" s="447" t="s">
        <v>225</v>
      </c>
      <c r="Z10" s="198">
        <v>406</v>
      </c>
      <c r="AA10" s="198">
        <v>406</v>
      </c>
      <c r="AB10" s="449">
        <v>399</v>
      </c>
      <c r="AC10" s="198" t="s">
        <v>213</v>
      </c>
      <c r="AD10" s="40">
        <v>108</v>
      </c>
      <c r="AE10" s="40">
        <v>108</v>
      </c>
      <c r="AF10" s="40">
        <v>70.72</v>
      </c>
      <c r="AG10" s="447" t="s">
        <v>226</v>
      </c>
      <c r="AH10" s="198">
        <v>2743</v>
      </c>
      <c r="AI10" s="198">
        <v>2743</v>
      </c>
      <c r="AJ10" s="449">
        <v>1796</v>
      </c>
      <c r="AK10" s="41">
        <v>108.977</v>
      </c>
      <c r="AL10" s="169">
        <v>36.976999999999997</v>
      </c>
      <c r="AM10" s="41">
        <v>108.977</v>
      </c>
      <c r="AN10" s="41"/>
      <c r="AO10" s="911">
        <f>IF('DATA ENTRY'!$B$22="mm",VALUE(FIXED(SHEETDATA!AO29*25.4, 1)),VALUE(FIXED(SHEETDATA!AO29,3)))</f>
        <v>37.06</v>
      </c>
      <c r="AP10" s="911">
        <f>IF('DATA ENTRY'!$B$22="mm",VALUE(FIXED(SHEETDATA!AP29*25.4, 1)),VALUE(FIXED(SHEETDATA!AP29,3)))</f>
        <v>42.93</v>
      </c>
      <c r="AQ10" s="911">
        <f>IF('DATA ENTRY'!$B$22="mm",VALUE(FIXED(SHEETDATA!AQ29*25.4, 1)),VALUE(FIXED(SHEETDATA!AQ29,3)))</f>
        <v>37.06</v>
      </c>
      <c r="AR10" s="911">
        <f>IF('DATA ENTRY'!$B$22="mm",VALUE(FIXED(SHEETDATA!AR29*25.4, 1)),VALUE(FIXED(SHEETDATA!AR29,3)))</f>
        <v>45.72</v>
      </c>
      <c r="AS10" s="911">
        <f>IF('DATA ENTRY'!$B$22="mm",VALUE(FIXED(SHEETDATA!AS29*25.4, 1)),VALUE(FIXED(SHEETDATA!AS29,3)))</f>
        <v>45.651000000000003</v>
      </c>
      <c r="AT10" s="40"/>
      <c r="AU10" s="1"/>
    </row>
    <row r="11" spans="1:47" x14ac:dyDescent="0.25">
      <c r="A11" s="41"/>
      <c r="B11" s="40" t="s">
        <v>211</v>
      </c>
      <c r="C11" s="40"/>
      <c r="D11" s="379"/>
      <c r="E11" s="381" t="s">
        <v>91</v>
      </c>
      <c r="F11" s="40"/>
      <c r="G11" s="40"/>
      <c r="H11" s="40" t="s">
        <v>214</v>
      </c>
      <c r="I11" s="40">
        <v>642</v>
      </c>
      <c r="J11" s="40"/>
      <c r="K11" s="40"/>
      <c r="L11" s="379"/>
      <c r="M11" s="380"/>
      <c r="N11" s="380" t="s">
        <v>104</v>
      </c>
      <c r="O11" s="380" t="str">
        <f>'DATA ENTRY'!B8&amp;"_SW"</f>
        <v>SELECT MODEL_SW</v>
      </c>
      <c r="P11" s="380" t="e">
        <f t="array" aca="1" ref="P11" ca="1">VLOOKUP(O11,INDIRECT("'"&amp;INDEX(BOXCORNER,MATCH(1,--(COUNTIF(INDIRECT("'"&amp;BOXCORNER&amp;"'!$V$4:$W$8"),O11)&gt;0),0))&amp;"'!$V$4:$W$8"),2,FALSE)</f>
        <v>#N/A</v>
      </c>
      <c r="Q11" s="381"/>
      <c r="R11" s="40"/>
      <c r="S11" s="40"/>
      <c r="T11" s="40" t="s">
        <v>214</v>
      </c>
      <c r="U11" s="198" t="s">
        <v>352</v>
      </c>
      <c r="V11" s="40">
        <v>16</v>
      </c>
      <c r="W11" s="40">
        <v>16</v>
      </c>
      <c r="X11" s="40">
        <v>15.651</v>
      </c>
      <c r="Y11" s="485" t="s">
        <v>405</v>
      </c>
      <c r="Z11" s="198">
        <v>406</v>
      </c>
      <c r="AA11" s="198">
        <v>406</v>
      </c>
      <c r="AB11" s="449">
        <v>397.53500000000003</v>
      </c>
      <c r="AC11" s="198" t="s">
        <v>353</v>
      </c>
      <c r="AD11" s="40">
        <v>108</v>
      </c>
      <c r="AE11" s="40">
        <v>108</v>
      </c>
      <c r="AF11" s="40">
        <v>70.650999999999996</v>
      </c>
      <c r="AG11" s="447" t="s">
        <v>408</v>
      </c>
      <c r="AH11" s="198">
        <v>2743</v>
      </c>
      <c r="AI11" s="198">
        <v>2743</v>
      </c>
      <c r="AJ11" s="449">
        <v>1794.5350000000001</v>
      </c>
      <c r="AK11" s="41">
        <v>108.977</v>
      </c>
      <c r="AL11" s="169">
        <v>36.976999999999997</v>
      </c>
      <c r="AM11" s="41">
        <v>108.977</v>
      </c>
      <c r="AN11" s="41"/>
      <c r="AO11" s="911">
        <f>IF('DATA ENTRY'!$B$22="mm",VALUE(FIXED(SHEETDATA!AO30*25.4, 1)),VALUE(FIXED(SHEETDATA!AO30,3)))</f>
        <v>41.06</v>
      </c>
      <c r="AP11" s="911">
        <f>IF('DATA ENTRY'!$B$22="mm",VALUE(FIXED(SHEETDATA!AP30*25.4, 1)),VALUE(FIXED(SHEETDATA!AP30,3)))</f>
        <v>47.43</v>
      </c>
      <c r="AQ11" s="911">
        <f>IF('DATA ENTRY'!$B$22="mm",VALUE(FIXED(SHEETDATA!AQ30*25.4, 1)),VALUE(FIXED(SHEETDATA!AQ30,3)))</f>
        <v>41.06</v>
      </c>
      <c r="AR11" s="911">
        <f>IF('DATA ENTRY'!$B$22="mm",VALUE(FIXED(SHEETDATA!AR30*25.4, 1)),VALUE(FIXED(SHEETDATA!AR30,3)))</f>
        <v>50.72</v>
      </c>
      <c r="AS11" s="911">
        <f>IF('DATA ENTRY'!$B$22="mm",VALUE(FIXED(SHEETDATA!AS30*25.4, 1)),VALUE(FIXED(SHEETDATA!AS30,3)))</f>
        <v>50.651000000000003</v>
      </c>
      <c r="AT11" s="40"/>
      <c r="AU11" s="1"/>
    </row>
    <row r="12" spans="1:47" x14ac:dyDescent="0.25">
      <c r="A12" s="41"/>
      <c r="B12" s="40" t="s">
        <v>214</v>
      </c>
      <c r="C12" s="40"/>
      <c r="D12" s="379"/>
      <c r="E12" s="381" t="s">
        <v>92</v>
      </c>
      <c r="F12" s="40"/>
      <c r="G12" s="40"/>
      <c r="H12" s="40"/>
      <c r="I12" s="40"/>
      <c r="J12" s="40"/>
      <c r="K12" s="40"/>
      <c r="L12" s="379"/>
      <c r="M12" s="380"/>
      <c r="N12" s="380" t="s">
        <v>265</v>
      </c>
      <c r="O12" s="380" t="str">
        <f>'DATA ENTRY'!B8&amp;"_TA"</f>
        <v>SELECT MODEL_TA</v>
      </c>
      <c r="P12" s="380" t="e">
        <f t="array" aca="1" ref="P12" ca="1">VLOOKUP(O12,INDIRECT("'"&amp;INDEX(BOXCORNER,MATCH(1,--(COUNTIF(INDIRECT("'"&amp;BOXCORNER&amp;"'!$V$4:$W$9"),O12)&gt;0),0))&amp;"'!$V$4:$W$9"),2,FALSE)</f>
        <v>#N/A</v>
      </c>
      <c r="Q12" s="381"/>
      <c r="R12" s="40"/>
      <c r="S12" s="40"/>
      <c r="T12" s="40"/>
      <c r="U12" s="198"/>
      <c r="V12" s="198"/>
      <c r="W12" s="40"/>
      <c r="X12" s="169"/>
      <c r="Y12" s="447"/>
      <c r="Z12" s="198"/>
      <c r="AA12" s="448"/>
      <c r="AB12" s="449"/>
      <c r="AC12" s="198"/>
      <c r="AD12" s="198"/>
      <c r="AE12" s="40"/>
      <c r="AF12" s="169"/>
      <c r="AG12" s="447"/>
      <c r="AH12" s="198"/>
      <c r="AI12" s="448"/>
      <c r="AJ12" s="449"/>
      <c r="AK12" s="41"/>
      <c r="AL12" s="169"/>
      <c r="AM12" s="41"/>
      <c r="AN12" s="41"/>
      <c r="AO12" s="911">
        <f>IF('DATA ENTRY'!$B$22="mm",VALUE(FIXED(SHEETDATA!AO31*25.4, 1)),VALUE(FIXED(SHEETDATA!AO31,3)))</f>
        <v>45.06</v>
      </c>
      <c r="AP12" s="911">
        <f>IF('DATA ENTRY'!$B$22="mm",VALUE(FIXED(SHEETDATA!AP31*25.4, 1)),VALUE(FIXED(SHEETDATA!AP31,3)))</f>
        <v>51.93</v>
      </c>
      <c r="AQ12" s="911">
        <f>IF('DATA ENTRY'!$B$22="mm",VALUE(FIXED(SHEETDATA!AQ31*25.4, 1)),VALUE(FIXED(SHEETDATA!AQ31,3)))</f>
        <v>45.06</v>
      </c>
      <c r="AR12" s="911">
        <f>IF('DATA ENTRY'!$B$22="mm",VALUE(FIXED(SHEETDATA!AR31*25.4, 1)),VALUE(FIXED(SHEETDATA!AR31,3)))</f>
        <v>55.72</v>
      </c>
      <c r="AS12" s="911">
        <f>IF('DATA ENTRY'!$B$22="mm",VALUE(FIXED(SHEETDATA!AS31*25.4, 1)),VALUE(FIXED(SHEETDATA!AS31,3)))</f>
        <v>55.651000000000003</v>
      </c>
      <c r="AT12" s="40"/>
      <c r="AU12" s="1"/>
    </row>
    <row r="13" spans="1:47" x14ac:dyDescent="0.25">
      <c r="A13" s="41"/>
      <c r="B13" s="40"/>
      <c r="C13" s="40"/>
      <c r="D13" s="379" t="s">
        <v>316</v>
      </c>
      <c r="E13" s="381"/>
      <c r="F13" s="40"/>
      <c r="G13" s="40"/>
      <c r="H13" s="40"/>
      <c r="I13" s="40"/>
      <c r="J13" s="40"/>
      <c r="K13" s="40"/>
      <c r="L13" s="379"/>
      <c r="M13" s="380"/>
      <c r="N13" s="380" t="s">
        <v>311</v>
      </c>
      <c r="O13" s="380"/>
      <c r="P13" s="380" t="e">
        <f ca="1">P9+P8</f>
        <v>#N/A</v>
      </c>
      <c r="Q13" s="381"/>
      <c r="R13" s="40"/>
      <c r="S13" s="40"/>
      <c r="T13" s="40"/>
      <c r="U13" s="198"/>
      <c r="V13" s="198"/>
      <c r="W13" s="40"/>
      <c r="X13" s="169"/>
      <c r="Y13" s="447"/>
      <c r="Z13" s="198"/>
      <c r="AA13" s="448"/>
      <c r="AB13" s="449"/>
      <c r="AC13" s="198"/>
      <c r="AD13" s="198"/>
      <c r="AE13" s="40"/>
      <c r="AF13" s="169"/>
      <c r="AG13" s="447"/>
      <c r="AH13" s="198"/>
      <c r="AI13" s="448"/>
      <c r="AJ13" s="449"/>
      <c r="AK13" s="41"/>
      <c r="AL13" s="169"/>
      <c r="AM13" s="41"/>
      <c r="AN13" s="41"/>
      <c r="AO13" s="911">
        <f>IF('DATA ENTRY'!$B$22="mm",VALUE(FIXED(SHEETDATA!AO32*25.4, 1)),VALUE(FIXED(SHEETDATA!AO32,3)))</f>
        <v>49.06</v>
      </c>
      <c r="AP13" s="911">
        <f>IF('DATA ENTRY'!$B$22="mm",VALUE(FIXED(SHEETDATA!AP32*25.4, 1)),VALUE(FIXED(SHEETDATA!AP32,3)))</f>
        <v>56.43</v>
      </c>
      <c r="AQ13" s="911">
        <f>IF('DATA ENTRY'!$B$22="mm",VALUE(FIXED(SHEETDATA!AQ32*25.4, 1)),VALUE(FIXED(SHEETDATA!AQ32,3)))</f>
        <v>49.06</v>
      </c>
      <c r="AR13" s="911">
        <f>IF('DATA ENTRY'!$B$22="mm",VALUE(FIXED(SHEETDATA!AR32*25.4, 1)),VALUE(FIXED(SHEETDATA!AR32,3)))</f>
        <v>60.72</v>
      </c>
      <c r="AS13" s="911">
        <f>IF('DATA ENTRY'!$B$22="mm",VALUE(FIXED(SHEETDATA!AS32*25.4, 1)),VALUE(FIXED(SHEETDATA!AS32,3)))</f>
        <v>60.651000000000003</v>
      </c>
      <c r="AT13" s="40"/>
      <c r="AU13" s="1"/>
    </row>
    <row r="14" spans="1:47" ht="27" customHeight="1" x14ac:dyDescent="0.45">
      <c r="A14" s="41"/>
      <c r="B14" s="40"/>
      <c r="C14" s="40"/>
      <c r="D14" s="379"/>
      <c r="E14" s="381" t="s">
        <v>315</v>
      </c>
      <c r="F14" s="40"/>
      <c r="G14" s="40"/>
      <c r="H14" s="40"/>
      <c r="I14" s="40"/>
      <c r="J14" s="40"/>
      <c r="K14" s="40"/>
      <c r="L14" s="379"/>
      <c r="M14" s="380"/>
      <c r="N14" s="385" t="s">
        <v>108</v>
      </c>
      <c r="O14" s="385"/>
      <c r="P14" s="385" t="s">
        <v>108</v>
      </c>
      <c r="Q14" s="386"/>
      <c r="R14" s="40"/>
      <c r="S14" s="40"/>
      <c r="T14" s="40"/>
      <c r="U14" s="198"/>
      <c r="V14" s="198"/>
      <c r="W14" s="40"/>
      <c r="X14" s="169"/>
      <c r="Y14" s="447"/>
      <c r="Z14" s="198"/>
      <c r="AA14" s="448"/>
      <c r="AB14" s="449"/>
      <c r="AC14" s="198"/>
      <c r="AD14" s="198"/>
      <c r="AE14" s="40"/>
      <c r="AF14" s="169"/>
      <c r="AG14" s="447"/>
      <c r="AH14" s="198"/>
      <c r="AI14" s="448"/>
      <c r="AJ14" s="449"/>
      <c r="AK14" s="41"/>
      <c r="AL14" s="169"/>
      <c r="AM14" s="41"/>
      <c r="AN14" s="41"/>
      <c r="AO14" s="911">
        <f>IF('DATA ENTRY'!$B$22="mm",VALUE(FIXED(SHEETDATA!AO33*25.4, 1)),VALUE(FIXED(SHEETDATA!AO33,3)))</f>
        <v>53.06</v>
      </c>
      <c r="AP14" s="911">
        <f>IF('DATA ENTRY'!$B$22="mm",VALUE(FIXED(SHEETDATA!AP33*25.4, 1)),VALUE(FIXED(SHEETDATA!AP33,3)))</f>
        <v>60.93</v>
      </c>
      <c r="AQ14" s="911">
        <f>IF('DATA ENTRY'!$B$22="mm",VALUE(FIXED(SHEETDATA!AQ33*25.4, 1)),VALUE(FIXED(SHEETDATA!AQ33,3)))</f>
        <v>53.06</v>
      </c>
      <c r="AR14" s="911">
        <f>IF('DATA ENTRY'!$B$22="mm",VALUE(FIXED(SHEETDATA!AR33*25.4, 1)),VALUE(FIXED(SHEETDATA!AR33,3)))</f>
        <v>65.72</v>
      </c>
      <c r="AS14" s="911">
        <f>IF('DATA ENTRY'!$B$22="mm",VALUE(FIXED(SHEETDATA!AS33*25.4, 1)),VALUE(FIXED(SHEETDATA!AS33,3)))</f>
        <v>65.650999999999996</v>
      </c>
      <c r="AT14" s="40"/>
      <c r="AU14" s="1"/>
    </row>
    <row r="15" spans="1:47" x14ac:dyDescent="0.25">
      <c r="A15" s="41"/>
      <c r="B15" s="40"/>
      <c r="C15" s="40"/>
      <c r="D15" s="379"/>
      <c r="E15" s="381" t="s">
        <v>317</v>
      </c>
      <c r="F15" s="40"/>
      <c r="G15" s="40"/>
      <c r="H15" s="40"/>
      <c r="I15" s="199"/>
      <c r="J15" s="40"/>
      <c r="K15" s="40"/>
      <c r="L15" s="379"/>
      <c r="M15" s="380"/>
      <c r="N15" s="380"/>
      <c r="O15" s="380"/>
      <c r="P15" s="380"/>
      <c r="Q15" s="381"/>
      <c r="R15" s="40"/>
      <c r="S15" s="40"/>
      <c r="T15" s="40"/>
      <c r="U15" s="198"/>
      <c r="V15" s="198"/>
      <c r="W15" s="40"/>
      <c r="X15" s="169"/>
      <c r="Y15" s="41"/>
      <c r="Z15" s="40"/>
      <c r="AA15" s="40"/>
      <c r="AB15" s="169"/>
      <c r="AC15" s="198"/>
      <c r="AD15" s="198"/>
      <c r="AE15" s="40"/>
      <c r="AF15" s="169"/>
      <c r="AG15" s="41"/>
      <c r="AH15" s="40"/>
      <c r="AI15" s="40"/>
      <c r="AJ15" s="169"/>
      <c r="AK15" s="41"/>
      <c r="AL15" s="169"/>
      <c r="AM15" s="41"/>
      <c r="AN15" s="41"/>
      <c r="AO15" s="911">
        <f>IF('DATA ENTRY'!$B$22="mm",VALUE(FIXED(SHEETDATA!AO34*25.4, 1)),VALUE(FIXED(SHEETDATA!AO34,3)))</f>
        <v>57.06</v>
      </c>
      <c r="AP15" s="911">
        <f>IF('DATA ENTRY'!$B$22="mm",VALUE(FIXED(SHEETDATA!AP34*25.4, 1)),VALUE(FIXED(SHEETDATA!AP34,3)))</f>
        <v>65.430000000000007</v>
      </c>
      <c r="AQ15" s="911">
        <f>IF('DATA ENTRY'!$B$22="mm",VALUE(FIXED(SHEETDATA!AQ34*25.4, 1)),VALUE(FIXED(SHEETDATA!AQ34,3)))</f>
        <v>57.06</v>
      </c>
      <c r="AR15" s="911">
        <f>IF('DATA ENTRY'!$B$22="mm",VALUE(FIXED(SHEETDATA!AR34*25.4, 1)),VALUE(FIXED(SHEETDATA!AR34,3)))</f>
        <v>70.72</v>
      </c>
      <c r="AS15" s="911">
        <f>IF('DATA ENTRY'!$B$22="mm",VALUE(FIXED(SHEETDATA!AS34*25.4, 1)),VALUE(FIXED(SHEETDATA!AS34,3)))</f>
        <v>70.650999999999996</v>
      </c>
      <c r="AT15" s="40"/>
      <c r="AU15" s="1"/>
    </row>
    <row r="16" spans="1:47" ht="15.75" thickBot="1" x14ac:dyDescent="0.3">
      <c r="A16" s="41"/>
      <c r="B16" s="40" t="s">
        <v>132</v>
      </c>
      <c r="C16" s="40"/>
      <c r="D16" s="379"/>
      <c r="E16" s="381"/>
      <c r="F16" s="40"/>
      <c r="G16" s="40"/>
      <c r="H16" s="40"/>
      <c r="I16" s="199"/>
      <c r="J16" s="40"/>
      <c r="K16" s="40"/>
      <c r="L16" s="379"/>
      <c r="M16" s="380"/>
      <c r="N16" s="380"/>
      <c r="O16" s="380"/>
      <c r="P16" s="380"/>
      <c r="Q16" s="381"/>
      <c r="R16" s="40"/>
      <c r="S16" s="40"/>
      <c r="T16" s="40"/>
      <c r="U16" s="40"/>
      <c r="V16" s="40"/>
      <c r="W16" s="40"/>
      <c r="X16" s="169"/>
      <c r="Y16" s="42"/>
      <c r="Z16" s="43"/>
      <c r="AA16" s="43"/>
      <c r="AB16" s="170"/>
      <c r="AC16" s="40"/>
      <c r="AD16" s="40"/>
      <c r="AE16" s="40"/>
      <c r="AF16" s="169"/>
      <c r="AG16" s="42"/>
      <c r="AH16" s="43"/>
      <c r="AI16" s="43"/>
      <c r="AJ16" s="170"/>
      <c r="AK16" s="41"/>
      <c r="AL16" s="169"/>
      <c r="AM16" s="41"/>
      <c r="AN16" s="41"/>
      <c r="AO16" s="911">
        <f>IF('DATA ENTRY'!$B$22="mm",VALUE(FIXED(SHEETDATA!AO35*25.4, 1)),VALUE(FIXED(SHEETDATA!AO35,3)))</f>
        <v>61.06</v>
      </c>
      <c r="AP16" s="911">
        <f>IF('DATA ENTRY'!$B$22="mm",VALUE(FIXED(SHEETDATA!AP35*25.4, 1)),VALUE(FIXED(SHEETDATA!AP35,3)))</f>
        <v>69.930000000000007</v>
      </c>
      <c r="AQ16" s="911">
        <f>IF('DATA ENTRY'!$B$22="mm",VALUE(FIXED(SHEETDATA!AQ35*25.4, 1)),VALUE(FIXED(SHEETDATA!AQ35,3)))</f>
        <v>61.06</v>
      </c>
      <c r="AR16" s="911"/>
      <c r="AS16" s="911"/>
      <c r="AT16" s="40"/>
      <c r="AU16" s="1"/>
    </row>
    <row r="17" spans="1:47" ht="21" x14ac:dyDescent="0.35">
      <c r="A17" s="41"/>
      <c r="B17" s="40"/>
      <c r="C17" s="40"/>
      <c r="D17" s="969" t="s">
        <v>108</v>
      </c>
      <c r="E17" s="970"/>
      <c r="F17" s="40"/>
      <c r="G17" s="40"/>
      <c r="H17" s="40"/>
      <c r="I17" s="199"/>
      <c r="J17" s="199"/>
      <c r="K17" s="40"/>
      <c r="L17" s="379"/>
      <c r="M17" s="380"/>
      <c r="N17" s="380"/>
      <c r="O17" s="380"/>
      <c r="P17" s="380"/>
      <c r="Q17" s="381"/>
      <c r="R17" s="40"/>
      <c r="S17" s="423" t="s">
        <v>344</v>
      </c>
      <c r="T17" s="374" t="s">
        <v>101</v>
      </c>
      <c r="U17" s="396" t="e">
        <f>INDEX(SHEETDATA!T2:AJ14, MATCH('DATA ENTRY'!B8,SHEETDATA!T2:T14,0),2)</f>
        <v>#N/A</v>
      </c>
      <c r="V17" s="396" t="e">
        <f>INDEX(SHEETDATA!T2:AJ14, MATCH('DATA ENTRY'!B8,SHEETDATA!T2:T14,0),3)</f>
        <v>#N/A</v>
      </c>
      <c r="W17" s="376" t="e">
        <f>INDEX(SHEETDATA!T2:AJ14, MATCH('DATA ENTRY'!B8,SHEETDATA!T2:T14,0),4)</f>
        <v>#N/A</v>
      </c>
      <c r="X17" s="378" t="e">
        <f>INDEX(SHEETDATA!T2:AJ14, MATCH('DATA ENTRY'!B8,SHEETDATA!T2:T14,0),5)</f>
        <v>#N/A</v>
      </c>
      <c r="Y17" s="374" t="e">
        <f>INDEX(SHEETDATA!T2:AJ14, MATCH('DATA ENTRY'!B8,SHEETDATA!T2:T14,0),6)</f>
        <v>#N/A</v>
      </c>
      <c r="Z17" s="376" t="e">
        <f>INDEX(SHEETDATA!T2:AJ14, MATCH('DATA ENTRY'!B8,SHEETDATA!T2:T14,0),7)</f>
        <v>#N/A</v>
      </c>
      <c r="AA17" s="396" t="e">
        <f>INDEX(SHEETDATA!T2:AJ14, MATCH('DATA ENTRY'!B8,SHEETDATA!T2:T14,0),8)</f>
        <v>#N/A</v>
      </c>
      <c r="AB17" s="378" t="e">
        <f>INDEX(SHEETDATA!T2:AJ14, MATCH('DATA ENTRY'!B8,SHEETDATA!T2:T14,0),9)</f>
        <v>#N/A</v>
      </c>
      <c r="AC17" s="396" t="e">
        <f>INDEX(SHEETDATA!T2:AJ14, MATCH('DATA ENTRY'!B8,SHEETDATA!T2:T14,0),10)</f>
        <v>#N/A</v>
      </c>
      <c r="AD17" s="396" t="e">
        <f>INDEX(SHEETDATA!T2:AJ14, MATCH('DATA ENTRY'!B8,SHEETDATA!T2:T14,0),11)</f>
        <v>#N/A</v>
      </c>
      <c r="AE17" s="376" t="e">
        <f>INDEX(SHEETDATA!T2:AJ14, MATCH('DATA ENTRY'!B8,SHEETDATA!T2:T14,0),12)</f>
        <v>#N/A</v>
      </c>
      <c r="AF17" s="378" t="e">
        <f>INDEX(SHEETDATA!T2:AJ14, MATCH('DATA ENTRY'!B8,SHEETDATA!T2:T14,0),13)</f>
        <v>#N/A</v>
      </c>
      <c r="AG17" s="374" t="e">
        <f>INDEX(SHEETDATA!T2:AJ14, MATCH('DATA ENTRY'!B8,SHEETDATA!T2:T14,0),14)</f>
        <v>#N/A</v>
      </c>
      <c r="AH17" s="376" t="e">
        <f>INDEX(SHEETDATA!T2:AJ14, MATCH('DATA ENTRY'!B8,SHEETDATA!T2:T14,0),15)</f>
        <v>#N/A</v>
      </c>
      <c r="AI17" s="396" t="e">
        <f>INDEX(SHEETDATA!T2:AJ14, MATCH('DATA ENTRY'!B8,SHEETDATA!T2:T14,0),16)</f>
        <v>#N/A</v>
      </c>
      <c r="AJ17" s="378" t="e">
        <f>INDEX(SHEETDATA!T2:AJ14, MATCH('DATA ENTRY'!B8,SHEETDATA!T2:T14,0),17)</f>
        <v>#N/A</v>
      </c>
      <c r="AK17" s="41"/>
      <c r="AL17" s="169"/>
      <c r="AM17" s="41"/>
      <c r="AN17" s="41"/>
      <c r="AO17" s="911">
        <f>IF('DATA ENTRY'!$B$22="mm",VALUE(FIXED(SHEETDATA!AO36*25.4, 1)),VALUE(FIXED(SHEETDATA!AO36,3)))</f>
        <v>65.06</v>
      </c>
      <c r="AP17" s="911">
        <f>IF('DATA ENTRY'!$B$22="mm",VALUE(FIXED(SHEETDATA!AP36*25.4, 1)),VALUE(FIXED(SHEETDATA!AP36,3)))</f>
        <v>74.430000000000007</v>
      </c>
      <c r="AQ17" s="911">
        <f>IF('DATA ENTRY'!$B$22="mm",VALUE(FIXED(SHEETDATA!AQ36*25.4, 1)),VALUE(FIXED(SHEETDATA!AQ36,3)))</f>
        <v>65.06</v>
      </c>
      <c r="AR17" s="911"/>
      <c r="AS17" s="911"/>
      <c r="AT17" s="40"/>
      <c r="AU17" s="1"/>
    </row>
    <row r="18" spans="1:47" ht="15.75" thickBot="1" x14ac:dyDescent="0.3">
      <c r="A18" s="42"/>
      <c r="B18" s="43"/>
      <c r="C18" s="43"/>
      <c r="D18" s="382"/>
      <c r="E18" s="384"/>
      <c r="F18" s="43"/>
      <c r="G18" s="43"/>
      <c r="H18" s="43"/>
      <c r="I18" s="201"/>
      <c r="J18" s="201"/>
      <c r="K18" s="43"/>
      <c r="L18" s="382"/>
      <c r="M18" s="383"/>
      <c r="N18" s="383"/>
      <c r="O18" s="383"/>
      <c r="P18" s="383"/>
      <c r="Q18" s="384"/>
      <c r="R18" s="43"/>
      <c r="S18" s="43"/>
      <c r="T18" s="382" t="s">
        <v>52</v>
      </c>
      <c r="U18" s="450" t="e">
        <f>IF('DATA ENTRY'!B9="mm",SHEETDATA!Y17,SHEETDATA!U17)</f>
        <v>#N/A</v>
      </c>
      <c r="V18" s="450"/>
      <c r="W18" s="383"/>
      <c r="X18" s="384"/>
      <c r="Y18" s="382"/>
      <c r="Z18" s="383"/>
      <c r="AA18" s="383"/>
      <c r="AB18" s="384"/>
      <c r="AC18" s="450" t="e">
        <f>IF('DATA ENTRY'!B9="mm",SHEETDATA!AG17,SHEETDATA!AC17)</f>
        <v>#N/A</v>
      </c>
      <c r="AD18" s="450"/>
      <c r="AE18" s="383"/>
      <c r="AF18" s="384"/>
      <c r="AG18" s="382"/>
      <c r="AH18" s="383"/>
      <c r="AI18" s="383"/>
      <c r="AJ18" s="384"/>
      <c r="AK18" s="42"/>
      <c r="AL18" s="170"/>
      <c r="AM18" s="42"/>
      <c r="AN18" s="41"/>
      <c r="AO18" s="911">
        <f>IF('DATA ENTRY'!$B$22="mm",VALUE(FIXED(SHEETDATA!AO37*25.4, 1)),VALUE(FIXED(SHEETDATA!AO37,3)))</f>
        <v>69.06</v>
      </c>
      <c r="AP18" s="911"/>
      <c r="AQ18" s="911">
        <f>IF('DATA ENTRY'!$B$22="mm",VALUE(FIXED(SHEETDATA!AQ37*25.4, 1)),VALUE(FIXED(SHEETDATA!AQ37,3)))</f>
        <v>69.06</v>
      </c>
      <c r="AR18" s="911"/>
      <c r="AS18" s="911"/>
      <c r="AT18" s="40"/>
      <c r="AU18" s="1"/>
    </row>
    <row r="19" spans="1:47" ht="15.75" thickBot="1" x14ac:dyDescent="0.3">
      <c r="A19" s="417"/>
      <c r="B19" s="189"/>
      <c r="C19" s="189"/>
      <c r="D19" s="190"/>
      <c r="E19" s="698"/>
      <c r="I19" s="39"/>
      <c r="J19" s="39"/>
      <c r="L19" s="374"/>
      <c r="M19" s="375" t="s">
        <v>89</v>
      </c>
      <c r="N19" s="376"/>
      <c r="O19" s="377" t="s">
        <v>98</v>
      </c>
      <c r="P19" s="376" t="s">
        <v>99</v>
      </c>
      <c r="Q19" s="378"/>
      <c r="R19" s="417"/>
      <c r="S19" s="189"/>
      <c r="T19" s="189"/>
      <c r="U19" s="189"/>
      <c r="V19" s="189"/>
      <c r="W19" s="189"/>
      <c r="X19" s="189"/>
      <c r="Y19" s="189"/>
      <c r="Z19" s="189"/>
      <c r="AA19" s="189"/>
      <c r="AB19" s="189"/>
      <c r="AC19" s="189"/>
      <c r="AD19" s="189"/>
      <c r="AE19" s="189"/>
      <c r="AF19" s="189"/>
      <c r="AG19" s="189"/>
      <c r="AH19" s="189"/>
      <c r="AI19" s="189"/>
      <c r="AJ19" s="190"/>
      <c r="AN19" s="681"/>
      <c r="AO19" s="911">
        <f>IF('DATA ENTRY'!$B$22="mm",VALUE(FIXED(SHEETDATA!AO38*25.4, 1)),VALUE(FIXED(SHEETDATA!AO38,3)))</f>
        <v>73.06</v>
      </c>
      <c r="AP19" s="912"/>
      <c r="AQ19" s="911">
        <f>IF('DATA ENTRY'!$B$22="mm",VALUE(FIXED(SHEETDATA!AQ38*25.4, 1)),VALUE(FIXED(SHEETDATA!AQ38,3)))</f>
        <v>73.06</v>
      </c>
      <c r="AR19" s="912"/>
      <c r="AS19" s="912"/>
      <c r="AT19" s="625"/>
      <c r="AU19" s="677"/>
    </row>
    <row r="20" spans="1:47" x14ac:dyDescent="0.25">
      <c r="A20" s="682" t="s">
        <v>346</v>
      </c>
      <c r="B20" s="40"/>
      <c r="C20" s="683" t="s">
        <v>343</v>
      </c>
      <c r="D20" s="169"/>
      <c r="E20" s="867" t="s">
        <v>354</v>
      </c>
      <c r="I20" s="39"/>
      <c r="J20" s="39"/>
      <c r="L20" s="379"/>
      <c r="M20" s="380"/>
      <c r="N20" s="380" t="s">
        <v>87</v>
      </c>
      <c r="O20" s="380" t="str">
        <f>'DATA ENTRY'!B21&amp;"_MODEL"</f>
        <v>SELECT MODEL_MODEL</v>
      </c>
      <c r="P20" s="380" t="e">
        <f t="array" aca="1" ref="P20" ca="1">VLOOKUP(O20,INDIRECT("'"&amp;INDEX(MITERCORNER,MATCH(1,--(COUNTIF(INDIRECT("'"&amp;MITERCORNER&amp;"'!$O$4:$P$12"),O20)&gt;0),0))&amp;"'!$O$4:$P$12"),2,FALSE)</f>
        <v>#N/A</v>
      </c>
      <c r="Q20" s="381"/>
      <c r="R20" s="41"/>
      <c r="S20" s="423" t="s">
        <v>345</v>
      </c>
      <c r="T20" s="374" t="s">
        <v>101</v>
      </c>
      <c r="U20" s="396" t="e">
        <f>INDEX(SHEETDATA!T2:AJ14, MATCH('DATA ENTRY'!B21,SHEETDATA!T2:T14,0),2)</f>
        <v>#N/A</v>
      </c>
      <c r="V20" s="396" t="e">
        <f>INDEX(SHEETDATA!T2:AJ14, MATCH('DATA ENTRY'!B21,SHEETDATA!T2:T14,0),3)</f>
        <v>#N/A</v>
      </c>
      <c r="W20" s="396" t="e">
        <f>INDEX(SHEETDATA!T2:AJ14, MATCH('DATA ENTRY'!B21,SHEETDATA!T2:T14,0),4)</f>
        <v>#N/A</v>
      </c>
      <c r="X20" s="679" t="e">
        <f>INDEX(SHEETDATA!T2:AJ14, MATCH('DATA ENTRY'!B21,SHEETDATA!T2:T14,0),5)</f>
        <v>#N/A</v>
      </c>
      <c r="Y20" s="396" t="e">
        <f>INDEX(SHEETDATA!T2:AJ14, MATCH('DATA ENTRY'!B21,SHEETDATA!T2:T14,0),6)</f>
        <v>#N/A</v>
      </c>
      <c r="Z20" s="396" t="e">
        <f>INDEX(SHEETDATA!T2:AJ14, MATCH('DATA ENTRY'!B21,SHEETDATA!T2:T14,0),7)</f>
        <v>#N/A</v>
      </c>
      <c r="AA20" s="396" t="e">
        <f>INDEX(SHEETDATA!T2:AJ14, MATCH('DATA ENTRY'!B21,SHEETDATA!T2:T14,0),8)</f>
        <v>#N/A</v>
      </c>
      <c r="AB20" s="679" t="e">
        <f>INDEX(SHEETDATA!T2:AJ14, MATCH('DATA ENTRY'!B21,SHEETDATA!T2:T14,0),9)</f>
        <v>#N/A</v>
      </c>
      <c r="AC20" s="396" t="e">
        <f>INDEX(SHEETDATA!T2:AJ14, MATCH('DATA ENTRY'!B21,SHEETDATA!T2:T14,0),10)</f>
        <v>#N/A</v>
      </c>
      <c r="AD20" s="396" t="e">
        <f>INDEX(SHEETDATA!T2:AJ14, MATCH('DATA ENTRY'!B21,SHEETDATA!T2:T14,0),11)</f>
        <v>#N/A</v>
      </c>
      <c r="AE20" s="396" t="e">
        <f>INDEX(SHEETDATA!T2:AJ14, MATCH('DATA ENTRY'!B21,SHEETDATA!T2:T14,0),12)</f>
        <v>#N/A</v>
      </c>
      <c r="AF20" s="679" t="e">
        <f>INDEX(SHEETDATA!T2:AJ14, MATCH('DATA ENTRY'!B21,SHEETDATA!T2:T14,0),13)</f>
        <v>#N/A</v>
      </c>
      <c r="AG20" s="396" t="e">
        <f>INDEX(SHEETDATA!T2:AJ14, MATCH('DATA ENTRY'!B21,SHEETDATA!T2:T14,0),14)</f>
        <v>#N/A</v>
      </c>
      <c r="AH20" s="396" t="e">
        <f>INDEX(SHEETDATA!T2:AJ14, MATCH('DATA ENTRY'!B21,SHEETDATA!T2:T14,0),15)</f>
        <v>#N/A</v>
      </c>
      <c r="AI20" s="396" t="e">
        <f>INDEX(SHEETDATA!T2:AJ14, MATCH('DATA ENTRY'!B21,SHEETDATA!T2:T14,0),16)</f>
        <v>#N/A</v>
      </c>
      <c r="AJ20" s="679" t="e">
        <f>INDEX(SHEETDATA!T2:AJ14, MATCH('DATA ENTRY'!B21,SHEETDATA!T2:T14,0),17)</f>
        <v>#N/A</v>
      </c>
      <c r="AN20" s="684" t="s">
        <v>340</v>
      </c>
      <c r="AO20" s="675"/>
      <c r="AP20" s="189"/>
      <c r="AQ20" s="189"/>
      <c r="AR20" s="189"/>
      <c r="AS20" s="189"/>
      <c r="AT20" s="189"/>
      <c r="AU20" s="676"/>
    </row>
    <row r="21" spans="1:47" ht="15.75" thickBot="1" x14ac:dyDescent="0.3">
      <c r="A21" s="41" t="s">
        <v>175</v>
      </c>
      <c r="B21" s="40"/>
      <c r="C21" s="40" t="s">
        <v>175</v>
      </c>
      <c r="D21" s="169"/>
      <c r="E21" s="497" t="s">
        <v>355</v>
      </c>
      <c r="I21" s="39"/>
      <c r="J21" s="39"/>
      <c r="L21" s="379"/>
      <c r="M21" s="380"/>
      <c r="N21" s="380" t="s">
        <v>9</v>
      </c>
      <c r="O21" s="380" t="str">
        <f>'DATA ENTRY'!B21&amp;"_FA"</f>
        <v>SELECT MODEL_FA</v>
      </c>
      <c r="P21" s="380" t="e">
        <f t="array" aca="1" ref="P21" ca="1">VLOOKUP(O21,INDIRECT("'"&amp;INDEX(MITERCORNER,MATCH(1,--(COUNTIF(INDIRECT("'"&amp;MITERCORNER&amp;"'!$O$4:$P$12"),O21)&gt;0),0))&amp;"'!$O$4:$P$12"),2,FALSE)</f>
        <v>#N/A</v>
      </c>
      <c r="Q21" s="381"/>
      <c r="R21" s="42"/>
      <c r="S21" s="43"/>
      <c r="T21" s="382" t="s">
        <v>52</v>
      </c>
      <c r="U21" s="450" t="e">
        <f>IF('DATA ENTRY'!B22="mm",SHEETDATA!Y20,SHEETDATA!U20)</f>
        <v>#N/A</v>
      </c>
      <c r="V21" s="450"/>
      <c r="W21" s="450"/>
      <c r="X21" s="680"/>
      <c r="Y21" s="450"/>
      <c r="Z21" s="450"/>
      <c r="AA21" s="450"/>
      <c r="AB21" s="680"/>
      <c r="AC21" s="450" t="e">
        <f>IF('DATA ENTRY'!B22="mm",SHEETDATA!AG20,SHEETDATA!AC20)</f>
        <v>#N/A</v>
      </c>
      <c r="AD21" s="450"/>
      <c r="AE21" s="450"/>
      <c r="AF21" s="680"/>
      <c r="AG21" s="450"/>
      <c r="AH21" s="450"/>
      <c r="AI21" s="450"/>
      <c r="AJ21" s="680"/>
      <c r="AN21" s="41"/>
      <c r="AO21" s="499" t="s">
        <v>204</v>
      </c>
      <c r="AP21" s="499" t="s">
        <v>207</v>
      </c>
      <c r="AQ21" s="499" t="s">
        <v>210</v>
      </c>
      <c r="AR21" s="499" t="s">
        <v>211</v>
      </c>
      <c r="AS21" s="499" t="s">
        <v>214</v>
      </c>
      <c r="AT21" s="40"/>
      <c r="AU21" s="1"/>
    </row>
    <row r="22" spans="1:47" ht="15.75" thickBot="1" x14ac:dyDescent="0.3">
      <c r="A22" s="41" t="s">
        <v>180</v>
      </c>
      <c r="B22" s="40"/>
      <c r="C22" s="40" t="s">
        <v>204</v>
      </c>
      <c r="D22" s="169"/>
      <c r="E22" s="498"/>
      <c r="I22" s="39"/>
      <c r="J22" s="39"/>
      <c r="L22" s="379"/>
      <c r="M22" s="380"/>
      <c r="N22" s="380" t="s">
        <v>10</v>
      </c>
      <c r="O22" s="380" t="str">
        <f>'DATA ENTRY'!B21&amp;"_FA%"</f>
        <v>SELECT MODEL_FA%</v>
      </c>
      <c r="P22" s="380" t="e">
        <f t="array" aca="1" ref="P22" ca="1">VLOOKUP(O22,INDIRECT("'"&amp;INDEX(MITERCORNER,MATCH(1,--(COUNTIF(INDIRECT("'"&amp;MITERCORNER&amp;"'!$O$4:$P$12"),O22)&gt;0),0))&amp;"'!$O$4:$P$12"),2,FALSE)</f>
        <v>#N/A</v>
      </c>
      <c r="Q22" s="381"/>
      <c r="W22" s="193"/>
      <c r="X22" s="193"/>
      <c r="Y22" s="193"/>
      <c r="Z22" s="193"/>
      <c r="AA22" s="193"/>
      <c r="AB22" s="193"/>
      <c r="AC22" s="193"/>
      <c r="AD22" s="193"/>
      <c r="AE22" s="193"/>
      <c r="AF22" s="193"/>
      <c r="AG22" s="193"/>
      <c r="AH22" s="193"/>
      <c r="AN22" s="41"/>
      <c r="AO22" s="198" t="s">
        <v>347</v>
      </c>
      <c r="AP22" s="198" t="s">
        <v>347</v>
      </c>
      <c r="AQ22" s="198" t="s">
        <v>347</v>
      </c>
      <c r="AR22" s="198" t="s">
        <v>347</v>
      </c>
      <c r="AS22" s="198" t="s">
        <v>347</v>
      </c>
      <c r="AT22" s="40"/>
      <c r="AU22" s="1"/>
    </row>
    <row r="23" spans="1:47" x14ac:dyDescent="0.25">
      <c r="A23" s="41" t="s">
        <v>192</v>
      </c>
      <c r="B23" s="40"/>
      <c r="C23" s="40" t="s">
        <v>207</v>
      </c>
      <c r="D23" s="169"/>
      <c r="I23" s="39"/>
      <c r="J23" s="39"/>
      <c r="L23" s="379"/>
      <c r="M23" s="380"/>
      <c r="N23" s="380" t="s">
        <v>11</v>
      </c>
      <c r="O23" s="380" t="str">
        <f>'DATA ENTRY'!B21&amp;"_VEL"</f>
        <v>SELECT MODEL_VEL</v>
      </c>
      <c r="P23" s="380" t="e">
        <f t="array" aca="1" ref="P23" ca="1">VLOOKUP(O23,INDIRECT("'"&amp;INDEX(MITERCORNER,MATCH(1,--(COUNTIF(INDIRECT("'"&amp;MITERCORNER&amp;"'!$O$4:$P$12"),O23)&gt;0),0))&amp;"'!$O$4:$P$12"),2,FALSE)</f>
        <v>#N/A</v>
      </c>
      <c r="Q23" s="381"/>
      <c r="W23" s="193"/>
      <c r="X23" s="193"/>
      <c r="Y23" s="193"/>
      <c r="Z23" s="193"/>
      <c r="AA23" s="193"/>
      <c r="AB23" s="193"/>
      <c r="AC23" s="193"/>
      <c r="AD23" s="193"/>
      <c r="AE23" s="193"/>
      <c r="AF23" s="193"/>
      <c r="AG23" s="193"/>
      <c r="AH23" s="193"/>
      <c r="AN23" s="41"/>
      <c r="AO23" s="40">
        <v>13.06</v>
      </c>
      <c r="AP23" s="40">
        <v>15.93</v>
      </c>
      <c r="AQ23" s="40">
        <v>13.06</v>
      </c>
      <c r="AR23" s="40">
        <v>15.72</v>
      </c>
      <c r="AS23" s="40">
        <v>15.651</v>
      </c>
      <c r="AT23" s="40"/>
      <c r="AU23" s="1"/>
    </row>
    <row r="24" spans="1:47" x14ac:dyDescent="0.25">
      <c r="A24" s="41" t="s">
        <v>193</v>
      </c>
      <c r="B24" s="40"/>
      <c r="C24" s="40" t="s">
        <v>210</v>
      </c>
      <c r="D24" s="169"/>
      <c r="I24" s="39"/>
      <c r="J24" s="39"/>
      <c r="L24" s="379"/>
      <c r="M24" s="380"/>
      <c r="N24" s="380" t="s">
        <v>12</v>
      </c>
      <c r="O24" s="380" t="str">
        <f>'DATA ENTRY'!B21&amp;"_"&amp;'DATA ENTRY'!B27</f>
        <v>SELECT MODEL_SELECT AIR DIRECTION</v>
      </c>
      <c r="P24" s="380" t="e">
        <f t="array" aca="1" ref="P24" ca="1">VLOOKUP(O24,INDIRECT("'"&amp;INDEX(MITERCORNER,MATCH(1,--(COUNTIF(INDIRECT("'"&amp;MITERCORNER&amp;"'!$O$4:$P$12"),O24)&gt;0),0))&amp;"'!$O$4:$P$12"),2,FALSE)</f>
        <v>#N/A</v>
      </c>
      <c r="Q24" s="381"/>
      <c r="W24" s="193"/>
      <c r="X24" s="193"/>
      <c r="Y24" s="193"/>
      <c r="Z24" s="193"/>
      <c r="AA24" s="193"/>
      <c r="AB24" s="193"/>
      <c r="AC24" s="193"/>
      <c r="AD24" s="193"/>
      <c r="AE24" s="193"/>
      <c r="AF24" s="193"/>
      <c r="AG24" s="193"/>
      <c r="AH24" s="193"/>
      <c r="AN24" s="41"/>
      <c r="AO24" s="40">
        <v>17.059999999999999</v>
      </c>
      <c r="AP24" s="40">
        <v>20.43</v>
      </c>
      <c r="AQ24" s="40">
        <v>17.059999999999999</v>
      </c>
      <c r="AR24" s="40">
        <v>20.72</v>
      </c>
      <c r="AS24" s="40">
        <v>20.651</v>
      </c>
      <c r="AT24" s="40"/>
      <c r="AU24" s="1"/>
    </row>
    <row r="25" spans="1:47" x14ac:dyDescent="0.25">
      <c r="A25" s="41" t="s">
        <v>195</v>
      </c>
      <c r="B25" s="40"/>
      <c r="C25" s="40" t="s">
        <v>211</v>
      </c>
      <c r="D25" s="169"/>
      <c r="I25" s="39"/>
      <c r="J25" s="39"/>
      <c r="L25" s="379"/>
      <c r="M25" s="380"/>
      <c r="N25" s="380" t="s">
        <v>86</v>
      </c>
      <c r="O25" s="380" t="str">
        <f>'DATA ENTRY'!B21&amp;"_SEC"</f>
        <v>SELECT MODEL_SEC</v>
      </c>
      <c r="P25" s="380" t="e">
        <f t="array" aca="1" ref="P25" ca="1">VLOOKUP(O25,INDIRECT("'"&amp;INDEX(MITERCORNER,MATCH(1,--(COUNTIF(INDIRECT("'"&amp;MITERCORNER&amp;"'!$O$4:$P$12"),O25)&gt;0),0))&amp;"'!$O$4:$P$12"),2,FALSE)</f>
        <v>#N/A</v>
      </c>
      <c r="Q25" s="381"/>
      <c r="W25" s="193"/>
      <c r="X25" s="193"/>
      <c r="Y25" s="193"/>
      <c r="Z25" s="193"/>
      <c r="AA25" s="193"/>
      <c r="AB25" s="193"/>
      <c r="AC25" s="193"/>
      <c r="AD25" s="193"/>
      <c r="AE25" s="193"/>
      <c r="AF25" s="193"/>
      <c r="AG25" s="193"/>
      <c r="AH25" s="193"/>
      <c r="AN25" s="41"/>
      <c r="AO25" s="40">
        <v>21.06</v>
      </c>
      <c r="AP25" s="40">
        <v>24.93</v>
      </c>
      <c r="AQ25" s="40">
        <v>21.06</v>
      </c>
      <c r="AR25" s="40">
        <v>25.72</v>
      </c>
      <c r="AS25" s="40">
        <v>25.651</v>
      </c>
      <c r="AT25" s="40"/>
      <c r="AU25" s="1"/>
    </row>
    <row r="26" spans="1:47" x14ac:dyDescent="0.25">
      <c r="A26" s="41" t="s">
        <v>197</v>
      </c>
      <c r="B26" s="40"/>
      <c r="C26" s="40" t="s">
        <v>214</v>
      </c>
      <c r="D26" s="169"/>
      <c r="I26" s="39"/>
      <c r="J26" s="39"/>
      <c r="L26" s="379"/>
      <c r="M26" s="380"/>
      <c r="N26" s="380" t="s">
        <v>312</v>
      </c>
      <c r="O26" s="380" t="str">
        <f>'DATA ENTRY'!B28</f>
        <v>No Curb</v>
      </c>
      <c r="P26" s="380">
        <f>INDEX(MC_CURB!J2:K5,MATCH(O26,MC_CURB!J2:J5,0),2)</f>
        <v>0</v>
      </c>
      <c r="Q26" s="381"/>
      <c r="W26" s="193"/>
      <c r="X26" s="193"/>
      <c r="Y26" s="193"/>
      <c r="Z26" s="193"/>
      <c r="AA26" s="193"/>
      <c r="AB26" s="193"/>
      <c r="AC26" s="193"/>
      <c r="AD26" s="193"/>
      <c r="AE26" s="193"/>
      <c r="AF26" s="193"/>
      <c r="AG26" s="193"/>
      <c r="AH26" s="193"/>
      <c r="AN26" s="41"/>
      <c r="AO26" s="40">
        <v>25.06</v>
      </c>
      <c r="AP26" s="40">
        <v>29.43</v>
      </c>
      <c r="AQ26" s="40">
        <v>25.06</v>
      </c>
      <c r="AR26" s="40">
        <v>30.72</v>
      </c>
      <c r="AS26" s="40">
        <v>30.651</v>
      </c>
      <c r="AT26" s="40"/>
      <c r="AU26" s="1"/>
    </row>
    <row r="27" spans="1:47" x14ac:dyDescent="0.25">
      <c r="A27" s="41"/>
      <c r="B27" s="40"/>
      <c r="C27" s="40"/>
      <c r="D27" s="169"/>
      <c r="I27" s="39"/>
      <c r="J27" s="39"/>
      <c r="L27" s="379"/>
      <c r="M27" s="380"/>
      <c r="N27" s="380" t="s">
        <v>84</v>
      </c>
      <c r="O27" s="380" t="str">
        <f>'DATA ENTRY'!B21&amp;"_TW"</f>
        <v>SELECT MODEL_TW</v>
      </c>
      <c r="P27" s="380" t="e">
        <f t="array" aca="1" ref="P27" ca="1">VLOOKUP(O27,INDIRECT("'"&amp;INDEX(MITERCORNER,MATCH(1,--(COUNTIF(INDIRECT("'"&amp;MITERCORNER&amp;"'!$O$4:$P$12"),O27)&gt;0),0))&amp;"'!$O$4:$P$12"),2,FALSE)</f>
        <v>#N/A</v>
      </c>
      <c r="Q27" s="381"/>
      <c r="W27" s="193"/>
      <c r="X27" s="193"/>
      <c r="Y27" s="193"/>
      <c r="Z27" s="193"/>
      <c r="AA27" s="193"/>
      <c r="AB27" s="193"/>
      <c r="AC27" s="193"/>
      <c r="AD27" s="193"/>
      <c r="AE27" s="193"/>
      <c r="AF27" s="193"/>
      <c r="AG27" s="193"/>
      <c r="AH27" s="193"/>
      <c r="AN27" s="41"/>
      <c r="AO27" s="40">
        <v>29.06</v>
      </c>
      <c r="AP27" s="40">
        <v>33.93</v>
      </c>
      <c r="AQ27" s="40">
        <v>29.06</v>
      </c>
      <c r="AR27" s="40">
        <v>35.72</v>
      </c>
      <c r="AS27" s="40">
        <v>35.651000000000003</v>
      </c>
      <c r="AT27" s="40"/>
      <c r="AU27" s="1"/>
    </row>
    <row r="28" spans="1:47" x14ac:dyDescent="0.25">
      <c r="A28" s="41"/>
      <c r="B28" s="40"/>
      <c r="C28" s="40"/>
      <c r="D28" s="169"/>
      <c r="I28" s="39"/>
      <c r="J28" s="39"/>
      <c r="L28" s="379"/>
      <c r="M28" s="380"/>
      <c r="N28" s="380" t="s">
        <v>258</v>
      </c>
      <c r="O28" s="380" t="str">
        <f>'DATA ENTRY'!B21&amp;"_SL"</f>
        <v>SELECT MODEL_SL</v>
      </c>
      <c r="P28" s="380" t="e">
        <f t="array" aca="1" ref="P28" ca="1">VLOOKUP(O28,INDIRECT("'"&amp;INDEX(MITERCORNER,MATCH(1,--(COUNTIF(INDIRECT("'"&amp;MITERCORNER&amp;"'!$V$4:$W$8"),O28)&gt;0),0))&amp;"'!$V$4:$W$8"),2,FALSE)</f>
        <v>#N/A</v>
      </c>
      <c r="Q28" s="381"/>
      <c r="W28" s="193"/>
      <c r="X28" s="193"/>
      <c r="Y28" s="193"/>
      <c r="Z28" s="193"/>
      <c r="AA28" s="193"/>
      <c r="AB28" s="193"/>
      <c r="AC28" s="193"/>
      <c r="AD28" s="193"/>
      <c r="AE28" s="193"/>
      <c r="AF28" s="193"/>
      <c r="AG28" s="193"/>
      <c r="AH28" s="193"/>
      <c r="AN28" s="41"/>
      <c r="AO28" s="40">
        <v>33.06</v>
      </c>
      <c r="AP28" s="40">
        <v>38.43</v>
      </c>
      <c r="AQ28" s="40">
        <v>33.06</v>
      </c>
      <c r="AR28" s="40">
        <v>40.72</v>
      </c>
      <c r="AS28" s="40">
        <v>40.651000000000003</v>
      </c>
      <c r="AT28" s="40"/>
      <c r="AU28" s="1"/>
    </row>
    <row r="29" spans="1:47" ht="15.75" thickBot="1" x14ac:dyDescent="0.3">
      <c r="A29" s="42"/>
      <c r="B29" s="43"/>
      <c r="C29" s="43"/>
      <c r="D29" s="170"/>
      <c r="I29" s="39"/>
      <c r="J29" s="39"/>
      <c r="L29" s="379"/>
      <c r="M29" s="380"/>
      <c r="N29" s="380" t="s">
        <v>104</v>
      </c>
      <c r="O29" s="380" t="str">
        <f>'DATA ENTRY'!B21&amp;"_SW"</f>
        <v>SELECT MODEL_SW</v>
      </c>
      <c r="P29" s="380" t="e">
        <f t="array" aca="1" ref="P29" ca="1">VLOOKUP(O29,INDIRECT("'"&amp;INDEX(MITERCORNER,MATCH(1,--(COUNTIF(INDIRECT("'"&amp;MITERCORNER&amp;"'!$V$4:$W$8"),O29)&gt;0),0))&amp;"'!$V$4:$W$8"),2,FALSE)</f>
        <v>#N/A</v>
      </c>
      <c r="Q29" s="381"/>
      <c r="W29" s="193"/>
      <c r="X29" s="193"/>
      <c r="Y29" s="193"/>
      <c r="Z29" s="193"/>
      <c r="AA29" s="193"/>
      <c r="AB29" s="193"/>
      <c r="AC29" s="193"/>
      <c r="AD29" s="193"/>
      <c r="AE29" s="193"/>
      <c r="AF29" s="193"/>
      <c r="AG29" s="193"/>
      <c r="AH29" s="193"/>
      <c r="AN29" s="41"/>
      <c r="AO29" s="40">
        <v>37.06</v>
      </c>
      <c r="AP29" s="40">
        <v>42.93</v>
      </c>
      <c r="AQ29" s="40">
        <v>37.06</v>
      </c>
      <c r="AR29" s="40">
        <v>45.72</v>
      </c>
      <c r="AS29" s="40">
        <v>45.651000000000003</v>
      </c>
      <c r="AT29" s="40"/>
      <c r="AU29" s="1"/>
    </row>
    <row r="30" spans="1:47" x14ac:dyDescent="0.25">
      <c r="I30" s="39"/>
      <c r="J30" s="39"/>
      <c r="L30" s="379"/>
      <c r="M30" s="380"/>
      <c r="N30" s="380" t="s">
        <v>265</v>
      </c>
      <c r="O30" s="380" t="str">
        <f>'DATA ENTRY'!B21&amp;"_TA"</f>
        <v>SELECT MODEL_TA</v>
      </c>
      <c r="P30" s="380" t="e">
        <f t="array" aca="1" ref="P30" ca="1">VLOOKUP(O30,INDIRECT("'"&amp;INDEX(MITERCORNER,MATCH(1,--(COUNTIF(INDIRECT("'"&amp;MITERCORNER&amp;"'!$V$4:$W$9"),O30)&gt;0),0))&amp;"'!$V$4:$W$9"),2,FALSE)</f>
        <v>#N/A</v>
      </c>
      <c r="Q30" s="381"/>
      <c r="W30" s="193"/>
      <c r="X30" s="193"/>
      <c r="Y30" s="193"/>
      <c r="Z30" s="193"/>
      <c r="AA30" s="193"/>
      <c r="AB30" s="193"/>
      <c r="AC30" s="193"/>
      <c r="AD30" s="193"/>
      <c r="AE30" s="193"/>
      <c r="AF30" s="193"/>
      <c r="AG30" s="193"/>
      <c r="AH30" s="193"/>
      <c r="AN30" s="41"/>
      <c r="AO30" s="40">
        <v>41.06</v>
      </c>
      <c r="AP30" s="40">
        <v>47.43</v>
      </c>
      <c r="AQ30" s="40">
        <v>41.06</v>
      </c>
      <c r="AR30" s="40">
        <v>50.72</v>
      </c>
      <c r="AS30" s="40">
        <v>50.651000000000003</v>
      </c>
      <c r="AT30" s="40"/>
      <c r="AU30" s="1"/>
    </row>
    <row r="31" spans="1:47" x14ac:dyDescent="0.25">
      <c r="I31" s="39"/>
      <c r="J31" s="39"/>
      <c r="L31" s="379"/>
      <c r="M31" s="380"/>
      <c r="N31" s="380" t="s">
        <v>311</v>
      </c>
      <c r="O31" s="380"/>
      <c r="P31" s="380" t="e">
        <f ca="1">P27+P26</f>
        <v>#N/A</v>
      </c>
      <c r="Q31" s="381"/>
      <c r="W31" s="193"/>
      <c r="X31" s="193"/>
      <c r="Y31" s="193"/>
      <c r="Z31" s="193"/>
      <c r="AA31" s="193"/>
      <c r="AB31" s="193"/>
      <c r="AC31" s="193"/>
      <c r="AD31" s="193"/>
      <c r="AE31" s="193"/>
      <c r="AF31" s="193"/>
      <c r="AG31" s="193"/>
      <c r="AH31" s="193"/>
      <c r="AN31" s="41"/>
      <c r="AO31" s="40">
        <v>45.06</v>
      </c>
      <c r="AP31" s="40">
        <v>51.93</v>
      </c>
      <c r="AQ31" s="40">
        <v>45.06</v>
      </c>
      <c r="AR31" s="40">
        <v>55.72</v>
      </c>
      <c r="AS31" s="40">
        <v>55.651000000000003</v>
      </c>
      <c r="AT31" s="40"/>
      <c r="AU31" s="1"/>
    </row>
    <row r="32" spans="1:47" ht="28.5" x14ac:dyDescent="0.45">
      <c r="I32" s="39"/>
      <c r="J32" s="39"/>
      <c r="L32" s="379"/>
      <c r="M32" s="380"/>
      <c r="N32" s="385" t="s">
        <v>108</v>
      </c>
      <c r="O32" s="385"/>
      <c r="P32" s="385" t="s">
        <v>108</v>
      </c>
      <c r="Q32" s="386"/>
      <c r="V32" s="71"/>
      <c r="W32" s="436"/>
      <c r="X32" s="193"/>
      <c r="Y32" s="193"/>
      <c r="Z32" s="193"/>
      <c r="AA32" s="193"/>
      <c r="AB32" s="193"/>
      <c r="AC32" s="193"/>
      <c r="AD32" s="193"/>
      <c r="AE32" s="193"/>
      <c r="AF32" s="193"/>
      <c r="AG32" s="193"/>
      <c r="AH32" s="193"/>
      <c r="AN32" s="41"/>
      <c r="AO32" s="40">
        <v>49.06</v>
      </c>
      <c r="AP32" s="40">
        <v>56.43</v>
      </c>
      <c r="AQ32" s="40">
        <v>49.06</v>
      </c>
      <c r="AR32" s="40">
        <v>60.72</v>
      </c>
      <c r="AS32" s="40">
        <v>60.651000000000003</v>
      </c>
      <c r="AT32" s="40"/>
      <c r="AU32" s="1"/>
    </row>
    <row r="33" spans="4:47" ht="15.75" thickBot="1" x14ac:dyDescent="0.3">
      <c r="I33" s="39"/>
      <c r="J33" s="39"/>
      <c r="L33" s="382"/>
      <c r="M33" s="383"/>
      <c r="N33" s="383"/>
      <c r="O33" s="383"/>
      <c r="P33" s="383"/>
      <c r="Q33" s="384"/>
      <c r="S33" s="660"/>
      <c r="T33" s="660"/>
      <c r="U33" s="660"/>
      <c r="V33" s="660"/>
      <c r="W33" s="477"/>
      <c r="X33" s="660"/>
      <c r="Y33" s="660"/>
      <c r="Z33" s="193"/>
      <c r="AA33" s="193"/>
      <c r="AB33" s="193"/>
      <c r="AC33" s="193"/>
      <c r="AD33" s="193"/>
      <c r="AE33" s="193"/>
      <c r="AF33" s="193"/>
      <c r="AG33" s="193"/>
      <c r="AH33" s="193"/>
      <c r="AN33" s="41"/>
      <c r="AO33" s="40">
        <v>53.06</v>
      </c>
      <c r="AP33" s="40">
        <v>60.93</v>
      </c>
      <c r="AQ33" s="40">
        <v>53.06</v>
      </c>
      <c r="AR33" s="40">
        <v>65.72</v>
      </c>
      <c r="AS33" s="40">
        <v>65.650999999999996</v>
      </c>
      <c r="AT33" s="40"/>
      <c r="AU33" s="1"/>
    </row>
    <row r="34" spans="4:47" x14ac:dyDescent="0.25">
      <c r="I34" s="39"/>
      <c r="J34" s="39"/>
      <c r="S34" s="660"/>
      <c r="T34" s="660"/>
      <c r="U34" s="660"/>
      <c r="V34" s="660"/>
      <c r="W34" s="477"/>
      <c r="X34" s="660"/>
      <c r="Y34" s="660"/>
      <c r="Z34" s="193"/>
      <c r="AA34" s="193"/>
      <c r="AB34" s="193"/>
      <c r="AC34" s="193"/>
      <c r="AD34" s="193"/>
      <c r="AE34" s="193"/>
      <c r="AF34" s="193"/>
      <c r="AG34" s="193"/>
      <c r="AH34" s="193"/>
      <c r="AN34" s="41"/>
      <c r="AO34" s="40">
        <v>57.06</v>
      </c>
      <c r="AP34" s="40">
        <v>65.430000000000007</v>
      </c>
      <c r="AQ34" s="40">
        <v>57.06</v>
      </c>
      <c r="AR34" s="40">
        <v>70.72</v>
      </c>
      <c r="AS34" s="40">
        <v>70.650999999999996</v>
      </c>
      <c r="AT34" s="40"/>
      <c r="AU34" s="1"/>
    </row>
    <row r="35" spans="4:47" ht="15.75" thickBot="1" x14ac:dyDescent="0.3">
      <c r="J35" s="39"/>
      <c r="P35" s="137"/>
      <c r="S35" s="660"/>
      <c r="T35" s="660"/>
      <c r="U35" s="660"/>
      <c r="V35" s="660"/>
      <c r="W35" s="477"/>
      <c r="X35" s="660"/>
      <c r="Y35" s="660"/>
      <c r="Z35" s="193"/>
      <c r="AA35" s="193"/>
      <c r="AB35" s="193"/>
      <c r="AC35" s="193"/>
      <c r="AD35" s="193"/>
      <c r="AE35" s="193"/>
      <c r="AF35" s="193"/>
      <c r="AG35" s="193"/>
      <c r="AH35" s="193"/>
      <c r="AN35" s="41"/>
      <c r="AO35" s="40">
        <v>61.06</v>
      </c>
      <c r="AP35" s="40">
        <v>69.930000000000007</v>
      </c>
      <c r="AQ35" s="40">
        <v>61.06</v>
      </c>
      <c r="AR35" s="40"/>
      <c r="AS35" s="40"/>
      <c r="AT35" s="40"/>
      <c r="AU35" s="1"/>
    </row>
    <row r="36" spans="4:47" ht="23.25" x14ac:dyDescent="0.35">
      <c r="D36" s="387" t="s">
        <v>108</v>
      </c>
      <c r="E36" s="388"/>
      <c r="F36" s="388"/>
      <c r="G36" s="389" t="s">
        <v>108</v>
      </c>
      <c r="J36" s="39"/>
      <c r="L36" s="204" t="s">
        <v>100</v>
      </c>
      <c r="M36" s="189"/>
      <c r="N36" s="189"/>
      <c r="O36" s="189"/>
      <c r="P36" s="202"/>
      <c r="Q36" s="190"/>
      <c r="S36" s="660"/>
      <c r="T36" s="873"/>
      <c r="U36" s="660"/>
      <c r="V36" s="660"/>
      <c r="W36" s="477"/>
      <c r="X36" s="660"/>
      <c r="Y36" s="660"/>
      <c r="Z36" s="193"/>
      <c r="AA36" s="193"/>
      <c r="AB36" s="193"/>
      <c r="AC36" s="193"/>
      <c r="AD36" s="193"/>
      <c r="AE36" s="193"/>
      <c r="AF36" s="193"/>
      <c r="AG36" s="193"/>
      <c r="AH36" s="193"/>
      <c r="AN36" s="41"/>
      <c r="AO36" s="40">
        <v>65.06</v>
      </c>
      <c r="AP36" s="40">
        <v>74.430000000000007</v>
      </c>
      <c r="AQ36" s="40">
        <v>65.06</v>
      </c>
      <c r="AR36" s="40"/>
      <c r="AS36" s="40"/>
      <c r="AT36" s="40"/>
      <c r="AU36" s="1"/>
    </row>
    <row r="37" spans="4:47" ht="18" customHeight="1" x14ac:dyDescent="0.25">
      <c r="D37" s="390"/>
      <c r="E37" s="391"/>
      <c r="F37" s="391"/>
      <c r="G37" s="392"/>
      <c r="L37" s="41"/>
      <c r="M37" s="40"/>
      <c r="N37" s="40"/>
      <c r="O37" s="40"/>
      <c r="P37" s="40"/>
      <c r="Q37" s="169"/>
      <c r="S37" s="660"/>
      <c r="T37" s="660"/>
      <c r="U37" s="660"/>
      <c r="V37" s="660"/>
      <c r="W37" s="477"/>
      <c r="X37" s="660"/>
      <c r="Y37" s="660"/>
      <c r="Z37" s="193"/>
      <c r="AA37" s="193"/>
      <c r="AB37" s="193"/>
      <c r="AC37" s="193"/>
      <c r="AD37" s="193"/>
      <c r="AE37" s="193"/>
      <c r="AF37" s="193"/>
      <c r="AG37" s="193"/>
      <c r="AH37" s="193"/>
      <c r="AN37" s="41"/>
      <c r="AO37" s="40">
        <v>69.06</v>
      </c>
      <c r="AP37" s="40"/>
      <c r="AQ37" s="40">
        <v>69.06</v>
      </c>
      <c r="AR37" s="40"/>
      <c r="AS37" s="40"/>
      <c r="AT37" s="40"/>
      <c r="AU37" s="1"/>
    </row>
    <row r="38" spans="4:47" ht="15.75" thickBot="1" x14ac:dyDescent="0.3">
      <c r="D38" s="390"/>
      <c r="E38" s="391"/>
      <c r="F38" s="391"/>
      <c r="G38" s="392"/>
      <c r="L38" s="41" t="s">
        <v>88</v>
      </c>
      <c r="M38" s="40" t="s">
        <v>49</v>
      </c>
      <c r="N38" s="40"/>
      <c r="O38" s="40"/>
      <c r="P38" s="40"/>
      <c r="Q38" s="169"/>
      <c r="S38" s="660"/>
      <c r="T38" s="660"/>
      <c r="U38" s="660"/>
      <c r="V38" s="660"/>
      <c r="W38" s="477"/>
      <c r="X38" s="660"/>
      <c r="Y38" s="660"/>
      <c r="Z38" s="193"/>
      <c r="AA38" s="193"/>
      <c r="AB38" s="193"/>
      <c r="AC38" s="193"/>
      <c r="AD38" s="193"/>
      <c r="AE38" s="193"/>
      <c r="AF38" s="193"/>
      <c r="AG38" s="193"/>
      <c r="AH38" s="193"/>
      <c r="AN38" s="681"/>
      <c r="AO38" s="43">
        <v>73.06</v>
      </c>
      <c r="AP38" s="43"/>
      <c r="AQ38" s="43">
        <v>73.06</v>
      </c>
      <c r="AR38" s="43"/>
      <c r="AS38" s="43"/>
      <c r="AT38" s="625"/>
      <c r="AU38" s="677"/>
    </row>
    <row r="39" spans="4:47" ht="146.25" customHeight="1" thickBot="1" x14ac:dyDescent="0.3">
      <c r="D39" s="393"/>
      <c r="E39" s="394"/>
      <c r="F39" s="394"/>
      <c r="G39" s="395"/>
      <c r="L39" s="41"/>
      <c r="M39" s="203" t="s">
        <v>180</v>
      </c>
      <c r="N39" s="40"/>
      <c r="O39" s="40"/>
      <c r="P39" s="40"/>
      <c r="Q39" s="169"/>
      <c r="S39" s="660"/>
      <c r="T39" s="874"/>
      <c r="U39" s="660"/>
      <c r="V39" s="660"/>
      <c r="W39" s="477"/>
      <c r="X39" s="660"/>
      <c r="Y39" s="660"/>
      <c r="Z39" s="193"/>
      <c r="AA39" s="193"/>
      <c r="AB39" s="193"/>
      <c r="AC39" s="193"/>
      <c r="AD39" s="193"/>
      <c r="AE39" s="193"/>
      <c r="AF39" s="193"/>
      <c r="AG39" s="193"/>
      <c r="AH39" s="193"/>
    </row>
    <row r="40" spans="4:47" ht="146.25" customHeight="1" x14ac:dyDescent="0.25">
      <c r="L40" s="41"/>
      <c r="M40" s="203" t="s">
        <v>192</v>
      </c>
      <c r="N40" s="40"/>
      <c r="O40" s="40"/>
      <c r="P40" s="40"/>
      <c r="Q40" s="169"/>
      <c r="S40" s="2"/>
      <c r="T40" s="478"/>
      <c r="U40" s="193"/>
      <c r="V40" s="193"/>
      <c r="W40" s="477"/>
      <c r="X40" s="193"/>
      <c r="Y40" s="193"/>
      <c r="Z40" s="193"/>
      <c r="AA40" s="193"/>
      <c r="AB40" s="193"/>
      <c r="AC40" s="193"/>
      <c r="AD40" s="193"/>
      <c r="AE40" s="193"/>
      <c r="AF40" s="193"/>
      <c r="AG40" s="193"/>
      <c r="AH40" s="193"/>
    </row>
    <row r="41" spans="4:47" ht="146.25" customHeight="1" x14ac:dyDescent="0.25">
      <c r="L41" s="41"/>
      <c r="M41" s="203" t="s">
        <v>193</v>
      </c>
      <c r="N41" s="40"/>
      <c r="O41" s="40"/>
      <c r="P41" s="40"/>
      <c r="Q41" s="169"/>
      <c r="S41" s="2"/>
      <c r="T41" s="193"/>
      <c r="U41" s="193"/>
      <c r="V41" s="193"/>
      <c r="W41" s="436"/>
      <c r="X41" s="193"/>
      <c r="Y41" s="193"/>
      <c r="Z41" s="193"/>
      <c r="AA41" s="193"/>
      <c r="AB41" s="193"/>
      <c r="AC41" s="193"/>
      <c r="AD41" s="193"/>
      <c r="AE41" s="193"/>
      <c r="AF41" s="193"/>
      <c r="AG41" s="193"/>
      <c r="AH41" s="193"/>
    </row>
    <row r="42" spans="4:47" ht="146.25" customHeight="1" x14ac:dyDescent="0.25">
      <c r="L42" s="41"/>
      <c r="M42" s="203" t="s">
        <v>195</v>
      </c>
      <c r="N42" s="40"/>
      <c r="O42" s="40"/>
      <c r="P42" s="40"/>
      <c r="Q42" s="169"/>
      <c r="S42" s="2"/>
      <c r="T42" s="2"/>
      <c r="U42" s="2"/>
      <c r="V42" s="193"/>
      <c r="W42" s="193"/>
      <c r="X42" s="193"/>
      <c r="Y42" s="193"/>
      <c r="Z42" s="193"/>
      <c r="AA42" s="193"/>
      <c r="AB42" s="193"/>
      <c r="AC42" s="193"/>
      <c r="AD42" s="193"/>
      <c r="AE42" s="193"/>
      <c r="AF42" s="193"/>
      <c r="AG42" s="193"/>
      <c r="AH42" s="193"/>
    </row>
    <row r="43" spans="4:47" ht="146.25" customHeight="1" x14ac:dyDescent="0.25">
      <c r="L43" s="41"/>
      <c r="M43" s="203" t="s">
        <v>197</v>
      </c>
      <c r="N43" s="40"/>
      <c r="O43" s="40"/>
      <c r="P43" s="40"/>
      <c r="Q43" s="169"/>
      <c r="V43" s="193"/>
      <c r="W43" s="193"/>
      <c r="X43" s="193"/>
      <c r="Y43" s="193"/>
      <c r="Z43" s="193"/>
      <c r="AA43" s="193"/>
      <c r="AB43" s="193"/>
      <c r="AC43" s="193"/>
      <c r="AD43" s="193"/>
      <c r="AE43" s="193"/>
      <c r="AF43" s="193"/>
      <c r="AG43" s="193"/>
      <c r="AH43" s="193"/>
    </row>
    <row r="44" spans="4:47" ht="146.25" customHeight="1" x14ac:dyDescent="0.25">
      <c r="L44" s="41"/>
      <c r="M44" s="203" t="s">
        <v>204</v>
      </c>
      <c r="N44" s="40"/>
      <c r="O44" s="40"/>
      <c r="P44" s="40"/>
      <c r="Q44" s="169"/>
      <c r="V44" s="193"/>
      <c r="W44" s="193"/>
      <c r="X44" s="193"/>
      <c r="Y44" s="193"/>
      <c r="Z44" s="193"/>
      <c r="AA44" s="193"/>
      <c r="AB44" s="193"/>
      <c r="AC44" s="193"/>
      <c r="AD44" s="193"/>
      <c r="AE44" s="193"/>
      <c r="AF44" s="193"/>
      <c r="AG44" s="193"/>
      <c r="AH44" s="193"/>
    </row>
    <row r="45" spans="4:47" ht="146.25" customHeight="1" x14ac:dyDescent="0.25">
      <c r="L45" s="41"/>
      <c r="M45" s="203" t="s">
        <v>207</v>
      </c>
      <c r="N45" s="40"/>
      <c r="O45" s="40"/>
      <c r="P45" s="40"/>
      <c r="Q45" s="169"/>
      <c r="V45" s="40"/>
      <c r="W45" s="40"/>
      <c r="X45" s="40"/>
      <c r="Y45" s="40"/>
      <c r="Z45" s="40"/>
      <c r="AA45" s="40"/>
      <c r="AB45" s="193"/>
      <c r="AC45" s="193"/>
      <c r="AD45" s="193"/>
      <c r="AE45" s="193"/>
      <c r="AF45" s="193"/>
      <c r="AG45" s="193"/>
      <c r="AH45" s="193"/>
    </row>
    <row r="46" spans="4:47" ht="146.25" customHeight="1" x14ac:dyDescent="0.25">
      <c r="L46" s="41"/>
      <c r="M46" s="203" t="s">
        <v>210</v>
      </c>
      <c r="N46" s="40"/>
      <c r="O46" s="40"/>
      <c r="P46" s="40"/>
      <c r="Q46" s="169"/>
      <c r="AB46" s="193"/>
      <c r="AC46" s="193"/>
      <c r="AD46" s="193"/>
      <c r="AE46" s="193"/>
      <c r="AF46" s="193"/>
      <c r="AG46" s="193"/>
      <c r="AH46" s="193"/>
    </row>
    <row r="47" spans="4:47" ht="146.25" customHeight="1" x14ac:dyDescent="0.25">
      <c r="L47" s="41"/>
      <c r="M47" s="203" t="s">
        <v>211</v>
      </c>
      <c r="N47" s="40"/>
      <c r="O47" s="40"/>
      <c r="P47" s="40"/>
      <c r="Q47" s="169"/>
      <c r="AB47" s="193"/>
      <c r="AC47" s="193"/>
      <c r="AD47" s="193"/>
      <c r="AE47" s="193"/>
      <c r="AF47" s="193"/>
      <c r="AG47" s="193"/>
      <c r="AH47" s="193"/>
    </row>
    <row r="48" spans="4:47" ht="146.25" customHeight="1" x14ac:dyDescent="0.25">
      <c r="L48" s="41"/>
      <c r="M48" s="203" t="s">
        <v>214</v>
      </c>
      <c r="N48" s="40"/>
      <c r="O48" s="40"/>
      <c r="P48" s="40"/>
      <c r="Q48" s="169"/>
      <c r="AB48" s="193"/>
      <c r="AC48" s="193"/>
      <c r="AD48" s="193"/>
      <c r="AE48" s="193"/>
      <c r="AF48" s="193"/>
      <c r="AG48" s="193"/>
      <c r="AH48" s="193"/>
    </row>
    <row r="49" spans="9:34" ht="146.25" customHeight="1" thickBot="1" x14ac:dyDescent="0.3">
      <c r="L49" s="41"/>
      <c r="M49" s="203"/>
      <c r="N49" s="40"/>
      <c r="O49" s="40"/>
      <c r="P49" s="40"/>
      <c r="Q49" s="169"/>
      <c r="AB49" s="193"/>
      <c r="AC49" s="193"/>
      <c r="AD49" s="193"/>
      <c r="AE49" s="193"/>
      <c r="AF49" s="193"/>
      <c r="AG49" s="193"/>
      <c r="AH49" s="193"/>
    </row>
    <row r="50" spans="9:34" ht="146.25" customHeight="1" x14ac:dyDescent="0.25">
      <c r="L50" s="481"/>
      <c r="M50" s="482"/>
      <c r="N50" s="481"/>
      <c r="O50" s="481"/>
      <c r="P50" s="481"/>
      <c r="Q50" s="481"/>
      <c r="AB50" s="193"/>
      <c r="AC50" s="193"/>
      <c r="AD50" s="193"/>
      <c r="AE50" s="193"/>
      <c r="AF50" s="193"/>
      <c r="AG50" s="193"/>
      <c r="AH50" s="193"/>
    </row>
    <row r="51" spans="9:34" ht="146.25" customHeight="1" x14ac:dyDescent="0.25">
      <c r="I51" s="193"/>
      <c r="J51" s="193"/>
      <c r="K51" s="193"/>
      <c r="L51" s="193"/>
      <c r="M51" s="478"/>
      <c r="N51" s="193"/>
      <c r="O51" s="193"/>
      <c r="P51" s="193"/>
      <c r="Q51" s="193"/>
      <c r="R51" s="193"/>
    </row>
    <row r="52" spans="9:34" ht="147.75" customHeight="1" x14ac:dyDescent="0.25">
      <c r="I52" s="193"/>
      <c r="J52" s="193"/>
      <c r="K52" s="193"/>
      <c r="L52" s="193"/>
      <c r="M52" s="479"/>
      <c r="N52" s="480"/>
      <c r="O52" s="193"/>
      <c r="P52" s="193"/>
      <c r="Q52" s="193"/>
      <c r="R52" s="193"/>
    </row>
    <row r="53" spans="9:34" x14ac:dyDescent="0.25">
      <c r="I53" s="193"/>
      <c r="J53" s="193"/>
      <c r="K53" s="193"/>
      <c r="L53" s="193"/>
      <c r="M53" s="193"/>
      <c r="N53" s="193"/>
      <c r="O53" s="193"/>
      <c r="P53" s="193"/>
      <c r="Q53" s="193"/>
      <c r="R53" s="193"/>
    </row>
    <row r="54" spans="9:34" x14ac:dyDescent="0.25">
      <c r="I54" s="193"/>
      <c r="J54" s="193"/>
      <c r="K54" s="193"/>
      <c r="L54" s="193"/>
      <c r="M54" s="193"/>
      <c r="N54" s="193"/>
      <c r="O54" s="193"/>
      <c r="P54" s="193"/>
      <c r="Q54" s="193"/>
      <c r="R54" s="193"/>
    </row>
    <row r="55" spans="9:34" x14ac:dyDescent="0.25">
      <c r="I55" s="193"/>
      <c r="J55" s="193"/>
      <c r="K55" s="193"/>
      <c r="L55" s="193"/>
      <c r="M55" s="193"/>
      <c r="N55" s="193"/>
      <c r="O55" s="193"/>
      <c r="P55" s="193"/>
      <c r="Q55" s="193"/>
      <c r="R55" s="193"/>
    </row>
    <row r="56" spans="9:34" x14ac:dyDescent="0.25">
      <c r="I56" s="193"/>
      <c r="J56" s="193"/>
      <c r="K56" s="193"/>
      <c r="L56" s="193"/>
      <c r="M56" s="193"/>
      <c r="N56" s="193"/>
      <c r="O56" s="193"/>
      <c r="P56" s="193"/>
      <c r="Q56" s="193"/>
      <c r="R56" s="193"/>
    </row>
    <row r="57" spans="9:34" x14ac:dyDescent="0.25">
      <c r="I57" s="193"/>
      <c r="J57" s="193"/>
      <c r="K57" s="193"/>
      <c r="L57" s="193"/>
      <c r="M57" s="193"/>
      <c r="N57" s="193"/>
      <c r="O57" s="193"/>
      <c r="P57" s="193"/>
      <c r="Q57" s="193"/>
      <c r="R57" s="193"/>
    </row>
    <row r="58" spans="9:34" x14ac:dyDescent="0.25">
      <c r="I58" s="193"/>
      <c r="J58" s="193"/>
      <c r="K58" s="193"/>
      <c r="L58" s="193"/>
      <c r="M58" s="193"/>
      <c r="N58" s="193"/>
      <c r="O58" s="193"/>
      <c r="P58" s="193"/>
      <c r="Q58" s="193"/>
      <c r="R58" s="193"/>
    </row>
    <row r="59" spans="9:34" x14ac:dyDescent="0.25">
      <c r="I59" s="193"/>
      <c r="J59" s="193"/>
      <c r="K59" s="193"/>
      <c r="L59" s="193"/>
      <c r="M59" s="193"/>
      <c r="N59" s="193"/>
      <c r="O59" s="193"/>
      <c r="P59" s="193"/>
      <c r="Q59" s="193"/>
      <c r="R59" s="193"/>
    </row>
    <row r="60" spans="9:34" x14ac:dyDescent="0.25">
      <c r="I60" s="193"/>
      <c r="J60" s="193"/>
      <c r="K60" s="193"/>
      <c r="L60" s="193"/>
      <c r="M60" s="193"/>
      <c r="N60" s="193"/>
      <c r="O60" s="193"/>
      <c r="P60" s="193"/>
      <c r="Q60" s="193"/>
      <c r="R60" s="193"/>
    </row>
    <row r="61" spans="9:34" x14ac:dyDescent="0.25">
      <c r="I61" s="193"/>
      <c r="J61" s="193"/>
      <c r="K61" s="193"/>
      <c r="L61" s="193"/>
      <c r="M61" s="193"/>
      <c r="N61" s="193"/>
      <c r="O61" s="193"/>
      <c r="P61" s="193"/>
      <c r="Q61" s="193"/>
      <c r="R61" s="193"/>
    </row>
    <row r="62" spans="9:34" x14ac:dyDescent="0.25">
      <c r="I62" s="193"/>
      <c r="J62" s="193"/>
      <c r="K62" s="193"/>
      <c r="L62" s="193"/>
      <c r="M62" s="193"/>
      <c r="N62" s="193"/>
      <c r="O62" s="193"/>
      <c r="P62" s="193"/>
      <c r="Q62" s="193"/>
      <c r="R62" s="193"/>
    </row>
    <row r="63" spans="9:34" x14ac:dyDescent="0.25">
      <c r="I63" s="193"/>
      <c r="J63" s="193"/>
      <c r="K63" s="193"/>
      <c r="L63" s="193"/>
      <c r="M63" s="193"/>
      <c r="N63" s="193"/>
      <c r="O63" s="193"/>
      <c r="P63" s="193"/>
      <c r="Q63" s="193"/>
      <c r="R63" s="193"/>
    </row>
  </sheetData>
  <sheetProtection selectLockedCells="1" selectUnlockedCells="1"/>
  <mergeCells count="1">
    <mergeCell ref="D17:E1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List Box 4">
              <controlPr defaultSize="0" autoLine="0" autoPict="0">
                <anchor moveWithCells="1">
                  <from>
                    <xdr:col>3</xdr:col>
                    <xdr:colOff>266700</xdr:colOff>
                    <xdr:row>36</xdr:row>
                    <xdr:rowOff>47625</xdr:rowOff>
                  </from>
                  <to>
                    <xdr:col>4</xdr:col>
                    <xdr:colOff>704850</xdr:colOff>
                    <xdr:row>38</xdr:row>
                    <xdr:rowOff>1847850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40"/>
  <sheetViews>
    <sheetView topLeftCell="A115" zoomScale="60" zoomScaleNormal="60" workbookViewId="0">
      <selection activeCell="E62" sqref="E62"/>
    </sheetView>
  </sheetViews>
  <sheetFormatPr defaultRowHeight="15" x14ac:dyDescent="0.25"/>
  <cols>
    <col min="1" max="1" width="13.85546875" customWidth="1"/>
  </cols>
  <sheetData>
    <row r="1" spans="1:40" ht="23.25" x14ac:dyDescent="0.35">
      <c r="A1" s="408" t="s">
        <v>133</v>
      </c>
      <c r="B1" s="398"/>
      <c r="C1" s="398"/>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90"/>
    </row>
    <row r="2" spans="1:40" x14ac:dyDescent="0.25">
      <c r="A2" s="41"/>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169"/>
    </row>
    <row r="3" spans="1:40" ht="21" x14ac:dyDescent="0.35">
      <c r="A3" s="402" t="s">
        <v>127</v>
      </c>
      <c r="B3" s="403" t="s">
        <v>126</v>
      </c>
      <c r="C3" s="187"/>
      <c r="D3" s="187"/>
      <c r="E3" s="187"/>
      <c r="F3" s="187"/>
      <c r="G3" s="187"/>
      <c r="H3" s="187"/>
      <c r="I3" s="187"/>
      <c r="J3" s="187"/>
      <c r="K3" s="187"/>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169"/>
    </row>
    <row r="4" spans="1:40" x14ac:dyDescent="0.25">
      <c r="A4" s="41"/>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169"/>
    </row>
    <row r="5" spans="1:40" ht="15.75" thickBot="1" x14ac:dyDescent="0.3">
      <c r="A5" s="41"/>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169"/>
    </row>
    <row r="6" spans="1:40" ht="21" x14ac:dyDescent="0.35">
      <c r="A6" s="400" t="s">
        <v>125</v>
      </c>
      <c r="B6" s="401" t="s">
        <v>128</v>
      </c>
      <c r="C6" s="196"/>
      <c r="D6" s="196"/>
      <c r="E6" s="196"/>
      <c r="F6" s="196"/>
      <c r="G6" s="196"/>
      <c r="H6" s="196"/>
      <c r="I6" s="196"/>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90"/>
    </row>
    <row r="7" spans="1:40" x14ac:dyDescent="0.25">
      <c r="A7" s="41"/>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169"/>
    </row>
    <row r="8" spans="1:40" x14ac:dyDescent="0.25">
      <c r="A8" s="399" t="s">
        <v>165</v>
      </c>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169"/>
    </row>
    <row r="9" spans="1:40" x14ac:dyDescent="0.25">
      <c r="A9" s="41"/>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169"/>
    </row>
    <row r="10" spans="1:40" x14ac:dyDescent="0.25">
      <c r="A10" s="41"/>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169"/>
    </row>
    <row r="11" spans="1:40" x14ac:dyDescent="0.25">
      <c r="A11" s="41"/>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169"/>
    </row>
    <row r="12" spans="1:40" x14ac:dyDescent="0.25">
      <c r="A12" s="41"/>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169"/>
    </row>
    <row r="13" spans="1:40" x14ac:dyDescent="0.25">
      <c r="A13" s="41"/>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169"/>
    </row>
    <row r="14" spans="1:40" x14ac:dyDescent="0.25">
      <c r="A14" s="41"/>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169"/>
    </row>
    <row r="15" spans="1:40" x14ac:dyDescent="0.25">
      <c r="A15" s="41"/>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169"/>
    </row>
    <row r="16" spans="1:40" x14ac:dyDescent="0.25">
      <c r="A16" s="41"/>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169"/>
    </row>
    <row r="17" spans="1:40" x14ac:dyDescent="0.25">
      <c r="A17" s="41"/>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169"/>
    </row>
    <row r="18" spans="1:40" x14ac:dyDescent="0.25">
      <c r="A18" s="41"/>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169"/>
    </row>
    <row r="19" spans="1:40" x14ac:dyDescent="0.25">
      <c r="A19" s="41"/>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169"/>
    </row>
    <row r="20" spans="1:40" x14ac:dyDescent="0.25">
      <c r="A20" s="41"/>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169"/>
    </row>
    <row r="21" spans="1:40" x14ac:dyDescent="0.25">
      <c r="A21" s="41"/>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169"/>
    </row>
    <row r="22" spans="1:40" x14ac:dyDescent="0.25">
      <c r="A22" s="41"/>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169"/>
    </row>
    <row r="23" spans="1:40" x14ac:dyDescent="0.25">
      <c r="A23" s="41"/>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169"/>
    </row>
    <row r="24" spans="1:40" x14ac:dyDescent="0.25">
      <c r="A24" s="41"/>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169"/>
    </row>
    <row r="25" spans="1:40" x14ac:dyDescent="0.25">
      <c r="A25" s="41"/>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169"/>
    </row>
    <row r="26" spans="1:40" x14ac:dyDescent="0.25">
      <c r="A26" s="41"/>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169"/>
    </row>
    <row r="27" spans="1:40" x14ac:dyDescent="0.25">
      <c r="A27" s="41"/>
      <c r="B27" s="40"/>
      <c r="C27" s="40"/>
      <c r="D27" s="40"/>
      <c r="E27" s="40"/>
      <c r="F27" s="40"/>
      <c r="G27" s="40"/>
      <c r="H27" s="40"/>
      <c r="I27" s="40"/>
      <c r="J27" s="40"/>
      <c r="K27" s="40"/>
      <c r="L27" s="40"/>
      <c r="M27" s="40"/>
      <c r="N27" s="40"/>
      <c r="O27" s="40"/>
      <c r="P27" s="40"/>
      <c r="Q27" s="40"/>
      <c r="R27" s="40"/>
      <c r="S27" s="40"/>
      <c r="T27" s="40" t="s">
        <v>129</v>
      </c>
      <c r="U27" s="40"/>
      <c r="V27" s="40"/>
      <c r="W27" s="40"/>
      <c r="X27" s="40"/>
      <c r="Y27" s="40"/>
      <c r="Z27" s="40"/>
      <c r="AA27" s="40"/>
      <c r="AB27" s="40"/>
      <c r="AC27" s="40"/>
      <c r="AD27" s="40"/>
      <c r="AE27" s="40"/>
      <c r="AF27" s="40"/>
      <c r="AG27" s="40"/>
      <c r="AH27" s="40"/>
      <c r="AI27" s="40"/>
      <c r="AJ27" s="40"/>
      <c r="AK27" s="40"/>
      <c r="AL27" s="40"/>
      <c r="AM27" s="40"/>
      <c r="AN27" s="169"/>
    </row>
    <row r="28" spans="1:40" x14ac:dyDescent="0.25">
      <c r="A28" s="41"/>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169"/>
    </row>
    <row r="29" spans="1:40" x14ac:dyDescent="0.25">
      <c r="A29" s="41"/>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169"/>
    </row>
    <row r="30" spans="1:40" x14ac:dyDescent="0.25">
      <c r="A30" s="41"/>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169"/>
    </row>
    <row r="31" spans="1:40" x14ac:dyDescent="0.25">
      <c r="A31" s="41"/>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169"/>
    </row>
    <row r="32" spans="1:40" x14ac:dyDescent="0.25">
      <c r="A32" s="41"/>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169"/>
    </row>
    <row r="33" spans="1:40" x14ac:dyDescent="0.25">
      <c r="A33" s="41"/>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169"/>
    </row>
    <row r="34" spans="1:40" x14ac:dyDescent="0.25">
      <c r="A34" s="41"/>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169"/>
    </row>
    <row r="35" spans="1:40" x14ac:dyDescent="0.25">
      <c r="A35" s="4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169"/>
    </row>
    <row r="36" spans="1:40" x14ac:dyDescent="0.25">
      <c r="A36" s="4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169"/>
    </row>
    <row r="37" spans="1:40" x14ac:dyDescent="0.25">
      <c r="A37" s="41"/>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169"/>
    </row>
    <row r="38" spans="1:40" x14ac:dyDescent="0.25">
      <c r="A38" s="4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169"/>
    </row>
    <row r="39" spans="1:40" x14ac:dyDescent="0.25">
      <c r="A39" s="41"/>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169"/>
    </row>
    <row r="40" spans="1:40" x14ac:dyDescent="0.25">
      <c r="A40" s="41"/>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169"/>
    </row>
    <row r="41" spans="1:40" x14ac:dyDescent="0.25">
      <c r="A41" s="41"/>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169"/>
    </row>
    <row r="42" spans="1:40" x14ac:dyDescent="0.25">
      <c r="A42" s="41"/>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169"/>
    </row>
    <row r="43" spans="1:40" x14ac:dyDescent="0.25">
      <c r="A43" s="41"/>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169"/>
    </row>
    <row r="44" spans="1:40" x14ac:dyDescent="0.25">
      <c r="A44" s="41"/>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169"/>
    </row>
    <row r="45" spans="1:40" x14ac:dyDescent="0.25">
      <c r="A45" s="41"/>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169"/>
    </row>
    <row r="46" spans="1:40" x14ac:dyDescent="0.25">
      <c r="A46" s="41"/>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169"/>
    </row>
    <row r="47" spans="1:40" x14ac:dyDescent="0.25">
      <c r="A47" s="41"/>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169"/>
    </row>
    <row r="48" spans="1:40" x14ac:dyDescent="0.25">
      <c r="A48" s="41"/>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169"/>
    </row>
    <row r="49" spans="1:40" x14ac:dyDescent="0.25">
      <c r="A49" s="41"/>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169"/>
    </row>
    <row r="50" spans="1:40" x14ac:dyDescent="0.25">
      <c r="A50" s="41"/>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169"/>
    </row>
    <row r="51" spans="1:40" x14ac:dyDescent="0.25">
      <c r="A51" s="41"/>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169"/>
    </row>
    <row r="52" spans="1:40" x14ac:dyDescent="0.25">
      <c r="A52" s="41"/>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169"/>
    </row>
    <row r="53" spans="1:40" x14ac:dyDescent="0.25">
      <c r="A53" s="41"/>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169"/>
    </row>
    <row r="54" spans="1:40" x14ac:dyDescent="0.25">
      <c r="A54" s="41"/>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169"/>
    </row>
    <row r="55" spans="1:40" x14ac:dyDescent="0.25">
      <c r="A55" s="41"/>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169"/>
    </row>
    <row r="56" spans="1:40" x14ac:dyDescent="0.25">
      <c r="A56" s="41"/>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169"/>
    </row>
    <row r="57" spans="1:40" x14ac:dyDescent="0.25">
      <c r="A57" s="41"/>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169"/>
    </row>
    <row r="58" spans="1:40" x14ac:dyDescent="0.25">
      <c r="A58" s="41"/>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169"/>
    </row>
    <row r="59" spans="1:40" x14ac:dyDescent="0.25">
      <c r="A59" s="41"/>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169"/>
    </row>
    <row r="60" spans="1:40" x14ac:dyDescent="0.25">
      <c r="A60" s="41"/>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169"/>
    </row>
    <row r="61" spans="1:40" x14ac:dyDescent="0.25">
      <c r="A61" s="41"/>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169"/>
    </row>
    <row r="62" spans="1:40" x14ac:dyDescent="0.25">
      <c r="A62" s="41"/>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169"/>
    </row>
    <row r="63" spans="1:40" x14ac:dyDescent="0.25">
      <c r="A63" s="41"/>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169"/>
    </row>
    <row r="64" spans="1:40" x14ac:dyDescent="0.25">
      <c r="A64" s="41"/>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169"/>
    </row>
    <row r="65" spans="1:40" ht="15.75" thickBot="1" x14ac:dyDescent="0.3">
      <c r="A65" s="42"/>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170"/>
    </row>
    <row r="66" spans="1:40" x14ac:dyDescent="0.25">
      <c r="A66" s="397" t="s">
        <v>166</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90"/>
    </row>
    <row r="67" spans="1:40" x14ac:dyDescent="0.25">
      <c r="A67" s="41"/>
      <c r="B67" s="40"/>
      <c r="C67" s="40"/>
      <c r="D67" s="40"/>
      <c r="E67" s="40"/>
      <c r="F67" s="40"/>
      <c r="G67" s="40"/>
      <c r="H67" s="40"/>
      <c r="I67" s="40"/>
      <c r="J67" s="40"/>
      <c r="K67" s="40"/>
      <c r="L67" s="40"/>
      <c r="M67" s="40"/>
      <c r="N67" s="40" t="s">
        <v>136</v>
      </c>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169"/>
    </row>
    <row r="68" spans="1:40" x14ac:dyDescent="0.25">
      <c r="A68" s="41"/>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169"/>
    </row>
    <row r="69" spans="1:40" x14ac:dyDescent="0.25">
      <c r="A69" s="41"/>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169"/>
    </row>
    <row r="70" spans="1:40" x14ac:dyDescent="0.25">
      <c r="A70" s="41"/>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169"/>
    </row>
    <row r="71" spans="1:40" x14ac:dyDescent="0.25">
      <c r="A71" s="4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169"/>
    </row>
    <row r="72" spans="1:40" x14ac:dyDescent="0.25">
      <c r="A72" s="41"/>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169"/>
    </row>
    <row r="73" spans="1:40" x14ac:dyDescent="0.25">
      <c r="A73" s="41"/>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169"/>
    </row>
    <row r="74" spans="1:40" x14ac:dyDescent="0.25">
      <c r="A74" s="41"/>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169"/>
    </row>
    <row r="75" spans="1:40" x14ac:dyDescent="0.25">
      <c r="A75" s="41"/>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169"/>
    </row>
    <row r="76" spans="1:40" x14ac:dyDescent="0.25">
      <c r="A76" s="41"/>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169"/>
    </row>
    <row r="77" spans="1:40" x14ac:dyDescent="0.25">
      <c r="A77" s="41"/>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169"/>
    </row>
    <row r="78" spans="1:40" x14ac:dyDescent="0.25">
      <c r="A78" s="41"/>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169"/>
    </row>
    <row r="79" spans="1:40" x14ac:dyDescent="0.25">
      <c r="A79" s="41"/>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169"/>
    </row>
    <row r="80" spans="1:40" x14ac:dyDescent="0.25">
      <c r="A80" s="41"/>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169"/>
    </row>
    <row r="81" spans="1:40" x14ac:dyDescent="0.25">
      <c r="A81" s="41"/>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169"/>
    </row>
    <row r="82" spans="1:40" x14ac:dyDescent="0.25">
      <c r="A82" s="41"/>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169"/>
    </row>
    <row r="83" spans="1:40" x14ac:dyDescent="0.25">
      <c r="A83" s="41"/>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169"/>
    </row>
    <row r="84" spans="1:40" x14ac:dyDescent="0.25">
      <c r="A84" s="41"/>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169"/>
    </row>
    <row r="85" spans="1:40" x14ac:dyDescent="0.25">
      <c r="A85" s="41"/>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169"/>
    </row>
    <row r="86" spans="1:40" x14ac:dyDescent="0.25">
      <c r="A86" s="41"/>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169"/>
    </row>
    <row r="87" spans="1:40" x14ac:dyDescent="0.25">
      <c r="A87" s="41"/>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169"/>
    </row>
    <row r="88" spans="1:40" x14ac:dyDescent="0.25">
      <c r="A88" s="41"/>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169"/>
    </row>
    <row r="89" spans="1:40" x14ac:dyDescent="0.25">
      <c r="A89" s="41"/>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169"/>
    </row>
    <row r="90" spans="1:40" x14ac:dyDescent="0.25">
      <c r="A90" s="41"/>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169"/>
    </row>
    <row r="91" spans="1:40" x14ac:dyDescent="0.25">
      <c r="A91" s="41"/>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169"/>
    </row>
    <row r="92" spans="1:40" x14ac:dyDescent="0.25">
      <c r="A92" s="41"/>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169"/>
    </row>
    <row r="93" spans="1:40" x14ac:dyDescent="0.25">
      <c r="A93" s="41"/>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169"/>
    </row>
    <row r="94" spans="1:40" x14ac:dyDescent="0.25">
      <c r="A94" s="41"/>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169"/>
    </row>
    <row r="95" spans="1:40" x14ac:dyDescent="0.25">
      <c r="A95" s="41"/>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169"/>
    </row>
    <row r="96" spans="1:40" x14ac:dyDescent="0.25">
      <c r="A96" s="41"/>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169"/>
    </row>
    <row r="97" spans="1:50" x14ac:dyDescent="0.25">
      <c r="A97" s="41"/>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169"/>
    </row>
    <row r="98" spans="1:50" x14ac:dyDescent="0.25">
      <c r="A98" s="41"/>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169"/>
    </row>
    <row r="99" spans="1:50" x14ac:dyDescent="0.25">
      <c r="A99" s="41"/>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169"/>
    </row>
    <row r="100" spans="1:50" x14ac:dyDescent="0.25">
      <c r="A100" s="41"/>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169"/>
    </row>
    <row r="101" spans="1:50" x14ac:dyDescent="0.25">
      <c r="A101" s="41"/>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169"/>
    </row>
    <row r="102" spans="1:50" x14ac:dyDescent="0.25">
      <c r="A102" s="41"/>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169"/>
    </row>
    <row r="103" spans="1:50" x14ac:dyDescent="0.25">
      <c r="A103" s="41"/>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169"/>
    </row>
    <row r="104" spans="1:50" x14ac:dyDescent="0.25">
      <c r="A104" s="41"/>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169"/>
    </row>
    <row r="105" spans="1:50" x14ac:dyDescent="0.25">
      <c r="A105" s="41"/>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169"/>
    </row>
    <row r="106" spans="1:50" ht="15.75" thickBot="1" x14ac:dyDescent="0.3">
      <c r="A106" s="41"/>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169"/>
    </row>
    <row r="107" spans="1:50" x14ac:dyDescent="0.25">
      <c r="A107" s="397" t="s">
        <v>130</v>
      </c>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90"/>
    </row>
    <row r="108" spans="1:50" x14ac:dyDescent="0.25">
      <c r="A108" s="41"/>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169"/>
    </row>
    <row r="109" spans="1:50" x14ac:dyDescent="0.25">
      <c r="A109" s="41"/>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169"/>
    </row>
    <row r="110" spans="1:50" x14ac:dyDescent="0.25">
      <c r="A110" s="41"/>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169"/>
    </row>
    <row r="111" spans="1:50" x14ac:dyDescent="0.25">
      <c r="A111" s="41"/>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169"/>
    </row>
    <row r="112" spans="1:50" x14ac:dyDescent="0.25">
      <c r="A112" s="41"/>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169"/>
    </row>
    <row r="113" spans="1:50" x14ac:dyDescent="0.25">
      <c r="A113" s="41"/>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169"/>
    </row>
    <row r="114" spans="1:50" x14ac:dyDescent="0.25">
      <c r="A114" s="41"/>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169"/>
    </row>
    <row r="115" spans="1:50" x14ac:dyDescent="0.25">
      <c r="A115" s="41"/>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169"/>
    </row>
    <row r="116" spans="1:50" x14ac:dyDescent="0.25">
      <c r="A116" s="41"/>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169"/>
    </row>
    <row r="117" spans="1:50" x14ac:dyDescent="0.25">
      <c r="A117" s="41"/>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169"/>
    </row>
    <row r="118" spans="1:50" x14ac:dyDescent="0.25">
      <c r="A118" s="41"/>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169"/>
    </row>
    <row r="119" spans="1:50" x14ac:dyDescent="0.25">
      <c r="A119" s="4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169"/>
    </row>
    <row r="120" spans="1:50" x14ac:dyDescent="0.25">
      <c r="A120" s="41"/>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169"/>
    </row>
    <row r="121" spans="1:50" x14ac:dyDescent="0.25">
      <c r="A121" s="41"/>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169"/>
    </row>
    <row r="122" spans="1:50" x14ac:dyDescent="0.25">
      <c r="A122" s="41"/>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169"/>
    </row>
    <row r="123" spans="1:50" x14ac:dyDescent="0.25">
      <c r="A123" s="41"/>
      <c r="B123" s="40"/>
      <c r="C123" s="40"/>
      <c r="D123" s="404"/>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169"/>
    </row>
    <row r="124" spans="1:50" x14ac:dyDescent="0.25">
      <c r="A124" s="41"/>
      <c r="B124" s="40"/>
      <c r="C124" s="40"/>
      <c r="D124" s="404"/>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169"/>
    </row>
    <row r="125" spans="1:50" x14ac:dyDescent="0.25">
      <c r="A125" s="41"/>
      <c r="B125" s="40"/>
      <c r="C125" s="40"/>
      <c r="D125" s="404"/>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169"/>
    </row>
    <row r="126" spans="1:50" x14ac:dyDescent="0.25">
      <c r="A126" s="41"/>
      <c r="B126" s="40"/>
      <c r="C126" s="40"/>
      <c r="D126" s="404"/>
      <c r="E126" s="40"/>
      <c r="F126" s="40"/>
      <c r="G126" s="40"/>
      <c r="H126" s="40"/>
      <c r="I126" s="40"/>
      <c r="J126" s="40"/>
      <c r="K126" s="40"/>
      <c r="L126" s="40"/>
      <c r="M126" s="40"/>
      <c r="N126" s="40"/>
      <c r="O126" s="40"/>
      <c r="P126" s="40"/>
      <c r="Q126" s="40"/>
      <c r="R126" s="40"/>
      <c r="S126" s="40"/>
      <c r="T126" s="40"/>
      <c r="U126" s="40"/>
      <c r="V126" s="40"/>
      <c r="W126" s="40"/>
      <c r="X126" s="40"/>
      <c r="Y126" s="40"/>
      <c r="Z126" s="40"/>
      <c r="AA126" s="40" t="s">
        <v>131</v>
      </c>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169"/>
    </row>
    <row r="127" spans="1:50" x14ac:dyDescent="0.25">
      <c r="A127" s="41"/>
      <c r="B127" s="40"/>
      <c r="C127" s="40"/>
      <c r="D127" s="404"/>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169"/>
    </row>
    <row r="128" spans="1:50" x14ac:dyDescent="0.25">
      <c r="A128" s="41"/>
      <c r="B128" s="40"/>
      <c r="C128" s="40"/>
      <c r="D128" s="404"/>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169"/>
    </row>
    <row r="129" spans="1:50" x14ac:dyDescent="0.25">
      <c r="A129" s="41"/>
      <c r="B129" s="40"/>
      <c r="C129" s="40"/>
      <c r="D129" s="404"/>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169"/>
    </row>
    <row r="130" spans="1:50" x14ac:dyDescent="0.25">
      <c r="A130" s="41"/>
      <c r="B130" s="40"/>
      <c r="C130" s="40"/>
      <c r="D130" s="404"/>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169"/>
    </row>
    <row r="131" spans="1:50" x14ac:dyDescent="0.25">
      <c r="A131" s="41"/>
      <c r="B131" s="40"/>
      <c r="C131" s="40"/>
      <c r="D131" s="404"/>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169"/>
    </row>
    <row r="132" spans="1:50" x14ac:dyDescent="0.25">
      <c r="A132" s="41"/>
      <c r="B132" s="40"/>
      <c r="C132" s="40"/>
      <c r="D132" s="404"/>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169"/>
    </row>
    <row r="133" spans="1:50" x14ac:dyDescent="0.25">
      <c r="A133" s="41"/>
      <c r="B133" s="40"/>
      <c r="C133" s="40"/>
      <c r="D133" s="404"/>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169"/>
    </row>
    <row r="134" spans="1:50" x14ac:dyDescent="0.25">
      <c r="A134" s="41"/>
      <c r="B134" s="40"/>
      <c r="C134" s="40"/>
      <c r="D134" s="404"/>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169"/>
    </row>
    <row r="135" spans="1:50" x14ac:dyDescent="0.25">
      <c r="A135" s="41"/>
      <c r="B135" s="40"/>
      <c r="C135" s="40"/>
      <c r="D135" s="404"/>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169"/>
    </row>
    <row r="136" spans="1:50" x14ac:dyDescent="0.25">
      <c r="A136" s="41"/>
      <c r="B136" s="40"/>
      <c r="C136" s="40"/>
      <c r="D136" s="404"/>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169"/>
    </row>
    <row r="137" spans="1:50" x14ac:dyDescent="0.25">
      <c r="A137" s="41"/>
      <c r="B137" s="40"/>
      <c r="C137" s="40"/>
      <c r="D137" s="404"/>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169"/>
    </row>
    <row r="138" spans="1:50" x14ac:dyDescent="0.25">
      <c r="A138" s="41"/>
      <c r="B138" s="40"/>
      <c r="C138" s="40"/>
      <c r="D138" s="404"/>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169"/>
    </row>
    <row r="139" spans="1:50" x14ac:dyDescent="0.25">
      <c r="A139" s="41"/>
      <c r="B139" s="40"/>
      <c r="C139" s="40"/>
      <c r="D139" s="404"/>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169"/>
    </row>
    <row r="140" spans="1:50" x14ac:dyDescent="0.25">
      <c r="A140" s="41"/>
      <c r="B140" s="40"/>
      <c r="C140" s="40"/>
      <c r="D140" s="404"/>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169"/>
    </row>
    <row r="141" spans="1:50" x14ac:dyDescent="0.25">
      <c r="A141" s="41"/>
      <c r="B141" s="40"/>
      <c r="C141" s="40"/>
      <c r="D141" s="404"/>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169"/>
    </row>
    <row r="142" spans="1:50" x14ac:dyDescent="0.25">
      <c r="A142" s="41"/>
      <c r="B142" s="40"/>
      <c r="C142" s="40"/>
      <c r="D142" s="404"/>
      <c r="E142" s="405"/>
      <c r="F142" s="405"/>
      <c r="G142" s="405"/>
      <c r="H142" s="405"/>
      <c r="I142" s="405"/>
      <c r="J142" s="405"/>
      <c r="K142" s="405"/>
      <c r="L142" s="405"/>
      <c r="M142" s="405"/>
      <c r="N142" s="405"/>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169"/>
    </row>
    <row r="143" spans="1:50" x14ac:dyDescent="0.25">
      <c r="A143" s="41"/>
      <c r="B143" s="40"/>
      <c r="C143" s="40"/>
      <c r="D143" s="40"/>
      <c r="E143" s="40"/>
      <c r="F143" s="40"/>
      <c r="G143" s="40"/>
      <c r="H143" s="40"/>
      <c r="I143" s="40"/>
      <c r="J143" s="40"/>
      <c r="K143" s="40"/>
      <c r="L143" s="40"/>
      <c r="M143" s="40"/>
      <c r="N143" s="404"/>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169"/>
    </row>
    <row r="144" spans="1:50" x14ac:dyDescent="0.25">
      <c r="A144" s="41"/>
      <c r="B144" s="40"/>
      <c r="C144" s="40"/>
      <c r="D144" s="40"/>
      <c r="E144" s="40"/>
      <c r="F144" s="40"/>
      <c r="G144" s="40"/>
      <c r="H144" s="40"/>
      <c r="I144" s="40"/>
      <c r="J144" s="40"/>
      <c r="K144" s="40"/>
      <c r="L144" s="40"/>
      <c r="M144" s="40"/>
      <c r="N144" s="404"/>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169"/>
    </row>
    <row r="145" spans="1:50" x14ac:dyDescent="0.25">
      <c r="A145" s="41"/>
      <c r="B145" s="40"/>
      <c r="C145" s="40"/>
      <c r="D145" s="40"/>
      <c r="E145" s="40"/>
      <c r="F145" s="40"/>
      <c r="G145" s="40"/>
      <c r="H145" s="40"/>
      <c r="I145" s="40"/>
      <c r="J145" s="40"/>
      <c r="K145" s="40"/>
      <c r="L145" s="40"/>
      <c r="M145" s="40"/>
      <c r="N145" s="404"/>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169"/>
    </row>
    <row r="146" spans="1:50" x14ac:dyDescent="0.25">
      <c r="A146" s="41"/>
      <c r="B146" s="40"/>
      <c r="C146" s="40"/>
      <c r="D146" s="40"/>
      <c r="E146" s="40"/>
      <c r="F146" s="40"/>
      <c r="G146" s="40"/>
      <c r="H146" s="40"/>
      <c r="I146" s="40"/>
      <c r="J146" s="40"/>
      <c r="K146" s="40"/>
      <c r="L146" s="40"/>
      <c r="M146" s="40"/>
      <c r="N146" s="404"/>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169"/>
    </row>
    <row r="147" spans="1:50" x14ac:dyDescent="0.25">
      <c r="A147" s="41"/>
      <c r="B147" s="40"/>
      <c r="C147" s="40"/>
      <c r="D147" s="40"/>
      <c r="E147" s="40"/>
      <c r="F147" s="40"/>
      <c r="G147" s="40"/>
      <c r="H147" s="40"/>
      <c r="I147" s="40"/>
      <c r="J147" s="40"/>
      <c r="K147" s="40"/>
      <c r="L147" s="40"/>
      <c r="M147" s="40"/>
      <c r="N147" s="404"/>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169"/>
    </row>
    <row r="148" spans="1:50" x14ac:dyDescent="0.25">
      <c r="A148" s="41"/>
      <c r="B148" s="40"/>
      <c r="C148" s="40"/>
      <c r="D148" s="40"/>
      <c r="E148" s="40"/>
      <c r="F148" s="40"/>
      <c r="G148" s="40"/>
      <c r="H148" s="40"/>
      <c r="I148" s="40"/>
      <c r="J148" s="40"/>
      <c r="K148" s="40"/>
      <c r="L148" s="40"/>
      <c r="M148" s="40"/>
      <c r="N148" s="404"/>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169"/>
    </row>
    <row r="149" spans="1:50" x14ac:dyDescent="0.25">
      <c r="A149" s="41"/>
      <c r="B149" s="40"/>
      <c r="C149" s="40"/>
      <c r="D149" s="40"/>
      <c r="E149" s="40"/>
      <c r="F149" s="40"/>
      <c r="G149" s="40"/>
      <c r="H149" s="40"/>
      <c r="I149" s="40"/>
      <c r="J149" s="40"/>
      <c r="K149" s="40"/>
      <c r="L149" s="40"/>
      <c r="M149" s="40"/>
      <c r="N149" s="404"/>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169"/>
    </row>
    <row r="150" spans="1:50" x14ac:dyDescent="0.25">
      <c r="A150" s="41"/>
      <c r="B150" s="40"/>
      <c r="C150" s="40"/>
      <c r="D150" s="40"/>
      <c r="E150" s="40"/>
      <c r="F150" s="40"/>
      <c r="G150" s="40"/>
      <c r="H150" s="40"/>
      <c r="I150" s="40"/>
      <c r="J150" s="40"/>
      <c r="K150" s="40"/>
      <c r="L150" s="40"/>
      <c r="M150" s="40"/>
      <c r="N150" s="404"/>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169"/>
    </row>
    <row r="151" spans="1:50" x14ac:dyDescent="0.25">
      <c r="A151" s="41"/>
      <c r="B151" s="40"/>
      <c r="C151" s="40"/>
      <c r="D151" s="40"/>
      <c r="E151" s="40"/>
      <c r="F151" s="40"/>
      <c r="G151" s="40"/>
      <c r="H151" s="40"/>
      <c r="I151" s="40"/>
      <c r="J151" s="40"/>
      <c r="K151" s="40"/>
      <c r="L151" s="40"/>
      <c r="M151" s="40"/>
      <c r="N151" s="404"/>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169"/>
    </row>
    <row r="152" spans="1:50" x14ac:dyDescent="0.25">
      <c r="A152" s="41"/>
      <c r="B152" s="40"/>
      <c r="C152" s="40"/>
      <c r="D152" s="40"/>
      <c r="E152" s="40"/>
      <c r="F152" s="40"/>
      <c r="G152" s="40"/>
      <c r="H152" s="40"/>
      <c r="I152" s="40"/>
      <c r="J152" s="40"/>
      <c r="K152" s="40"/>
      <c r="L152" s="40"/>
      <c r="M152" s="40"/>
      <c r="N152" s="404"/>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169"/>
    </row>
    <row r="153" spans="1:50" x14ac:dyDescent="0.25">
      <c r="A153" s="41"/>
      <c r="B153" s="40"/>
      <c r="C153" s="40"/>
      <c r="D153" s="40"/>
      <c r="E153" s="40"/>
      <c r="F153" s="40"/>
      <c r="G153" s="40"/>
      <c r="H153" s="40"/>
      <c r="I153" s="40"/>
      <c r="J153" s="40"/>
      <c r="K153" s="40"/>
      <c r="L153" s="40"/>
      <c r="M153" s="40"/>
      <c r="N153" s="404"/>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169"/>
    </row>
    <row r="154" spans="1:50" x14ac:dyDescent="0.25">
      <c r="A154" s="41"/>
      <c r="B154" s="40"/>
      <c r="C154" s="40"/>
      <c r="D154" s="40"/>
      <c r="E154" s="40"/>
      <c r="F154" s="40"/>
      <c r="G154" s="40"/>
      <c r="H154" s="40"/>
      <c r="I154" s="40"/>
      <c r="J154" s="40"/>
      <c r="K154" s="40"/>
      <c r="L154" s="40"/>
      <c r="M154" s="40"/>
      <c r="N154" s="404"/>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169"/>
    </row>
    <row r="155" spans="1:50" x14ac:dyDescent="0.25">
      <c r="A155" s="41"/>
      <c r="B155" s="40"/>
      <c r="C155" s="40"/>
      <c r="D155" s="40"/>
      <c r="E155" s="40"/>
      <c r="F155" s="40"/>
      <c r="G155" s="40"/>
      <c r="H155" s="40"/>
      <c r="I155" s="40"/>
      <c r="J155" s="40"/>
      <c r="K155" s="40"/>
      <c r="L155" s="40"/>
      <c r="M155" s="40"/>
      <c r="N155" s="404"/>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169"/>
    </row>
    <row r="156" spans="1:50" x14ac:dyDescent="0.25">
      <c r="A156" s="41"/>
      <c r="B156" s="40"/>
      <c r="C156" s="40"/>
      <c r="D156" s="40"/>
      <c r="E156" s="40"/>
      <c r="F156" s="40"/>
      <c r="G156" s="40"/>
      <c r="H156" s="40"/>
      <c r="I156" s="40"/>
      <c r="J156" s="40"/>
      <c r="K156" s="40"/>
      <c r="L156" s="40"/>
      <c r="M156" s="40"/>
      <c r="N156" s="404"/>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169"/>
    </row>
    <row r="157" spans="1:50" x14ac:dyDescent="0.25">
      <c r="A157" s="41"/>
      <c r="B157" s="40"/>
      <c r="C157" s="40"/>
      <c r="D157" s="40"/>
      <c r="E157" s="40"/>
      <c r="F157" s="40"/>
      <c r="G157" s="40"/>
      <c r="H157" s="40"/>
      <c r="I157" s="40"/>
      <c r="J157" s="40"/>
      <c r="K157" s="40"/>
      <c r="L157" s="40"/>
      <c r="M157" s="40"/>
      <c r="N157" s="404"/>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169"/>
    </row>
    <row r="158" spans="1:50" x14ac:dyDescent="0.25">
      <c r="A158" s="41"/>
      <c r="B158" s="40"/>
      <c r="C158" s="40"/>
      <c r="D158" s="40"/>
      <c r="E158" s="40"/>
      <c r="F158" s="40"/>
      <c r="G158" s="40"/>
      <c r="H158" s="40"/>
      <c r="I158" s="40"/>
      <c r="J158" s="40"/>
      <c r="K158" s="40"/>
      <c r="L158" s="40"/>
      <c r="M158" s="40"/>
      <c r="N158" s="404"/>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169"/>
    </row>
    <row r="159" spans="1:50" x14ac:dyDescent="0.25">
      <c r="A159" s="41"/>
      <c r="B159" s="40"/>
      <c r="C159" s="40"/>
      <c r="D159" s="40"/>
      <c r="E159" s="40"/>
      <c r="F159" s="40"/>
      <c r="G159" s="40"/>
      <c r="H159" s="40"/>
      <c r="I159" s="40"/>
      <c r="J159" s="40"/>
      <c r="K159" s="40"/>
      <c r="L159" s="40"/>
      <c r="M159" s="40"/>
      <c r="N159" s="404"/>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169"/>
    </row>
    <row r="160" spans="1:50" x14ac:dyDescent="0.25">
      <c r="A160" s="41"/>
      <c r="B160" s="40"/>
      <c r="C160" s="40"/>
      <c r="D160" s="40"/>
      <c r="E160" s="40"/>
      <c r="F160" s="40"/>
      <c r="G160" s="40"/>
      <c r="H160" s="40"/>
      <c r="I160" s="40"/>
      <c r="J160" s="40"/>
      <c r="K160" s="40"/>
      <c r="L160" s="40"/>
      <c r="M160" s="40"/>
      <c r="N160" s="404"/>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169"/>
    </row>
    <row r="161" spans="1:50" x14ac:dyDescent="0.25">
      <c r="A161" s="41"/>
      <c r="B161" s="40"/>
      <c r="C161" s="40"/>
      <c r="D161" s="40"/>
      <c r="E161" s="40"/>
      <c r="F161" s="40"/>
      <c r="G161" s="40"/>
      <c r="H161" s="40"/>
      <c r="I161" s="40"/>
      <c r="J161" s="40"/>
      <c r="K161" s="40"/>
      <c r="L161" s="40"/>
      <c r="M161" s="40"/>
      <c r="N161" s="404"/>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169"/>
    </row>
    <row r="162" spans="1:50" x14ac:dyDescent="0.25">
      <c r="A162" s="41"/>
      <c r="B162" s="40"/>
      <c r="C162" s="40"/>
      <c r="D162" s="40"/>
      <c r="E162" s="40"/>
      <c r="F162" s="40"/>
      <c r="G162" s="40"/>
      <c r="H162" s="40"/>
      <c r="I162" s="40"/>
      <c r="J162" s="40"/>
      <c r="K162" s="40"/>
      <c r="L162" s="40"/>
      <c r="M162" s="40"/>
      <c r="N162" s="404"/>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169"/>
    </row>
    <row r="163" spans="1:50" x14ac:dyDescent="0.25">
      <c r="A163" s="41"/>
      <c r="B163" s="40"/>
      <c r="C163" s="40"/>
      <c r="D163" s="40"/>
      <c r="E163" s="40"/>
      <c r="F163" s="40"/>
      <c r="G163" s="40"/>
      <c r="H163" s="40"/>
      <c r="I163" s="40"/>
      <c r="J163" s="40"/>
      <c r="K163" s="40"/>
      <c r="L163" s="40"/>
      <c r="M163" s="40"/>
      <c r="N163" s="404"/>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169"/>
    </row>
    <row r="164" spans="1:50" x14ac:dyDescent="0.25">
      <c r="A164" s="41"/>
      <c r="B164" s="40"/>
      <c r="C164" s="40"/>
      <c r="D164" s="40"/>
      <c r="E164" s="40"/>
      <c r="F164" s="40"/>
      <c r="G164" s="40"/>
      <c r="H164" s="40"/>
      <c r="I164" s="40"/>
      <c r="J164" s="40"/>
      <c r="K164" s="40"/>
      <c r="L164" s="40"/>
      <c r="M164" s="40"/>
      <c r="N164" s="404"/>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169"/>
    </row>
    <row r="165" spans="1:50" x14ac:dyDescent="0.25">
      <c r="A165" s="41"/>
      <c r="B165" s="40"/>
      <c r="C165" s="40"/>
      <c r="D165" s="40"/>
      <c r="E165" s="40"/>
      <c r="F165" s="40"/>
      <c r="G165" s="40"/>
      <c r="H165" s="40"/>
      <c r="I165" s="40"/>
      <c r="J165" s="40"/>
      <c r="K165" s="40"/>
      <c r="L165" s="40"/>
      <c r="M165" s="40"/>
      <c r="N165" s="404"/>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169"/>
    </row>
    <row r="166" spans="1:50" x14ac:dyDescent="0.25">
      <c r="A166" s="41"/>
      <c r="B166" s="40"/>
      <c r="C166" s="40"/>
      <c r="D166" s="40"/>
      <c r="E166" s="40"/>
      <c r="F166" s="40"/>
      <c r="G166" s="40"/>
      <c r="H166" s="40"/>
      <c r="I166" s="40"/>
      <c r="J166" s="40"/>
      <c r="K166" s="40"/>
      <c r="L166" s="40"/>
      <c r="M166" s="40"/>
      <c r="N166" s="404"/>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169"/>
    </row>
    <row r="167" spans="1:50" x14ac:dyDescent="0.25">
      <c r="A167" s="41"/>
      <c r="B167" s="40"/>
      <c r="C167" s="40"/>
      <c r="D167" s="40"/>
      <c r="E167" s="40"/>
      <c r="F167" s="40"/>
      <c r="G167" s="40"/>
      <c r="H167" s="40"/>
      <c r="I167" s="40"/>
      <c r="J167" s="40"/>
      <c r="K167" s="40"/>
      <c r="L167" s="40"/>
      <c r="M167" s="40"/>
      <c r="N167" s="404"/>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169"/>
    </row>
    <row r="168" spans="1:50" x14ac:dyDescent="0.25">
      <c r="A168" s="41"/>
      <c r="B168" s="40"/>
      <c r="C168" s="40"/>
      <c r="D168" s="40"/>
      <c r="E168" s="40"/>
      <c r="F168" s="40"/>
      <c r="G168" s="40"/>
      <c r="H168" s="40"/>
      <c r="I168" s="40"/>
      <c r="J168" s="40"/>
      <c r="K168" s="40"/>
      <c r="L168" s="40"/>
      <c r="M168" s="40"/>
      <c r="N168" s="404"/>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169"/>
    </row>
    <row r="169" spans="1:50" x14ac:dyDescent="0.25">
      <c r="A169" s="41"/>
      <c r="B169" s="40"/>
      <c r="C169" s="40"/>
      <c r="D169" s="40"/>
      <c r="E169" s="40"/>
      <c r="F169" s="40"/>
      <c r="G169" s="40"/>
      <c r="H169" s="40"/>
      <c r="I169" s="40"/>
      <c r="J169" s="40"/>
      <c r="K169" s="40"/>
      <c r="L169" s="40"/>
      <c r="M169" s="40"/>
      <c r="N169" s="404"/>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169"/>
    </row>
    <row r="170" spans="1:50" x14ac:dyDescent="0.25">
      <c r="A170" s="41"/>
      <c r="B170" s="40"/>
      <c r="C170" s="40"/>
      <c r="D170" s="40"/>
      <c r="E170" s="40"/>
      <c r="F170" s="40"/>
      <c r="G170" s="40"/>
      <c r="H170" s="40"/>
      <c r="I170" s="40"/>
      <c r="J170" s="40"/>
      <c r="K170" s="40"/>
      <c r="L170" s="40"/>
      <c r="M170" s="40"/>
      <c r="N170" s="404"/>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169"/>
    </row>
    <row r="171" spans="1:50" x14ac:dyDescent="0.25">
      <c r="A171" s="41"/>
      <c r="B171" s="40"/>
      <c r="C171" s="40"/>
      <c r="D171" s="40"/>
      <c r="E171" s="40"/>
      <c r="F171" s="40"/>
      <c r="G171" s="40"/>
      <c r="H171" s="40"/>
      <c r="I171" s="40"/>
      <c r="J171" s="40"/>
      <c r="K171" s="40"/>
      <c r="L171" s="40"/>
      <c r="M171" s="40"/>
      <c r="N171" s="404"/>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169"/>
    </row>
    <row r="172" spans="1:50" x14ac:dyDescent="0.25">
      <c r="A172" s="41"/>
      <c r="B172" s="40"/>
      <c r="C172" s="40"/>
      <c r="D172" s="40"/>
      <c r="E172" s="40"/>
      <c r="F172" s="40"/>
      <c r="G172" s="40"/>
      <c r="H172" s="40"/>
      <c r="I172" s="40"/>
      <c r="J172" s="40"/>
      <c r="K172" s="40"/>
      <c r="L172" s="40"/>
      <c r="M172" s="40"/>
      <c r="N172" s="404"/>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169"/>
    </row>
    <row r="173" spans="1:50" x14ac:dyDescent="0.25">
      <c r="A173" s="41"/>
      <c r="B173" s="40"/>
      <c r="C173" s="40"/>
      <c r="D173" s="40"/>
      <c r="E173" s="40"/>
      <c r="F173" s="40"/>
      <c r="G173" s="40"/>
      <c r="H173" s="40"/>
      <c r="I173" s="40"/>
      <c r="J173" s="40"/>
      <c r="K173" s="40"/>
      <c r="L173" s="40"/>
      <c r="M173" s="40"/>
      <c r="N173" s="404"/>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169"/>
    </row>
    <row r="174" spans="1:50" x14ac:dyDescent="0.25">
      <c r="A174" s="41"/>
      <c r="B174" s="40"/>
      <c r="C174" s="40"/>
      <c r="D174" s="40"/>
      <c r="E174" s="40"/>
      <c r="F174" s="40"/>
      <c r="G174" s="40"/>
      <c r="H174" s="40"/>
      <c r="I174" s="40"/>
      <c r="J174" s="40"/>
      <c r="K174" s="40"/>
      <c r="L174" s="40"/>
      <c r="M174" s="40"/>
      <c r="N174" s="404"/>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169"/>
    </row>
    <row r="175" spans="1:50" x14ac:dyDescent="0.25">
      <c r="A175" s="41"/>
      <c r="B175" s="40"/>
      <c r="C175" s="40"/>
      <c r="D175" s="40"/>
      <c r="E175" s="40"/>
      <c r="F175" s="40"/>
      <c r="G175" s="40"/>
      <c r="H175" s="40"/>
      <c r="I175" s="40"/>
      <c r="J175" s="40"/>
      <c r="K175" s="40"/>
      <c r="L175" s="40"/>
      <c r="M175" s="40"/>
      <c r="N175" s="404"/>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169"/>
    </row>
    <row r="176" spans="1:50" x14ac:dyDescent="0.25">
      <c r="A176" s="41"/>
      <c r="B176" s="40"/>
      <c r="C176" s="40"/>
      <c r="D176" s="40"/>
      <c r="E176" s="40"/>
      <c r="F176" s="40"/>
      <c r="G176" s="40"/>
      <c r="H176" s="40"/>
      <c r="I176" s="40"/>
      <c r="J176" s="40"/>
      <c r="K176" s="40"/>
      <c r="L176" s="40"/>
      <c r="M176" s="40"/>
      <c r="N176" s="404"/>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169"/>
    </row>
    <row r="177" spans="1:50" x14ac:dyDescent="0.25">
      <c r="A177" s="41"/>
      <c r="B177" s="40"/>
      <c r="C177" s="40"/>
      <c r="D177" s="40"/>
      <c r="E177" s="40"/>
      <c r="F177" s="40"/>
      <c r="G177" s="40"/>
      <c r="H177" s="40"/>
      <c r="I177" s="40"/>
      <c r="J177" s="40"/>
      <c r="K177" s="40"/>
      <c r="L177" s="40"/>
      <c r="M177" s="40"/>
      <c r="N177" s="404"/>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169"/>
    </row>
    <row r="178" spans="1:50" x14ac:dyDescent="0.25">
      <c r="A178" s="41"/>
      <c r="B178" s="40"/>
      <c r="C178" s="40"/>
      <c r="D178" s="40"/>
      <c r="E178" s="40"/>
      <c r="F178" s="40"/>
      <c r="G178" s="40"/>
      <c r="H178" s="40"/>
      <c r="I178" s="40"/>
      <c r="J178" s="40"/>
      <c r="K178" s="40"/>
      <c r="L178" s="40"/>
      <c r="M178" s="40"/>
      <c r="N178" s="404"/>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169"/>
    </row>
    <row r="179" spans="1:50" x14ac:dyDescent="0.25">
      <c r="A179" s="41"/>
      <c r="B179" s="40"/>
      <c r="C179" s="40"/>
      <c r="D179" s="40"/>
      <c r="E179" s="40"/>
      <c r="F179" s="40"/>
      <c r="G179" s="40"/>
      <c r="H179" s="40"/>
      <c r="I179" s="40"/>
      <c r="J179" s="40"/>
      <c r="K179" s="40"/>
      <c r="L179" s="40"/>
      <c r="M179" s="40"/>
      <c r="N179" s="404"/>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169"/>
    </row>
    <row r="180" spans="1:50" x14ac:dyDescent="0.25">
      <c r="A180" s="41"/>
      <c r="B180" s="40"/>
      <c r="C180" s="40"/>
      <c r="D180" s="40"/>
      <c r="E180" s="40"/>
      <c r="F180" s="40"/>
      <c r="G180" s="40"/>
      <c r="H180" s="40"/>
      <c r="I180" s="40"/>
      <c r="J180" s="40"/>
      <c r="K180" s="40"/>
      <c r="L180" s="40"/>
      <c r="M180" s="40"/>
      <c r="N180" s="404"/>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169"/>
    </row>
    <row r="181" spans="1:50" x14ac:dyDescent="0.25">
      <c r="A181" s="41"/>
      <c r="B181" s="40"/>
      <c r="C181" s="40"/>
      <c r="D181" s="40"/>
      <c r="E181" s="40"/>
      <c r="F181" s="40"/>
      <c r="G181" s="40"/>
      <c r="H181" s="40"/>
      <c r="I181" s="40"/>
      <c r="J181" s="40"/>
      <c r="K181" s="40"/>
      <c r="L181" s="40"/>
      <c r="M181" s="40"/>
      <c r="N181" s="404"/>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169"/>
    </row>
    <row r="182" spans="1:50" x14ac:dyDescent="0.25">
      <c r="A182" s="41"/>
      <c r="B182" s="40"/>
      <c r="C182" s="40"/>
      <c r="D182" s="40"/>
      <c r="E182" s="40"/>
      <c r="F182" s="40"/>
      <c r="G182" s="40"/>
      <c r="H182" s="40"/>
      <c r="I182" s="40"/>
      <c r="J182" s="40"/>
      <c r="K182" s="40"/>
      <c r="L182" s="40"/>
      <c r="M182" s="40"/>
      <c r="N182" s="404"/>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169"/>
    </row>
    <row r="183" spans="1:50" x14ac:dyDescent="0.25">
      <c r="A183" s="406"/>
      <c r="B183" s="405"/>
      <c r="C183" s="405"/>
      <c r="D183" s="405"/>
      <c r="E183" s="405"/>
      <c r="F183" s="405"/>
      <c r="G183" s="405"/>
      <c r="H183" s="405"/>
      <c r="I183" s="405"/>
      <c r="J183" s="405"/>
      <c r="K183" s="405"/>
      <c r="L183" s="405"/>
      <c r="M183" s="405"/>
      <c r="N183" s="407"/>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169"/>
    </row>
    <row r="184" spans="1:50" x14ac:dyDescent="0.25">
      <c r="A184" s="41"/>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169"/>
    </row>
    <row r="185" spans="1:50" x14ac:dyDescent="0.25">
      <c r="A185" s="41"/>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169"/>
    </row>
    <row r="186" spans="1:50" ht="15.75" thickBot="1" x14ac:dyDescent="0.3">
      <c r="A186" s="42"/>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170"/>
    </row>
    <row r="187" spans="1:50" x14ac:dyDescent="0.25">
      <c r="A187" s="417"/>
      <c r="B187" s="189"/>
      <c r="C187" s="189"/>
      <c r="D187" s="189"/>
      <c r="E187" s="189"/>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90"/>
    </row>
    <row r="188" spans="1:50" ht="21" x14ac:dyDescent="0.35">
      <c r="A188" s="418" t="s">
        <v>137</v>
      </c>
      <c r="B188" s="419"/>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169"/>
    </row>
    <row r="189" spans="1:50" ht="21" x14ac:dyDescent="0.35">
      <c r="A189" s="402" t="s">
        <v>155</v>
      </c>
      <c r="B189" s="419"/>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169"/>
    </row>
    <row r="190" spans="1:50" ht="21" x14ac:dyDescent="0.35">
      <c r="A190" s="418">
        <v>1</v>
      </c>
      <c r="B190" s="419" t="s">
        <v>156</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169"/>
    </row>
    <row r="191" spans="1:50" x14ac:dyDescent="0.25">
      <c r="A191" s="41"/>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169"/>
    </row>
    <row r="192" spans="1:50" x14ac:dyDescent="0.25">
      <c r="A192" s="41"/>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169"/>
    </row>
    <row r="193" spans="1:44" x14ac:dyDescent="0.25">
      <c r="A193" s="41"/>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169"/>
    </row>
    <row r="194" spans="1:44" x14ac:dyDescent="0.25">
      <c r="A194" s="41"/>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169"/>
    </row>
    <row r="195" spans="1:44" x14ac:dyDescent="0.25">
      <c r="A195" s="41"/>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169"/>
    </row>
    <row r="196" spans="1:44" x14ac:dyDescent="0.25">
      <c r="A196" s="41"/>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169"/>
    </row>
    <row r="197" spans="1:44" x14ac:dyDescent="0.25">
      <c r="A197" s="41"/>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169"/>
    </row>
    <row r="198" spans="1:44" x14ac:dyDescent="0.25">
      <c r="A198" s="41"/>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169"/>
    </row>
    <row r="199" spans="1:44" x14ac:dyDescent="0.25">
      <c r="A199" s="41"/>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169"/>
    </row>
    <row r="200" spans="1:44" x14ac:dyDescent="0.25">
      <c r="A200" s="41"/>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169"/>
    </row>
    <row r="201" spans="1:44" x14ac:dyDescent="0.25">
      <c r="A201" s="41"/>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169"/>
    </row>
    <row r="202" spans="1:44" x14ac:dyDescent="0.25">
      <c r="A202" s="41"/>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169"/>
    </row>
    <row r="203" spans="1:44" ht="21" x14ac:dyDescent="0.35">
      <c r="A203" s="418">
        <v>2</v>
      </c>
      <c r="B203" s="419" t="s">
        <v>157</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169"/>
    </row>
    <row r="204" spans="1:44" x14ac:dyDescent="0.25">
      <c r="A204" s="41"/>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169"/>
    </row>
    <row r="205" spans="1:44" x14ac:dyDescent="0.25">
      <c r="A205" s="41"/>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169"/>
    </row>
    <row r="206" spans="1:44" x14ac:dyDescent="0.25">
      <c r="A206" s="41"/>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169"/>
    </row>
    <row r="207" spans="1:44" x14ac:dyDescent="0.25">
      <c r="A207" s="41"/>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169"/>
    </row>
    <row r="208" spans="1:44" x14ac:dyDescent="0.25">
      <c r="A208" s="41"/>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169"/>
    </row>
    <row r="209" spans="1:44" x14ac:dyDescent="0.25">
      <c r="A209" s="41"/>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169"/>
    </row>
    <row r="210" spans="1:44" x14ac:dyDescent="0.25">
      <c r="A210" s="41"/>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169"/>
    </row>
    <row r="211" spans="1:44" x14ac:dyDescent="0.25">
      <c r="A211" s="41"/>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169"/>
    </row>
    <row r="212" spans="1:44" x14ac:dyDescent="0.25">
      <c r="A212" s="41"/>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169"/>
    </row>
    <row r="213" spans="1:44" x14ac:dyDescent="0.25">
      <c r="A213" s="41"/>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169"/>
    </row>
    <row r="214" spans="1:44" x14ac:dyDescent="0.25">
      <c r="A214" s="41"/>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169"/>
    </row>
    <row r="215" spans="1:44" x14ac:dyDescent="0.25">
      <c r="A215" s="41"/>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169"/>
    </row>
    <row r="216" spans="1:44" x14ac:dyDescent="0.25">
      <c r="A216" s="41"/>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169"/>
    </row>
    <row r="217" spans="1:44" x14ac:dyDescent="0.25">
      <c r="A217" s="41"/>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169"/>
    </row>
    <row r="218" spans="1:44" x14ac:dyDescent="0.25">
      <c r="A218" s="41"/>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169"/>
    </row>
    <row r="219" spans="1:44" x14ac:dyDescent="0.25">
      <c r="A219" s="41"/>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169"/>
    </row>
    <row r="220" spans="1:44" x14ac:dyDescent="0.25">
      <c r="A220" s="41"/>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169"/>
    </row>
    <row r="221" spans="1:44" x14ac:dyDescent="0.25">
      <c r="A221" s="41"/>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169"/>
    </row>
    <row r="222" spans="1:44" x14ac:dyDescent="0.25">
      <c r="A222" s="41"/>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169"/>
    </row>
    <row r="223" spans="1:44" x14ac:dyDescent="0.25">
      <c r="A223" s="41"/>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169"/>
    </row>
    <row r="224" spans="1:44" x14ac:dyDescent="0.25">
      <c r="A224" s="41"/>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169"/>
    </row>
    <row r="225" spans="1:44" x14ac:dyDescent="0.25">
      <c r="A225" s="41"/>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169"/>
    </row>
    <row r="226" spans="1:44" x14ac:dyDescent="0.25">
      <c r="A226" s="41"/>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169"/>
    </row>
    <row r="227" spans="1:44" x14ac:dyDescent="0.25">
      <c r="A227" s="41"/>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169"/>
    </row>
    <row r="228" spans="1:44" x14ac:dyDescent="0.25">
      <c r="A228" s="41"/>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169"/>
    </row>
    <row r="229" spans="1:44" x14ac:dyDescent="0.25">
      <c r="A229" s="41"/>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169"/>
    </row>
    <row r="230" spans="1:44" x14ac:dyDescent="0.25">
      <c r="A230" s="41"/>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169"/>
    </row>
    <row r="231" spans="1:44" x14ac:dyDescent="0.25">
      <c r="A231" s="41"/>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169"/>
    </row>
    <row r="232" spans="1:44" x14ac:dyDescent="0.25">
      <c r="A232" s="41"/>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169"/>
    </row>
    <row r="233" spans="1:44" x14ac:dyDescent="0.25">
      <c r="A233" s="41"/>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169"/>
    </row>
    <row r="234" spans="1:44" x14ac:dyDescent="0.25">
      <c r="A234" s="41"/>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169"/>
    </row>
    <row r="235" spans="1:44" x14ac:dyDescent="0.25">
      <c r="A235" s="41"/>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169"/>
    </row>
    <row r="236" spans="1:44" x14ac:dyDescent="0.25">
      <c r="A236" s="41"/>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169"/>
    </row>
    <row r="237" spans="1:44" x14ac:dyDescent="0.25">
      <c r="A237" s="41"/>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169"/>
    </row>
    <row r="238" spans="1:44" x14ac:dyDescent="0.25">
      <c r="A238" s="41"/>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169"/>
    </row>
    <row r="239" spans="1:44" x14ac:dyDescent="0.25">
      <c r="A239" s="41"/>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169"/>
    </row>
    <row r="240" spans="1:44" x14ac:dyDescent="0.25">
      <c r="A240" s="41"/>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169"/>
    </row>
    <row r="241" spans="1:44" ht="21" x14ac:dyDescent="0.35">
      <c r="A241" s="418">
        <v>3</v>
      </c>
      <c r="B241" s="419" t="s">
        <v>158</v>
      </c>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169"/>
    </row>
    <row r="242" spans="1:44" ht="21" x14ac:dyDescent="0.35">
      <c r="A242" s="41"/>
      <c r="B242" s="419" t="s">
        <v>159</v>
      </c>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169"/>
    </row>
    <row r="243" spans="1:44" x14ac:dyDescent="0.25">
      <c r="A243" s="41"/>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169"/>
    </row>
    <row r="244" spans="1:44" x14ac:dyDescent="0.25">
      <c r="A244" s="41"/>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169"/>
    </row>
    <row r="245" spans="1:44" x14ac:dyDescent="0.25">
      <c r="A245" s="41"/>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169"/>
    </row>
    <row r="246" spans="1:44" x14ac:dyDescent="0.25">
      <c r="A246" s="41"/>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169"/>
    </row>
    <row r="247" spans="1:44" x14ac:dyDescent="0.25">
      <c r="A247" s="41"/>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169"/>
    </row>
    <row r="248" spans="1:44" x14ac:dyDescent="0.25">
      <c r="A248" s="41"/>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169"/>
    </row>
    <row r="249" spans="1:44" x14ac:dyDescent="0.25">
      <c r="A249" s="41"/>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169"/>
    </row>
    <row r="250" spans="1:44" x14ac:dyDescent="0.25">
      <c r="A250" s="4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169"/>
    </row>
    <row r="251" spans="1:44" x14ac:dyDescent="0.25">
      <c r="A251" s="41"/>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169"/>
    </row>
    <row r="252" spans="1:44" x14ac:dyDescent="0.25">
      <c r="A252" s="41"/>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169"/>
    </row>
    <row r="253" spans="1:44" x14ac:dyDescent="0.25">
      <c r="A253" s="41"/>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169"/>
    </row>
    <row r="254" spans="1:44" x14ac:dyDescent="0.25">
      <c r="A254" s="41"/>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169"/>
    </row>
    <row r="255" spans="1:44" x14ac:dyDescent="0.25">
      <c r="A255" s="41"/>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169"/>
    </row>
    <row r="256" spans="1:44" x14ac:dyDescent="0.25">
      <c r="A256" s="41"/>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169"/>
    </row>
    <row r="257" spans="1:44" x14ac:dyDescent="0.25">
      <c r="A257" s="41"/>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169"/>
    </row>
    <row r="258" spans="1:44" x14ac:dyDescent="0.25">
      <c r="A258" s="41"/>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169"/>
    </row>
    <row r="259" spans="1:44" x14ac:dyDescent="0.25">
      <c r="A259" s="41"/>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169"/>
    </row>
    <row r="260" spans="1:44" x14ac:dyDescent="0.25">
      <c r="A260" s="41"/>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169"/>
    </row>
    <row r="261" spans="1:44" x14ac:dyDescent="0.25">
      <c r="A261" s="41"/>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169"/>
    </row>
    <row r="262" spans="1:44" x14ac:dyDescent="0.25">
      <c r="A262" s="41"/>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169"/>
    </row>
    <row r="263" spans="1:44" x14ac:dyDescent="0.25">
      <c r="A263" s="41"/>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169"/>
    </row>
    <row r="264" spans="1:44" x14ac:dyDescent="0.25">
      <c r="A264" s="41"/>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169"/>
    </row>
    <row r="265" spans="1:44" x14ac:dyDescent="0.25">
      <c r="A265" s="41"/>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169"/>
    </row>
    <row r="266" spans="1:44" x14ac:dyDescent="0.25">
      <c r="A266" s="41"/>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169"/>
    </row>
    <row r="267" spans="1:44" x14ac:dyDescent="0.25">
      <c r="A267" s="41"/>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169"/>
    </row>
    <row r="268" spans="1:44" x14ac:dyDescent="0.25">
      <c r="A268" s="41"/>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169"/>
    </row>
    <row r="269" spans="1:44" x14ac:dyDescent="0.25">
      <c r="A269" s="41"/>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169"/>
    </row>
    <row r="270" spans="1:44" x14ac:dyDescent="0.25">
      <c r="A270" s="41"/>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169"/>
    </row>
    <row r="271" spans="1:44" x14ac:dyDescent="0.25">
      <c r="A271" s="41"/>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169"/>
    </row>
    <row r="272" spans="1:44" x14ac:dyDescent="0.25">
      <c r="A272" s="41"/>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169"/>
    </row>
    <row r="273" spans="1:44" x14ac:dyDescent="0.25">
      <c r="A273" s="41"/>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169"/>
    </row>
    <row r="274" spans="1:44" x14ac:dyDescent="0.25">
      <c r="A274" s="41"/>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169"/>
    </row>
    <row r="275" spans="1:44" x14ac:dyDescent="0.25">
      <c r="A275" s="41"/>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169"/>
    </row>
    <row r="276" spans="1:44" x14ac:dyDescent="0.25">
      <c r="A276" s="41"/>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169"/>
    </row>
    <row r="277" spans="1:44" x14ac:dyDescent="0.25">
      <c r="A277" s="41"/>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169"/>
    </row>
    <row r="278" spans="1:44" x14ac:dyDescent="0.25">
      <c r="A278" s="41"/>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169"/>
    </row>
    <row r="279" spans="1:44" ht="21" x14ac:dyDescent="0.35">
      <c r="A279" s="418">
        <v>4</v>
      </c>
      <c r="B279" s="419" t="s">
        <v>160</v>
      </c>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169"/>
    </row>
    <row r="280" spans="1:44" ht="21" x14ac:dyDescent="0.35">
      <c r="A280" s="41"/>
      <c r="B280" s="419" t="s">
        <v>161</v>
      </c>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169"/>
    </row>
    <row r="281" spans="1:44" x14ac:dyDescent="0.25">
      <c r="A281" s="4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169"/>
    </row>
    <row r="282" spans="1:44" x14ac:dyDescent="0.25">
      <c r="A282" s="41"/>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169"/>
    </row>
    <row r="283" spans="1:44" x14ac:dyDescent="0.25">
      <c r="A283" s="41"/>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169"/>
    </row>
    <row r="284" spans="1:44" x14ac:dyDescent="0.25">
      <c r="A284" s="41"/>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169"/>
    </row>
    <row r="285" spans="1:44" x14ac:dyDescent="0.25">
      <c r="A285" s="4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169"/>
    </row>
    <row r="286" spans="1:44" x14ac:dyDescent="0.25">
      <c r="A286" s="41"/>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169"/>
    </row>
    <row r="287" spans="1:44" x14ac:dyDescent="0.25">
      <c r="A287" s="41"/>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169"/>
    </row>
    <row r="288" spans="1:44" x14ac:dyDescent="0.25">
      <c r="A288" s="41"/>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169"/>
    </row>
    <row r="289" spans="1:44" x14ac:dyDescent="0.25">
      <c r="A289" s="41"/>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169"/>
    </row>
    <row r="290" spans="1:44" x14ac:dyDescent="0.25">
      <c r="A290" s="41"/>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169"/>
    </row>
    <row r="291" spans="1:44" x14ac:dyDescent="0.25">
      <c r="A291" s="41"/>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169"/>
    </row>
    <row r="292" spans="1:44" x14ac:dyDescent="0.25">
      <c r="A292" s="41"/>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169"/>
    </row>
    <row r="293" spans="1:44" x14ac:dyDescent="0.25">
      <c r="A293" s="41"/>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169"/>
    </row>
    <row r="294" spans="1:44" x14ac:dyDescent="0.25">
      <c r="A294" s="41"/>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169"/>
    </row>
    <row r="295" spans="1:44" x14ac:dyDescent="0.25">
      <c r="A295" s="41"/>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169"/>
    </row>
    <row r="296" spans="1:44" x14ac:dyDescent="0.25">
      <c r="A296" s="41"/>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169"/>
    </row>
    <row r="297" spans="1:44" x14ac:dyDescent="0.25">
      <c r="A297" s="41"/>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169"/>
    </row>
    <row r="298" spans="1:44" x14ac:dyDescent="0.25">
      <c r="A298" s="41"/>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169"/>
    </row>
    <row r="299" spans="1:44" x14ac:dyDescent="0.25">
      <c r="A299" s="41"/>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169"/>
    </row>
    <row r="300" spans="1:44" x14ac:dyDescent="0.25">
      <c r="A300" s="41"/>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169"/>
    </row>
    <row r="301" spans="1:44" x14ac:dyDescent="0.25">
      <c r="A301" s="41"/>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169"/>
    </row>
    <row r="302" spans="1:44" x14ac:dyDescent="0.25">
      <c r="A302" s="41"/>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169"/>
    </row>
    <row r="303" spans="1:44" x14ac:dyDescent="0.25">
      <c r="A303" s="41"/>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169"/>
    </row>
    <row r="304" spans="1:44" x14ac:dyDescent="0.25">
      <c r="A304" s="41"/>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169"/>
    </row>
    <row r="305" spans="1:44" x14ac:dyDescent="0.25">
      <c r="A305" s="41"/>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169"/>
    </row>
    <row r="306" spans="1:44" ht="21" x14ac:dyDescent="0.35">
      <c r="A306" s="418">
        <v>5</v>
      </c>
      <c r="B306" s="419" t="s">
        <v>162</v>
      </c>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169"/>
    </row>
    <row r="307" spans="1:44" ht="21" x14ac:dyDescent="0.35">
      <c r="A307" s="41"/>
      <c r="B307" s="419" t="s">
        <v>163</v>
      </c>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169"/>
    </row>
    <row r="308" spans="1:44" x14ac:dyDescent="0.25">
      <c r="A308" s="41"/>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169"/>
    </row>
    <row r="309" spans="1:44" x14ac:dyDescent="0.25">
      <c r="A309" s="41"/>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169"/>
    </row>
    <row r="310" spans="1:44" x14ac:dyDescent="0.25">
      <c r="A310" s="41"/>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169"/>
    </row>
    <row r="311" spans="1:44" x14ac:dyDescent="0.25">
      <c r="A311" s="41"/>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169"/>
    </row>
    <row r="312" spans="1:44" x14ac:dyDescent="0.25">
      <c r="A312" s="41"/>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169"/>
    </row>
    <row r="313" spans="1:44" x14ac:dyDescent="0.25">
      <c r="A313" s="41"/>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169"/>
    </row>
    <row r="314" spans="1:44" x14ac:dyDescent="0.25">
      <c r="A314" s="41"/>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169"/>
    </row>
    <row r="315" spans="1:44" x14ac:dyDescent="0.25">
      <c r="A315" s="41"/>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169"/>
    </row>
    <row r="316" spans="1:44" x14ac:dyDescent="0.25">
      <c r="A316" s="4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169"/>
    </row>
    <row r="317" spans="1:44" x14ac:dyDescent="0.25">
      <c r="A317" s="41"/>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169"/>
    </row>
    <row r="318" spans="1:44" x14ac:dyDescent="0.25">
      <c r="A318" s="41"/>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169"/>
    </row>
    <row r="319" spans="1:44" x14ac:dyDescent="0.25">
      <c r="A319" s="41"/>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169"/>
    </row>
    <row r="320" spans="1:44" x14ac:dyDescent="0.25">
      <c r="A320" s="4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169"/>
    </row>
    <row r="321" spans="1:44" x14ac:dyDescent="0.25">
      <c r="A321" s="41"/>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169"/>
    </row>
    <row r="322" spans="1:44" x14ac:dyDescent="0.25">
      <c r="A322" s="41"/>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169"/>
    </row>
    <row r="323" spans="1:44" x14ac:dyDescent="0.25">
      <c r="A323" s="41"/>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169"/>
    </row>
    <row r="324" spans="1:44" x14ac:dyDescent="0.25">
      <c r="A324" s="41"/>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169"/>
    </row>
    <row r="325" spans="1:44" x14ac:dyDescent="0.25">
      <c r="A325" s="41"/>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169"/>
    </row>
    <row r="326" spans="1:44" x14ac:dyDescent="0.25">
      <c r="A326" s="41"/>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169"/>
    </row>
    <row r="327" spans="1:44" x14ac:dyDescent="0.25">
      <c r="A327" s="41"/>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169"/>
    </row>
    <row r="328" spans="1:44" x14ac:dyDescent="0.25">
      <c r="A328" s="41"/>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169"/>
    </row>
    <row r="329" spans="1:44" x14ac:dyDescent="0.25">
      <c r="A329" s="41"/>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169"/>
    </row>
    <row r="330" spans="1:44" x14ac:dyDescent="0.25">
      <c r="A330" s="41"/>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169"/>
    </row>
    <row r="331" spans="1:44" x14ac:dyDescent="0.25">
      <c r="A331" s="41"/>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169"/>
    </row>
    <row r="332" spans="1:44" x14ac:dyDescent="0.25">
      <c r="A332" s="41"/>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169"/>
    </row>
    <row r="333" spans="1:44" x14ac:dyDescent="0.25">
      <c r="A333" s="41"/>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169"/>
    </row>
    <row r="334" spans="1:44" x14ac:dyDescent="0.25">
      <c r="A334" s="41"/>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169"/>
    </row>
    <row r="335" spans="1:44" x14ac:dyDescent="0.25">
      <c r="A335" s="41"/>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169"/>
    </row>
    <row r="336" spans="1:44" x14ac:dyDescent="0.25">
      <c r="A336" s="41"/>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169"/>
    </row>
    <row r="337" spans="1:44" x14ac:dyDescent="0.25">
      <c r="A337" s="41"/>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169"/>
    </row>
    <row r="338" spans="1:44" x14ac:dyDescent="0.25">
      <c r="A338" s="41"/>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169"/>
    </row>
    <row r="339" spans="1:44" x14ac:dyDescent="0.25">
      <c r="A339" s="41"/>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169"/>
    </row>
    <row r="340" spans="1:44" ht="15.75" thickBot="1" x14ac:dyDescent="0.3">
      <c r="A340" s="42"/>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170"/>
    </row>
  </sheetData>
  <sheetProtection sheet="1" selectLockedCells="1" selectUnlockedCells="1"/>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X276"/>
  <sheetViews>
    <sheetView zoomScale="70" zoomScaleNormal="70" workbookViewId="0">
      <selection activeCell="I8" sqref="I8"/>
    </sheetView>
  </sheetViews>
  <sheetFormatPr defaultRowHeight="15" x14ac:dyDescent="0.25"/>
  <cols>
    <col min="1" max="1" width="12.85546875" customWidth="1"/>
    <col min="2" max="2" width="20.28515625" customWidth="1"/>
    <col min="3" max="3" width="15.42578125" customWidth="1"/>
    <col min="4" max="4" width="13.7109375" customWidth="1"/>
    <col min="5" max="5" width="17.85546875" customWidth="1"/>
    <col min="6" max="9" width="15" customWidth="1"/>
    <col min="10" max="10" width="12.7109375" customWidth="1"/>
    <col min="11" max="11" width="13" customWidth="1"/>
    <col min="12" max="12" width="13.5703125" customWidth="1"/>
    <col min="13" max="13" width="10.140625" customWidth="1"/>
    <col min="14" max="14" width="19.28515625" customWidth="1"/>
    <col min="15" max="15" width="17.42578125" customWidth="1"/>
    <col min="16" max="16" width="11.28515625" customWidth="1"/>
    <col min="17" max="17" width="10.85546875" customWidth="1"/>
    <col min="18" max="18" width="10" customWidth="1"/>
    <col min="19" max="19" width="13.42578125" customWidth="1"/>
    <col min="20" max="20" width="10.28515625" customWidth="1"/>
    <col min="21" max="21" width="13.7109375" customWidth="1"/>
    <col min="22" max="22" width="14" customWidth="1"/>
    <col min="23" max="23" width="15.42578125" customWidth="1"/>
    <col min="24" max="24" width="12.85546875" customWidth="1"/>
    <col min="25" max="25" width="11.5703125" customWidth="1"/>
    <col min="26" max="26" width="11.7109375" customWidth="1"/>
    <col min="28" max="31" width="9.140625" customWidth="1"/>
    <col min="32" max="32" width="8.7109375" customWidth="1"/>
    <col min="33" max="35" width="9.140625" customWidth="1"/>
    <col min="38" max="38" width="9.140625" customWidth="1"/>
    <col min="39" max="39" width="10.5703125" customWidth="1"/>
    <col min="40"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21" width="9.140625" customWidth="1"/>
    <col min="122" max="129" width="9.140625" hidden="1" customWidth="1"/>
    <col min="13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61" width="9.140625" customWidth="1"/>
    <col min="162" max="169" width="9.140625" hidden="1" customWidth="1"/>
    <col min="17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218" t="s">
        <v>36</v>
      </c>
      <c r="C1" s="367" t="s">
        <v>112</v>
      </c>
      <c r="D1" s="219"/>
      <c r="E1" s="219"/>
      <c r="F1" s="220"/>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row>
    <row r="2" spans="2:258" ht="21.75" thickBot="1" x14ac:dyDescent="0.4">
      <c r="B2" s="222" t="s">
        <v>37</v>
      </c>
      <c r="C2" s="223"/>
      <c r="D2" s="224" t="s">
        <v>59</v>
      </c>
      <c r="E2" s="223"/>
      <c r="F2" s="225"/>
      <c r="G2" s="221"/>
      <c r="H2" s="343" t="s">
        <v>109</v>
      </c>
      <c r="I2" s="219"/>
      <c r="J2" s="219"/>
      <c r="K2" s="219"/>
      <c r="L2" s="220"/>
      <c r="M2" s="221"/>
      <c r="N2" s="226" t="s">
        <v>52</v>
      </c>
      <c r="O2" s="227"/>
      <c r="P2" s="227"/>
      <c r="Q2" s="227"/>
      <c r="R2" s="227"/>
      <c r="S2" s="227"/>
      <c r="T2" s="227"/>
      <c r="U2" s="227"/>
      <c r="V2" s="227"/>
      <c r="W2" s="228"/>
      <c r="X2" s="221"/>
      <c r="Y2" s="221"/>
      <c r="Z2" s="221"/>
      <c r="AA2" s="221"/>
      <c r="AB2" s="221"/>
      <c r="AC2" s="221"/>
      <c r="AD2" s="221"/>
      <c r="AE2" s="221"/>
      <c r="AF2" s="221"/>
      <c r="AG2" s="221"/>
      <c r="AH2" s="221"/>
      <c r="AI2" s="221"/>
      <c r="AJ2" s="221"/>
      <c r="AK2" s="221"/>
      <c r="AL2" s="221"/>
      <c r="AM2" s="221"/>
      <c r="AN2" s="221"/>
      <c r="AO2" s="221"/>
      <c r="AP2" s="221"/>
      <c r="AQ2" s="221"/>
    </row>
    <row r="3" spans="2:258" ht="18.75" x14ac:dyDescent="0.3">
      <c r="B3" s="222" t="s">
        <v>38</v>
      </c>
      <c r="C3" s="224" t="str">
        <f>IF('DATA ENTRY'!B9="mm",'DATA ENTRY'!B11/25.4,'DATA ENTRY'!B11)</f>
        <v>ENTER WIDTH</v>
      </c>
      <c r="D3" s="229" t="e">
        <f>IF('DATA ENTRY'!#REF!="ACTUAL",'MODEL INSTRUCTIONS'!C3,'MODEL INSTRUCTIONS'!C3-0.5)</f>
        <v>#REF!</v>
      </c>
      <c r="E3" s="223"/>
      <c r="F3" s="225"/>
      <c r="G3" s="221"/>
      <c r="H3" s="235" t="s">
        <v>118</v>
      </c>
      <c r="I3" s="223"/>
      <c r="J3" s="223"/>
      <c r="K3" s="223"/>
      <c r="L3" s="225"/>
      <c r="M3" s="221"/>
      <c r="N3" s="230"/>
      <c r="O3" s="223"/>
      <c r="P3" s="223"/>
      <c r="Q3" s="223"/>
      <c r="R3" s="223"/>
      <c r="S3" s="223"/>
      <c r="T3" s="223"/>
      <c r="U3" s="223"/>
      <c r="V3" s="223"/>
      <c r="W3" s="225"/>
      <c r="X3" s="221"/>
      <c r="Y3" s="221"/>
      <c r="Z3" s="221"/>
      <c r="AA3" s="221"/>
      <c r="AB3" s="221"/>
      <c r="AC3" s="221"/>
      <c r="AD3" s="221"/>
      <c r="AE3" s="221"/>
      <c r="AF3" s="221"/>
      <c r="AG3" s="221"/>
      <c r="AH3" s="221"/>
      <c r="AI3" s="221"/>
      <c r="AJ3" s="221"/>
      <c r="AK3" s="221"/>
      <c r="AL3" s="221"/>
      <c r="AM3" s="221"/>
      <c r="AN3" s="221"/>
      <c r="AO3" s="221"/>
      <c r="AP3" s="221"/>
      <c r="AQ3" s="221"/>
    </row>
    <row r="4" spans="2:258" ht="18.75" x14ac:dyDescent="0.3">
      <c r="B4" s="222" t="s">
        <v>39</v>
      </c>
      <c r="C4" s="231" t="str">
        <f>IF('DATA ENTRY'!B9="mm",'DATA ENTRY'!B12/25.4,'DATA ENTRY'!B12)</f>
        <v>ENTER HEIGHT</v>
      </c>
      <c r="D4" s="229" t="e">
        <f>IF('DATA ENTRY'!#REF!="ACTUAL",'MODEL INSTRUCTIONS'!C4,'MODEL INSTRUCTIONS'!C4-0.5)</f>
        <v>#REF!</v>
      </c>
      <c r="E4" s="223"/>
      <c r="F4" s="225"/>
      <c r="G4" s="221"/>
      <c r="H4" s="235" t="s">
        <v>110</v>
      </c>
      <c r="I4" s="223"/>
      <c r="J4" s="223"/>
      <c r="K4" s="223"/>
      <c r="L4" s="225"/>
      <c r="M4" s="221"/>
      <c r="N4" s="230"/>
      <c r="O4" s="232" t="str">
        <f>C1&amp;"_MODEL"</f>
        <v>XXXXX_MODEL</v>
      </c>
      <c r="P4" s="232" t="s">
        <v>53</v>
      </c>
      <c r="Q4" s="232"/>
      <c r="R4" s="232"/>
      <c r="S4" s="232"/>
      <c r="T4" s="223"/>
      <c r="U4" s="223"/>
      <c r="V4" s="229" t="s">
        <v>93</v>
      </c>
      <c r="W4" s="225"/>
      <c r="X4" s="221"/>
      <c r="Y4" s="221"/>
      <c r="Z4" s="221"/>
      <c r="AA4" s="221"/>
      <c r="AB4" s="221"/>
      <c r="AC4" s="221"/>
      <c r="AD4" s="221"/>
      <c r="AE4" s="221"/>
      <c r="AF4" s="221"/>
      <c r="AG4" s="221"/>
      <c r="AH4" s="221"/>
      <c r="AI4" s="221"/>
      <c r="AJ4" s="221"/>
      <c r="AK4" s="221"/>
      <c r="AL4" s="221"/>
      <c r="AM4" s="221"/>
      <c r="AN4" s="221"/>
      <c r="AO4" s="221"/>
      <c r="AP4" s="221"/>
      <c r="AQ4" s="221"/>
    </row>
    <row r="5" spans="2:258" ht="18.75" x14ac:dyDescent="0.3">
      <c r="B5" s="222" t="s">
        <v>40</v>
      </c>
      <c r="C5" s="231" t="str">
        <f>'DATA ENTRY'!B13</f>
        <v>ENTER AIR VOLUME</v>
      </c>
      <c r="D5" s="231"/>
      <c r="E5" s="231"/>
      <c r="F5" s="233"/>
      <c r="G5" s="234"/>
      <c r="H5" s="235" t="s">
        <v>111</v>
      </c>
      <c r="I5" s="223"/>
      <c r="J5" s="223"/>
      <c r="K5" s="223"/>
      <c r="L5" s="225"/>
      <c r="M5" s="221"/>
      <c r="N5" s="235" t="s">
        <v>79</v>
      </c>
      <c r="O5" s="232" t="str">
        <f>C1&amp;"_FA"</f>
        <v>XXXXX_FA</v>
      </c>
      <c r="P5" s="236" t="e">
        <f>D62</f>
        <v>#REF!</v>
      </c>
      <c r="Q5" s="232" t="s">
        <v>42</v>
      </c>
      <c r="R5" s="223"/>
      <c r="S5" s="223"/>
      <c r="T5" s="223"/>
      <c r="U5" s="223"/>
      <c r="V5" s="232" t="str">
        <f>C1&amp;"_W"</f>
        <v>XXXXX_W</v>
      </c>
      <c r="W5" s="237" t="e">
        <f>D3</f>
        <v>#REF!</v>
      </c>
      <c r="X5" s="221"/>
      <c r="Y5" s="221"/>
      <c r="Z5" s="221"/>
      <c r="AA5" s="221"/>
      <c r="AB5" s="221"/>
      <c r="AC5" s="221"/>
      <c r="AD5" s="221"/>
      <c r="AE5" s="221"/>
      <c r="AF5" s="221"/>
      <c r="AG5" s="221"/>
      <c r="AH5" s="221"/>
      <c r="AI5" s="221"/>
      <c r="AJ5" s="221"/>
      <c r="AK5" s="221"/>
      <c r="AL5" s="221"/>
      <c r="AM5" s="221"/>
      <c r="AN5" s="221"/>
      <c r="AO5" s="221"/>
      <c r="AP5" s="221"/>
      <c r="AQ5" s="221"/>
    </row>
    <row r="6" spans="2:258" ht="18.75" x14ac:dyDescent="0.3">
      <c r="B6" s="222" t="s">
        <v>41</v>
      </c>
      <c r="C6" s="231" t="str">
        <f>'DATA ENTRY'!B14</f>
        <v>SELECT AIR DIRECTION</v>
      </c>
      <c r="D6" s="231"/>
      <c r="E6" s="231"/>
      <c r="F6" s="233"/>
      <c r="G6" s="234"/>
      <c r="H6" s="235" t="s">
        <v>114</v>
      </c>
      <c r="I6" s="223"/>
      <c r="J6" s="223"/>
      <c r="K6" s="223"/>
      <c r="L6" s="225"/>
      <c r="M6" s="221"/>
      <c r="N6" s="235" t="s">
        <v>56</v>
      </c>
      <c r="O6" s="232" t="str">
        <f>C1&amp;"_FA%"</f>
        <v>XXXXX_FA%</v>
      </c>
      <c r="P6" s="238" t="e">
        <f>D64</f>
        <v>#REF!</v>
      </c>
      <c r="Q6" s="232" t="s">
        <v>13</v>
      </c>
      <c r="R6" s="223"/>
      <c r="S6" s="223"/>
      <c r="T6" s="223"/>
      <c r="U6" s="223"/>
      <c r="V6" s="232" t="str">
        <f>C1&amp;"_H"</f>
        <v>XXXXX_H</v>
      </c>
      <c r="W6" s="237" t="e">
        <f>D4</f>
        <v>#REF!</v>
      </c>
      <c r="X6" s="221"/>
      <c r="Y6" s="221"/>
      <c r="Z6" s="221"/>
      <c r="AA6" s="221"/>
      <c r="AB6" s="221"/>
      <c r="AC6" s="221"/>
      <c r="AD6" s="221"/>
      <c r="AE6" s="221"/>
      <c r="AF6" s="221"/>
      <c r="AG6" s="221"/>
      <c r="AH6" s="221"/>
      <c r="AI6" s="221"/>
      <c r="AJ6" s="221"/>
      <c r="AK6" s="221"/>
      <c r="AL6" s="221"/>
      <c r="AM6" s="221"/>
      <c r="AN6" s="221"/>
      <c r="AO6" s="221"/>
      <c r="AP6" s="221"/>
      <c r="AQ6" s="221"/>
    </row>
    <row r="7" spans="2:258" ht="23.25" x14ac:dyDescent="0.35">
      <c r="B7" s="222"/>
      <c r="C7" s="231"/>
      <c r="D7" s="231"/>
      <c r="E7" s="231"/>
      <c r="F7" s="233"/>
      <c r="G7" s="234"/>
      <c r="H7" s="235" t="s">
        <v>124</v>
      </c>
      <c r="I7" s="223"/>
      <c r="J7" s="223"/>
      <c r="K7" s="223"/>
      <c r="L7" s="225"/>
      <c r="M7" s="221"/>
      <c r="N7" s="235" t="s">
        <v>82</v>
      </c>
      <c r="O7" s="232" t="str">
        <f>C1&amp;"_VEL"</f>
        <v>XXXXX_VEL</v>
      </c>
      <c r="P7" s="238" t="e">
        <f>D66</f>
        <v>#VALUE!</v>
      </c>
      <c r="Q7" s="232" t="s">
        <v>0</v>
      </c>
      <c r="R7" s="223"/>
      <c r="S7" s="223"/>
      <c r="T7" s="223"/>
      <c r="U7" s="223"/>
      <c r="V7" s="232" t="str">
        <f>C1&amp;"_SW"</f>
        <v>XXXXX_SW</v>
      </c>
      <c r="W7" s="237" t="e">
        <f>C8</f>
        <v>#REF!</v>
      </c>
      <c r="X7" s="221"/>
      <c r="Y7" s="411" t="s">
        <v>134</v>
      </c>
      <c r="Z7" s="221"/>
      <c r="AA7" s="221"/>
      <c r="AB7" s="221"/>
      <c r="AC7" s="221"/>
      <c r="AD7" s="221"/>
      <c r="AE7" s="221"/>
      <c r="AF7" s="221"/>
      <c r="AG7" s="221"/>
      <c r="AH7" s="221"/>
      <c r="AI7" s="221"/>
      <c r="AJ7" s="221"/>
      <c r="AK7" s="221"/>
      <c r="AL7" s="221"/>
      <c r="AM7" s="221"/>
      <c r="AN7" s="221"/>
      <c r="AO7" s="221"/>
      <c r="AP7" s="221"/>
      <c r="AQ7" s="221"/>
    </row>
    <row r="8" spans="2:258" ht="18.75" x14ac:dyDescent="0.3">
      <c r="B8" s="222" t="s">
        <v>60</v>
      </c>
      <c r="C8" s="369" t="e">
        <f>CEILING(D3/120,1)</f>
        <v>#REF!</v>
      </c>
      <c r="D8" s="231"/>
      <c r="E8" s="231" t="s">
        <v>61</v>
      </c>
      <c r="F8" s="370" t="e">
        <f>CEILING(IF(C9&lt;=72,D4/120,D4/72),1)</f>
        <v>#REF!</v>
      </c>
      <c r="G8" s="234"/>
      <c r="H8" s="235" t="s">
        <v>113</v>
      </c>
      <c r="I8" s="223"/>
      <c r="J8" s="223"/>
      <c r="K8" s="223"/>
      <c r="L8" s="225"/>
      <c r="M8" s="221"/>
      <c r="N8" s="235" t="s">
        <v>80</v>
      </c>
      <c r="O8" s="232" t="str">
        <f>C1&amp;"_Intake"</f>
        <v>XXXXX_Intake</v>
      </c>
      <c r="P8" s="239" t="e">
        <f>D67</f>
        <v>#VALUE!</v>
      </c>
      <c r="Q8" s="232" t="s">
        <v>85</v>
      </c>
      <c r="R8" s="223"/>
      <c r="S8" s="223"/>
      <c r="T8" s="223"/>
      <c r="U8" s="223"/>
      <c r="V8" s="232" t="str">
        <f>C1&amp;"_SH"</f>
        <v>XXXXX_SH</v>
      </c>
      <c r="W8" s="237" t="e">
        <f>F8</f>
        <v>#REF!</v>
      </c>
      <c r="X8" s="221"/>
      <c r="Y8" s="221"/>
      <c r="Z8" s="221"/>
      <c r="AA8" s="221"/>
      <c r="AB8" s="221"/>
      <c r="AC8" s="221"/>
      <c r="AD8" s="221"/>
      <c r="AE8" s="221"/>
      <c r="AF8" s="221"/>
      <c r="AG8" s="221"/>
      <c r="AH8" s="221"/>
      <c r="AI8" s="221"/>
      <c r="AJ8" s="221"/>
      <c r="AK8" s="221"/>
      <c r="AL8" s="221"/>
      <c r="AM8" s="221"/>
      <c r="AN8" s="221"/>
      <c r="AO8" s="221"/>
      <c r="AP8" s="221"/>
      <c r="AQ8" s="221"/>
    </row>
    <row r="9" spans="2:258" ht="18.75" x14ac:dyDescent="0.3">
      <c r="B9" s="222" t="s">
        <v>58</v>
      </c>
      <c r="C9" s="231" t="e">
        <f>D3/C8</f>
        <v>#REF!</v>
      </c>
      <c r="D9" s="231"/>
      <c r="E9" s="231" t="s">
        <v>51</v>
      </c>
      <c r="F9" s="365" t="e">
        <f>D4/F8</f>
        <v>#REF!</v>
      </c>
      <c r="G9" s="234"/>
      <c r="H9" s="235" t="s">
        <v>115</v>
      </c>
      <c r="I9" s="223"/>
      <c r="J9" s="223"/>
      <c r="K9" s="223"/>
      <c r="L9" s="225"/>
      <c r="M9" s="221"/>
      <c r="N9" s="235" t="s">
        <v>81</v>
      </c>
      <c r="O9" s="232" t="str">
        <f>C1&amp;"_Exhaust"</f>
        <v>XXXXX_Exhaust</v>
      </c>
      <c r="P9" s="239" t="e">
        <f>D68</f>
        <v>#VALUE!</v>
      </c>
      <c r="Q9" s="232" t="s">
        <v>85</v>
      </c>
      <c r="R9" s="223"/>
      <c r="S9" s="223"/>
      <c r="T9" s="223"/>
      <c r="U9" s="223"/>
      <c r="V9" s="223"/>
      <c r="W9" s="225"/>
      <c r="X9" s="221"/>
      <c r="Y9" s="221"/>
      <c r="Z9" s="221"/>
      <c r="AA9" s="221"/>
      <c r="AB9" s="221"/>
      <c r="AC9" s="221"/>
      <c r="AD9" s="221"/>
      <c r="AE9" s="221"/>
      <c r="AF9" s="221"/>
      <c r="AG9" s="221"/>
      <c r="AH9" s="221"/>
      <c r="AI9" s="221"/>
      <c r="AJ9" s="221"/>
      <c r="AK9" s="221"/>
      <c r="AL9" s="221"/>
      <c r="AM9" s="221"/>
      <c r="AN9" s="221"/>
      <c r="AO9" s="221"/>
      <c r="AP9" s="221"/>
      <c r="AQ9" s="221"/>
    </row>
    <row r="10" spans="2:258" ht="19.5" thickBot="1" x14ac:dyDescent="0.35">
      <c r="B10" s="222"/>
      <c r="C10" s="231"/>
      <c r="D10" s="231"/>
      <c r="E10" s="231"/>
      <c r="F10" s="233"/>
      <c r="G10" s="234"/>
      <c r="H10" s="240" t="s">
        <v>116</v>
      </c>
      <c r="I10" s="242"/>
      <c r="J10" s="242"/>
      <c r="K10" s="242"/>
      <c r="L10" s="243"/>
      <c r="M10" s="221"/>
      <c r="N10" s="235" t="s">
        <v>86</v>
      </c>
      <c r="O10" s="232" t="str">
        <f>C1&amp;"_SEC"</f>
        <v>XXXXX_SEC</v>
      </c>
      <c r="P10" s="232" t="e">
        <f>C11</f>
        <v>#REF!</v>
      </c>
      <c r="Q10" s="232"/>
      <c r="R10" s="223"/>
      <c r="S10" s="223"/>
      <c r="T10" s="223"/>
      <c r="U10" s="223"/>
      <c r="V10" s="223"/>
      <c r="W10" s="225"/>
      <c r="X10" s="221"/>
      <c r="Y10" s="221"/>
      <c r="Z10" s="221"/>
      <c r="AA10" s="221"/>
      <c r="AB10" s="221"/>
      <c r="AC10" s="221"/>
      <c r="AD10" s="221"/>
      <c r="AE10" s="221"/>
      <c r="AF10" s="221"/>
      <c r="AG10" s="221"/>
      <c r="AH10" s="221"/>
      <c r="AI10" s="221"/>
      <c r="AJ10" s="221"/>
      <c r="AK10" s="221"/>
      <c r="AL10" s="221"/>
      <c r="AM10" s="221"/>
      <c r="AN10" s="221"/>
      <c r="AO10" s="221"/>
      <c r="AP10" s="221"/>
      <c r="AQ10" s="221"/>
    </row>
    <row r="11" spans="2:258" ht="18.75" x14ac:dyDescent="0.3">
      <c r="B11" s="222" t="s">
        <v>62</v>
      </c>
      <c r="C11" s="231" t="e">
        <f>C8*F8</f>
        <v>#REF!</v>
      </c>
      <c r="D11" s="231"/>
      <c r="E11" s="231" t="s">
        <v>122</v>
      </c>
      <c r="F11" s="368">
        <v>9</v>
      </c>
      <c r="G11" s="234"/>
      <c r="M11" s="221"/>
      <c r="N11" s="235" t="s">
        <v>83</v>
      </c>
      <c r="O11" s="232" t="str">
        <f>C1&amp;"_SECW"</f>
        <v>XXXXX_SECW</v>
      </c>
      <c r="P11" s="232" t="e">
        <f>AO55</f>
        <v>#REF!</v>
      </c>
      <c r="Q11" s="232" t="s">
        <v>72</v>
      </c>
      <c r="R11" s="223"/>
      <c r="S11" s="223"/>
      <c r="T11" s="223"/>
      <c r="U11" s="223"/>
      <c r="V11" s="223"/>
      <c r="W11" s="225"/>
      <c r="X11" s="221"/>
      <c r="Y11" s="221"/>
      <c r="Z11" s="221"/>
      <c r="AA11" s="221"/>
      <c r="AB11" s="221"/>
      <c r="AC11" s="221"/>
      <c r="AD11" s="221"/>
      <c r="AE11" s="221"/>
      <c r="AF11" s="221"/>
      <c r="AG11" s="221"/>
      <c r="AH11" s="221"/>
      <c r="AI11" s="221"/>
      <c r="AJ11" s="221"/>
      <c r="AK11" s="221"/>
      <c r="AL11" s="221"/>
      <c r="AM11" s="221"/>
      <c r="AN11" s="221"/>
      <c r="AO11" s="221"/>
      <c r="AP11" s="221"/>
      <c r="AQ11" s="221"/>
    </row>
    <row r="12" spans="2:258" ht="19.5" thickBot="1" x14ac:dyDescent="0.35">
      <c r="B12" s="230"/>
      <c r="C12" s="223"/>
      <c r="D12" s="223"/>
      <c r="E12" s="231" t="s">
        <v>123</v>
      </c>
      <c r="F12" s="368">
        <v>9.5</v>
      </c>
      <c r="G12" s="221"/>
      <c r="H12" s="221"/>
      <c r="I12" s="221"/>
      <c r="J12" s="221"/>
      <c r="K12" s="221"/>
      <c r="L12" s="221"/>
      <c r="M12" s="221"/>
      <c r="N12" s="240" t="s">
        <v>84</v>
      </c>
      <c r="O12" s="241" t="str">
        <f>C1&amp;"_TW"</f>
        <v>XXXXX_TW</v>
      </c>
      <c r="P12" s="241" t="e">
        <f>AO56</f>
        <v>#REF!</v>
      </c>
      <c r="Q12" s="241" t="s">
        <v>72</v>
      </c>
      <c r="R12" s="242"/>
      <c r="S12" s="242"/>
      <c r="T12" s="242"/>
      <c r="U12" s="242"/>
      <c r="V12" s="242"/>
      <c r="W12" s="243"/>
      <c r="X12" s="221"/>
      <c r="Y12" s="221"/>
      <c r="Z12" s="221"/>
      <c r="AA12" s="221"/>
      <c r="AB12" s="221"/>
      <c r="AC12" s="221"/>
      <c r="AD12" s="221"/>
      <c r="AE12" s="221"/>
      <c r="AF12" s="221"/>
      <c r="AG12" s="221"/>
      <c r="AH12" s="221"/>
      <c r="AI12" s="221"/>
      <c r="AJ12" s="221"/>
      <c r="AK12" s="221"/>
      <c r="AL12" s="221"/>
      <c r="AM12" s="221"/>
      <c r="AN12" s="221"/>
      <c r="AO12" s="221"/>
      <c r="AP12" s="221"/>
      <c r="AQ12" s="221"/>
    </row>
    <row r="13" spans="2:258" ht="15.75" thickBot="1" x14ac:dyDescent="0.3">
      <c r="B13" s="244"/>
      <c r="C13" s="242"/>
      <c r="D13" s="242"/>
      <c r="E13" s="242"/>
      <c r="F13" s="243"/>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row>
    <row r="14" spans="2:258" ht="27.75" thickTop="1" thickBot="1" x14ac:dyDescent="0.45">
      <c r="B14" s="245" t="s">
        <v>50</v>
      </c>
      <c r="C14" s="246"/>
      <c r="D14" s="975" t="s">
        <v>96</v>
      </c>
      <c r="E14" s="976"/>
      <c r="F14" s="976"/>
      <c r="G14" s="976"/>
      <c r="H14" s="976"/>
      <c r="I14" s="976"/>
      <c r="J14" s="976"/>
      <c r="K14" s="976"/>
      <c r="L14" s="976"/>
      <c r="M14" s="976"/>
      <c r="N14" s="976"/>
      <c r="O14" s="976"/>
      <c r="P14" s="976"/>
      <c r="Q14" s="976"/>
      <c r="R14" s="976"/>
      <c r="S14" s="976"/>
      <c r="T14" s="976"/>
      <c r="U14" s="976"/>
      <c r="V14" s="976"/>
      <c r="W14" s="977"/>
      <c r="X14" s="246"/>
      <c r="Y14" s="247"/>
      <c r="Z14" s="221"/>
      <c r="AA14" s="221"/>
      <c r="AB14" s="221"/>
      <c r="AC14" s="221"/>
      <c r="AD14" s="221"/>
      <c r="AE14" s="221"/>
      <c r="AF14" s="221"/>
      <c r="AG14" s="221"/>
      <c r="AH14" s="221"/>
      <c r="AI14" s="221"/>
      <c r="AJ14" s="221"/>
      <c r="AK14" s="221"/>
      <c r="AL14" s="221"/>
      <c r="AM14" s="221"/>
      <c r="AN14" s="221"/>
      <c r="AO14" s="221"/>
      <c r="AP14" s="221"/>
      <c r="AQ14" s="221"/>
      <c r="AT14" s="978" t="s">
        <v>5</v>
      </c>
      <c r="AU14" s="979"/>
      <c r="AV14" s="979"/>
      <c r="AW14" s="979"/>
      <c r="AX14" s="979"/>
      <c r="AY14" s="979"/>
      <c r="AZ14" s="979"/>
      <c r="BA14" s="979"/>
      <c r="BB14" s="979"/>
      <c r="BC14" s="979"/>
      <c r="BD14" s="979"/>
      <c r="BE14" s="979"/>
      <c r="BF14" s="979"/>
      <c r="BG14" s="979"/>
      <c r="BH14" s="979"/>
      <c r="BI14" s="979"/>
      <c r="BJ14" s="979"/>
      <c r="BK14" s="979"/>
      <c r="BL14" s="979"/>
      <c r="BM14" s="979"/>
      <c r="BN14" s="979"/>
      <c r="BO14" s="979"/>
      <c r="BP14" s="979"/>
      <c r="BQ14" s="979"/>
      <c r="BR14" s="979"/>
      <c r="BS14" s="979"/>
      <c r="BT14" s="979"/>
      <c r="BU14" s="979"/>
      <c r="BV14" s="979"/>
      <c r="BW14" s="979"/>
      <c r="BX14" s="979"/>
      <c r="BY14" s="979"/>
      <c r="BZ14" s="979"/>
      <c r="CA14" s="979"/>
      <c r="CB14" s="979"/>
      <c r="CC14" s="979"/>
      <c r="CD14" s="979"/>
      <c r="CE14" s="979"/>
      <c r="CF14" s="979"/>
      <c r="CG14" s="979"/>
      <c r="CH14" s="979"/>
      <c r="CI14" s="979"/>
      <c r="CJ14" s="979"/>
      <c r="CK14" s="979"/>
      <c r="CL14" s="979"/>
      <c r="CM14" s="979"/>
      <c r="CN14" s="979"/>
      <c r="CO14" s="979"/>
      <c r="CP14" s="979"/>
      <c r="CQ14" s="979"/>
      <c r="CR14" s="979"/>
      <c r="CS14" s="979"/>
      <c r="CT14" s="979"/>
      <c r="CU14" s="979"/>
      <c r="CV14" s="979"/>
      <c r="CW14" s="979"/>
      <c r="CX14" s="979"/>
      <c r="CY14" s="979"/>
      <c r="CZ14" s="979"/>
      <c r="DA14" s="979"/>
      <c r="DB14" s="979"/>
      <c r="DC14" s="979"/>
      <c r="DD14" s="979"/>
      <c r="DE14" s="979"/>
      <c r="DF14" s="979"/>
      <c r="DG14" s="979"/>
      <c r="DH14" s="979"/>
      <c r="DI14" s="979"/>
      <c r="DJ14" s="979"/>
      <c r="DK14" s="979"/>
      <c r="DL14" s="979"/>
      <c r="DM14" s="979"/>
      <c r="DN14" s="979"/>
      <c r="DO14" s="979"/>
      <c r="DP14" s="979"/>
      <c r="DQ14" s="979"/>
      <c r="DR14" s="979"/>
      <c r="DS14" s="979"/>
      <c r="DT14" s="979"/>
      <c r="DU14" s="979"/>
      <c r="DV14" s="979"/>
      <c r="DW14" s="979"/>
      <c r="DX14" s="979"/>
      <c r="DY14" s="979"/>
      <c r="DZ14" s="979"/>
      <c r="EA14" s="979"/>
      <c r="EB14" s="979"/>
      <c r="EC14" s="979"/>
      <c r="ED14" s="979"/>
      <c r="EE14" s="979"/>
      <c r="EF14" s="979"/>
      <c r="EG14" s="979"/>
      <c r="EH14" s="979"/>
      <c r="EI14" s="979"/>
      <c r="EJ14" s="979"/>
      <c r="EK14" s="979"/>
      <c r="EL14" s="979"/>
      <c r="EM14" s="979"/>
      <c r="EN14" s="979"/>
      <c r="EO14" s="979"/>
      <c r="EP14" s="979"/>
      <c r="EQ14" s="979"/>
      <c r="ER14" s="979"/>
      <c r="ES14" s="979"/>
      <c r="ET14" s="979"/>
      <c r="EU14" s="979"/>
      <c r="EV14" s="979"/>
      <c r="EW14" s="979"/>
      <c r="EX14" s="979"/>
      <c r="EY14" s="979"/>
      <c r="EZ14" s="979"/>
      <c r="FA14" s="979"/>
      <c r="FB14" s="979"/>
      <c r="FC14" s="979"/>
      <c r="FD14" s="979"/>
      <c r="FE14" s="979"/>
      <c r="FF14" s="979"/>
      <c r="FG14" s="979"/>
      <c r="FH14" s="979"/>
      <c r="FI14" s="979"/>
      <c r="FJ14" s="979"/>
      <c r="FK14" s="979"/>
      <c r="FL14" s="979"/>
      <c r="FM14" s="979"/>
      <c r="FN14" s="979"/>
      <c r="FO14" s="979"/>
      <c r="FP14" s="979"/>
      <c r="FQ14" s="979"/>
      <c r="FR14" s="979"/>
      <c r="FS14" s="979"/>
      <c r="FT14" s="979"/>
      <c r="FU14" s="979"/>
      <c r="FV14" s="979"/>
      <c r="FW14" s="979"/>
      <c r="FX14" s="979"/>
      <c r="FY14" s="979"/>
      <c r="FZ14" s="979"/>
      <c r="GA14" s="979"/>
      <c r="GB14" s="979"/>
      <c r="GC14" s="979"/>
      <c r="GD14" s="979"/>
      <c r="GE14" s="979"/>
      <c r="GF14" s="979"/>
      <c r="GG14" s="979"/>
      <c r="GH14" s="979"/>
      <c r="GI14" s="979"/>
      <c r="GJ14" s="979"/>
      <c r="GK14" s="979"/>
      <c r="GL14" s="979"/>
      <c r="GM14" s="979"/>
      <c r="GN14" s="979"/>
      <c r="GO14" s="979"/>
      <c r="GP14" s="979"/>
      <c r="GQ14" s="979"/>
      <c r="GR14" s="979"/>
      <c r="GS14" s="979"/>
      <c r="GT14" s="979"/>
      <c r="GU14" s="979"/>
      <c r="GV14" s="979"/>
      <c r="GW14" s="979"/>
      <c r="GX14" s="979"/>
      <c r="GY14" s="979"/>
      <c r="GZ14" s="979"/>
      <c r="HA14" s="979"/>
      <c r="HB14" s="979"/>
      <c r="HC14" s="979"/>
      <c r="HD14" s="979"/>
      <c r="HE14" s="979"/>
      <c r="HF14" s="979"/>
      <c r="HG14" s="979"/>
      <c r="HH14" s="979"/>
      <c r="HI14" s="979"/>
      <c r="HJ14" s="979"/>
      <c r="HK14" s="979"/>
      <c r="HL14" s="979"/>
      <c r="HM14" s="979"/>
      <c r="HN14" s="979"/>
      <c r="HO14" s="979"/>
      <c r="HP14" s="979"/>
      <c r="HQ14" s="979"/>
      <c r="HR14" s="979"/>
      <c r="HS14" s="979"/>
      <c r="HT14" s="979"/>
      <c r="HU14" s="979"/>
      <c r="HV14" s="979"/>
      <c r="HW14" s="979"/>
      <c r="HX14" s="979"/>
      <c r="HY14" s="979"/>
      <c r="HZ14" s="979"/>
      <c r="IA14" s="979"/>
      <c r="IB14" s="979"/>
      <c r="IC14" s="979"/>
      <c r="ID14" s="979"/>
      <c r="IE14" s="979"/>
      <c r="IF14" s="979"/>
      <c r="IG14" s="979"/>
      <c r="IH14" s="979"/>
      <c r="II14" s="979"/>
      <c r="IJ14" s="979"/>
      <c r="IK14" s="979"/>
      <c r="IL14" s="979"/>
      <c r="IM14" s="979"/>
      <c r="IN14" s="979"/>
      <c r="IO14" s="979"/>
      <c r="IP14" s="979"/>
      <c r="IQ14" s="979"/>
      <c r="IR14" s="979"/>
      <c r="IS14" s="979"/>
      <c r="IT14" s="979"/>
      <c r="IU14" s="979"/>
      <c r="IV14" s="979"/>
      <c r="IW14" s="979"/>
      <c r="IX14" s="980"/>
    </row>
    <row r="15" spans="2:258" ht="15.75" customHeight="1" thickBot="1" x14ac:dyDescent="0.3">
      <c r="B15" s="248"/>
      <c r="C15" s="249"/>
      <c r="D15" s="344">
        <f>F11</f>
        <v>9</v>
      </c>
      <c r="E15" s="249">
        <v>12</v>
      </c>
      <c r="F15" s="249">
        <f>E15+6</f>
        <v>18</v>
      </c>
      <c r="G15" s="249">
        <f>F15+6</f>
        <v>24</v>
      </c>
      <c r="H15" s="249">
        <f>G15+6</f>
        <v>30</v>
      </c>
      <c r="I15" s="249">
        <f>H15+6</f>
        <v>36</v>
      </c>
      <c r="J15" s="249">
        <v>42</v>
      </c>
      <c r="K15" s="249">
        <v>48</v>
      </c>
      <c r="L15" s="249">
        <v>54</v>
      </c>
      <c r="M15" s="249">
        <v>60</v>
      </c>
      <c r="N15" s="249">
        <v>66</v>
      </c>
      <c r="O15" s="249">
        <v>72</v>
      </c>
      <c r="P15" s="249">
        <v>78</v>
      </c>
      <c r="Q15" s="249">
        <v>84</v>
      </c>
      <c r="R15" s="249">
        <v>90</v>
      </c>
      <c r="S15" s="249">
        <v>96</v>
      </c>
      <c r="T15" s="249">
        <v>102</v>
      </c>
      <c r="U15" s="249">
        <v>108</v>
      </c>
      <c r="V15" s="249">
        <v>114</v>
      </c>
      <c r="W15" s="249">
        <v>120</v>
      </c>
      <c r="X15" s="250"/>
      <c r="Y15" s="251"/>
      <c r="Z15" s="221"/>
      <c r="AA15" s="221"/>
      <c r="AB15" s="221"/>
      <c r="AC15" s="221"/>
      <c r="AD15" s="221"/>
      <c r="AE15" s="221"/>
      <c r="AF15" s="221"/>
      <c r="AG15" s="221"/>
      <c r="AH15" s="221"/>
      <c r="AI15" s="221"/>
      <c r="AJ15" s="221"/>
      <c r="AK15" s="221"/>
      <c r="AL15" s="221"/>
      <c r="AM15" s="221"/>
      <c r="AN15" s="221"/>
      <c r="AO15" s="221"/>
      <c r="AP15" s="221"/>
      <c r="AQ15" s="221"/>
      <c r="AT15" s="3"/>
      <c r="AU15" s="4"/>
      <c r="AV15" s="4"/>
      <c r="AW15" s="4"/>
      <c r="AX15" s="4"/>
      <c r="AY15" s="4"/>
      <c r="AZ15" s="4"/>
      <c r="BA15" s="4"/>
      <c r="BB15" s="4"/>
      <c r="BC15" s="4"/>
      <c r="BD15" s="4"/>
      <c r="BE15" s="4"/>
      <c r="BF15" s="4"/>
      <c r="BG15" s="4"/>
      <c r="BH15" s="5"/>
      <c r="BI15" s="6"/>
      <c r="BJ15" s="6"/>
      <c r="BK15" s="6"/>
      <c r="BL15" s="6"/>
      <c r="BM15" s="6"/>
      <c r="BN15" s="6"/>
      <c r="BO15" s="6"/>
      <c r="BP15" s="6"/>
      <c r="BQ15" s="6"/>
      <c r="BR15" s="5"/>
      <c r="BS15" s="6"/>
      <c r="BT15" s="6"/>
      <c r="BU15" s="6"/>
      <c r="BV15" s="6"/>
      <c r="BW15" s="6"/>
      <c r="BX15" s="6"/>
      <c r="BY15" s="6"/>
      <c r="BZ15" s="6"/>
      <c r="CA15" s="6"/>
      <c r="CB15" s="5"/>
      <c r="CC15" s="6"/>
      <c r="CD15" s="6"/>
      <c r="CE15" s="6"/>
      <c r="CF15" s="6"/>
      <c r="CG15" s="6"/>
      <c r="CH15" s="6"/>
      <c r="CI15" s="6"/>
      <c r="CJ15" s="6"/>
      <c r="CK15" s="6"/>
      <c r="CL15" s="5"/>
      <c r="CM15" s="6"/>
      <c r="CN15" s="6"/>
      <c r="CO15" s="6"/>
      <c r="CP15" s="6"/>
      <c r="CQ15" s="6"/>
      <c r="CR15" s="6"/>
      <c r="CS15" s="6"/>
      <c r="CT15" s="6"/>
      <c r="CU15" s="6"/>
      <c r="CV15" s="5"/>
      <c r="CW15" s="6"/>
      <c r="CX15" s="6"/>
      <c r="CY15" s="6"/>
      <c r="CZ15" s="6"/>
      <c r="DA15" s="6"/>
      <c r="DB15" s="6"/>
      <c r="DC15" s="6"/>
      <c r="DD15" s="6"/>
      <c r="DE15" s="6"/>
      <c r="DF15" s="5"/>
      <c r="DG15" s="6"/>
      <c r="DH15" s="6"/>
      <c r="DI15" s="6"/>
      <c r="DJ15" s="6"/>
      <c r="DK15" s="6"/>
      <c r="DL15" s="6"/>
      <c r="DM15" s="6"/>
      <c r="DN15" s="6"/>
      <c r="DO15" s="6"/>
      <c r="DP15" s="5"/>
      <c r="DQ15" s="6"/>
      <c r="DR15" s="6"/>
      <c r="DS15" s="6"/>
      <c r="DT15" s="6"/>
      <c r="DU15" s="6"/>
      <c r="DV15" s="6"/>
      <c r="DW15" s="6"/>
      <c r="DX15" s="6"/>
      <c r="DY15" s="6"/>
      <c r="DZ15" s="5"/>
      <c r="EA15" s="6"/>
      <c r="EB15" s="6"/>
      <c r="EC15" s="6"/>
      <c r="ED15" s="6"/>
      <c r="EE15" s="6"/>
      <c r="EF15" s="6"/>
      <c r="EG15" s="6"/>
      <c r="EH15" s="6"/>
      <c r="EI15" s="6"/>
      <c r="EJ15" s="5"/>
      <c r="EK15" s="6"/>
      <c r="EL15" s="6"/>
      <c r="EM15" s="6"/>
      <c r="EN15" s="6"/>
      <c r="EO15" s="6"/>
      <c r="EP15" s="6"/>
      <c r="EQ15" s="6"/>
      <c r="ER15" s="6"/>
      <c r="ES15" s="6"/>
      <c r="ET15" s="5"/>
      <c r="EU15" s="6"/>
      <c r="EV15" s="6"/>
      <c r="EW15" s="6"/>
      <c r="EX15" s="6"/>
      <c r="EY15" s="6"/>
      <c r="EZ15" s="6"/>
      <c r="FA15" s="6"/>
      <c r="FB15" s="6"/>
      <c r="FC15" s="6"/>
      <c r="FD15" s="5"/>
      <c r="FE15" s="6"/>
      <c r="FF15" s="6"/>
      <c r="FG15" s="6"/>
      <c r="FH15" s="6"/>
      <c r="FI15" s="6"/>
      <c r="FJ15" s="6"/>
      <c r="FK15" s="6"/>
      <c r="FL15" s="6"/>
      <c r="FM15" s="6"/>
      <c r="FN15" s="5"/>
      <c r="FO15" s="6"/>
      <c r="FP15" s="6"/>
      <c r="FQ15" s="6"/>
      <c r="FR15" s="6"/>
      <c r="FS15" s="6"/>
      <c r="FT15" s="6"/>
      <c r="FU15" s="6"/>
      <c r="FV15" s="6"/>
      <c r="FW15" s="6"/>
      <c r="FX15" s="5"/>
      <c r="FY15" s="6"/>
      <c r="FZ15" s="6"/>
      <c r="GA15" s="6"/>
      <c r="GB15" s="6"/>
      <c r="GC15" s="6"/>
      <c r="GD15" s="6"/>
      <c r="GE15" s="6"/>
      <c r="GF15" s="6"/>
      <c r="GG15" s="6"/>
      <c r="GH15" s="5"/>
      <c r="GI15" s="6"/>
      <c r="GJ15" s="6"/>
      <c r="GK15" s="6"/>
      <c r="GL15" s="6"/>
      <c r="GM15" s="6"/>
      <c r="GN15" s="6"/>
      <c r="GO15" s="6"/>
      <c r="GP15" s="6"/>
      <c r="GQ15" s="6"/>
      <c r="GR15" s="5"/>
      <c r="GS15" s="6"/>
      <c r="GT15" s="6"/>
      <c r="GU15" s="6"/>
      <c r="GV15" s="6"/>
      <c r="GW15" s="6"/>
      <c r="GX15" s="6"/>
      <c r="GY15" s="6"/>
      <c r="GZ15" s="6"/>
      <c r="HA15" s="6"/>
      <c r="HB15" s="5"/>
      <c r="HC15" s="6"/>
      <c r="HD15" s="6"/>
      <c r="HE15" s="6"/>
      <c r="HF15" s="6"/>
      <c r="HG15" s="6"/>
      <c r="HH15" s="6"/>
      <c r="HI15" s="6"/>
      <c r="HJ15" s="6"/>
      <c r="HK15" s="6"/>
      <c r="HL15" s="5"/>
      <c r="HM15" s="6"/>
      <c r="HN15" s="6"/>
      <c r="HO15" s="6"/>
      <c r="HP15" s="6"/>
      <c r="HQ15" s="6"/>
      <c r="HR15" s="6"/>
      <c r="HS15" s="6"/>
      <c r="HT15" s="6"/>
      <c r="HU15" s="6"/>
      <c r="HV15" s="5"/>
      <c r="HW15" s="6"/>
      <c r="HX15" s="6"/>
      <c r="HY15" s="6"/>
      <c r="HZ15" s="6"/>
      <c r="IA15" s="6"/>
      <c r="IB15" s="6"/>
      <c r="IC15" s="6"/>
      <c r="ID15" s="6"/>
      <c r="IE15" s="6"/>
      <c r="IF15" s="5"/>
      <c r="IG15" s="6"/>
      <c r="IH15" s="6"/>
      <c r="II15" s="6"/>
      <c r="IJ15" s="6"/>
      <c r="IK15" s="6"/>
      <c r="IL15" s="6"/>
      <c r="IM15" s="6"/>
      <c r="IN15" s="4"/>
      <c r="IO15" s="4"/>
      <c r="IP15" s="4"/>
      <c r="IQ15" s="4"/>
      <c r="IR15" s="4"/>
      <c r="IS15" s="4"/>
      <c r="IT15" s="4"/>
      <c r="IU15" s="4"/>
      <c r="IV15" s="4"/>
      <c r="IW15" s="4"/>
      <c r="IX15" s="7"/>
    </row>
    <row r="16" spans="2:258" ht="16.5" thickBot="1" x14ac:dyDescent="0.3">
      <c r="B16" s="252" t="s">
        <v>95</v>
      </c>
      <c r="C16" s="253">
        <v>1</v>
      </c>
      <c r="D16" s="254">
        <v>2</v>
      </c>
      <c r="E16" s="255">
        <v>3</v>
      </c>
      <c r="F16" s="255">
        <v>4</v>
      </c>
      <c r="G16" s="255">
        <v>5</v>
      </c>
      <c r="H16" s="255">
        <v>6</v>
      </c>
      <c r="I16" s="255">
        <v>7</v>
      </c>
      <c r="J16" s="255">
        <v>8</v>
      </c>
      <c r="K16" s="255">
        <v>9</v>
      </c>
      <c r="L16" s="255">
        <v>10</v>
      </c>
      <c r="M16" s="255">
        <v>11</v>
      </c>
      <c r="N16" s="255">
        <v>12</v>
      </c>
      <c r="O16" s="255">
        <v>13</v>
      </c>
      <c r="P16" s="255">
        <v>14</v>
      </c>
      <c r="Q16" s="255">
        <v>15</v>
      </c>
      <c r="R16" s="255">
        <v>16</v>
      </c>
      <c r="S16" s="255">
        <v>17</v>
      </c>
      <c r="T16" s="255">
        <v>18</v>
      </c>
      <c r="U16" s="255">
        <v>19</v>
      </c>
      <c r="V16" s="255">
        <v>20</v>
      </c>
      <c r="W16" s="256">
        <v>21</v>
      </c>
      <c r="X16" s="257"/>
      <c r="Y16" s="251"/>
      <c r="Z16" s="221"/>
      <c r="AA16" s="221"/>
      <c r="AB16" s="221"/>
      <c r="AC16" s="221"/>
      <c r="AD16" s="221"/>
      <c r="AE16" s="221"/>
      <c r="AF16" s="221"/>
      <c r="AG16" s="221"/>
      <c r="AH16" s="221"/>
      <c r="AI16" s="221"/>
      <c r="AJ16" s="221"/>
      <c r="AK16" s="221"/>
      <c r="AL16" s="221"/>
      <c r="AM16" s="221"/>
      <c r="AN16" s="221"/>
      <c r="AO16" s="221"/>
      <c r="AP16" s="221"/>
      <c r="AQ16" s="221"/>
      <c r="AT16" s="3"/>
      <c r="AU16" s="981" t="s">
        <v>14</v>
      </c>
      <c r="AV16" s="982"/>
      <c r="AW16" s="987" t="s">
        <v>15</v>
      </c>
      <c r="AX16" s="988"/>
      <c r="AY16" s="988"/>
      <c r="AZ16" s="988"/>
      <c r="BA16" s="988"/>
      <c r="BB16" s="988"/>
      <c r="BC16" s="988"/>
      <c r="BD16" s="988"/>
      <c r="BE16" s="988"/>
      <c r="BF16" s="988"/>
      <c r="BG16" s="988"/>
      <c r="BH16" s="988"/>
      <c r="BI16" s="988"/>
      <c r="BJ16" s="988"/>
      <c r="BK16" s="988"/>
      <c r="BL16" s="988"/>
      <c r="BM16" s="988"/>
      <c r="BN16" s="988"/>
      <c r="BO16" s="988"/>
      <c r="BP16" s="988"/>
      <c r="BQ16" s="988"/>
      <c r="BR16" s="988"/>
      <c r="BS16" s="988"/>
      <c r="BT16" s="988"/>
      <c r="BU16" s="988"/>
      <c r="BV16" s="988"/>
      <c r="BW16" s="988"/>
      <c r="BX16" s="988"/>
      <c r="BY16" s="988"/>
      <c r="BZ16" s="988"/>
      <c r="CA16" s="988"/>
      <c r="CB16" s="988"/>
      <c r="CC16" s="988"/>
      <c r="CD16" s="988"/>
      <c r="CE16" s="988"/>
      <c r="CF16" s="988"/>
      <c r="CG16" s="988"/>
      <c r="CH16" s="988"/>
      <c r="CI16" s="988"/>
      <c r="CJ16" s="988"/>
      <c r="CK16" s="988"/>
      <c r="CL16" s="988"/>
      <c r="CM16" s="988"/>
      <c r="CN16" s="988"/>
      <c r="CO16" s="988"/>
      <c r="CP16" s="988"/>
      <c r="CQ16" s="988"/>
      <c r="CR16" s="988"/>
      <c r="CS16" s="988"/>
      <c r="CT16" s="988"/>
      <c r="CU16" s="988"/>
      <c r="CV16" s="988"/>
      <c r="CW16" s="988"/>
      <c r="CX16" s="988"/>
      <c r="CY16" s="988"/>
      <c r="CZ16" s="988"/>
      <c r="DA16" s="988"/>
      <c r="DB16" s="988"/>
      <c r="DC16" s="988"/>
      <c r="DD16" s="988"/>
      <c r="DE16" s="988"/>
      <c r="DF16" s="988"/>
      <c r="DG16" s="988"/>
      <c r="DH16" s="988"/>
      <c r="DI16" s="988"/>
      <c r="DJ16" s="988"/>
      <c r="DK16" s="988"/>
      <c r="DL16" s="988"/>
      <c r="DM16" s="988"/>
      <c r="DN16" s="988"/>
      <c r="DO16" s="988"/>
      <c r="DP16" s="988"/>
      <c r="DQ16" s="988"/>
      <c r="DR16" s="988"/>
      <c r="DS16" s="988"/>
      <c r="DT16" s="988"/>
      <c r="DU16" s="988"/>
      <c r="DV16" s="988"/>
      <c r="DW16" s="988"/>
      <c r="DX16" s="988"/>
      <c r="DY16" s="988"/>
      <c r="DZ16" s="988"/>
      <c r="EA16" s="988"/>
      <c r="EB16" s="988"/>
      <c r="EC16" s="988"/>
      <c r="ED16" s="988"/>
      <c r="EE16" s="988"/>
      <c r="EF16" s="988"/>
      <c r="EG16" s="988"/>
      <c r="EH16" s="988"/>
      <c r="EI16" s="988"/>
      <c r="EJ16" s="988"/>
      <c r="EK16" s="988"/>
      <c r="EL16" s="988"/>
      <c r="EM16" s="988"/>
      <c r="EN16" s="988"/>
      <c r="EO16" s="988"/>
      <c r="EP16" s="988"/>
      <c r="EQ16" s="988"/>
      <c r="ER16" s="988"/>
      <c r="ES16" s="988"/>
      <c r="ET16" s="988"/>
      <c r="EU16" s="988"/>
      <c r="EV16" s="988"/>
      <c r="EW16" s="988"/>
      <c r="EX16" s="988"/>
      <c r="EY16" s="988"/>
      <c r="EZ16" s="988"/>
      <c r="FA16" s="988"/>
      <c r="FB16" s="988"/>
      <c r="FC16" s="988"/>
      <c r="FD16" s="988"/>
      <c r="FE16" s="988"/>
      <c r="FF16" s="988"/>
      <c r="FG16" s="988"/>
      <c r="FH16" s="988"/>
      <c r="FI16" s="988"/>
      <c r="FJ16" s="988"/>
      <c r="FK16" s="988"/>
      <c r="FL16" s="988"/>
      <c r="FM16" s="988"/>
      <c r="FN16" s="988"/>
      <c r="FO16" s="988"/>
      <c r="FP16" s="988"/>
      <c r="FQ16" s="988"/>
      <c r="FR16" s="988"/>
      <c r="FS16" s="988"/>
      <c r="FT16" s="988"/>
      <c r="FU16" s="988"/>
      <c r="FV16" s="988"/>
      <c r="FW16" s="988"/>
      <c r="FX16" s="988"/>
      <c r="FY16" s="988"/>
      <c r="FZ16" s="988"/>
      <c r="GA16" s="988"/>
      <c r="GB16" s="988"/>
      <c r="GC16" s="988"/>
      <c r="GD16" s="988"/>
      <c r="GE16" s="988"/>
      <c r="GF16" s="988"/>
      <c r="GG16" s="988"/>
      <c r="GH16" s="988"/>
      <c r="GI16" s="988"/>
      <c r="GJ16" s="988"/>
      <c r="GK16" s="988"/>
      <c r="GL16" s="988"/>
      <c r="GM16" s="988"/>
      <c r="GN16" s="988"/>
      <c r="GO16" s="988"/>
      <c r="GP16" s="988"/>
      <c r="GQ16" s="988"/>
      <c r="GR16" s="988"/>
      <c r="GS16" s="988"/>
      <c r="GT16" s="988"/>
      <c r="GU16" s="988"/>
      <c r="GV16" s="988"/>
      <c r="GW16" s="988"/>
      <c r="GX16" s="988"/>
      <c r="GY16" s="988"/>
      <c r="GZ16" s="988"/>
      <c r="HA16" s="988"/>
      <c r="HB16" s="988"/>
      <c r="HC16" s="988"/>
      <c r="HD16" s="988"/>
      <c r="HE16" s="988"/>
      <c r="HF16" s="988"/>
      <c r="HG16" s="988"/>
      <c r="HH16" s="988"/>
      <c r="HI16" s="988"/>
      <c r="HJ16" s="988"/>
      <c r="HK16" s="988"/>
      <c r="HL16" s="988"/>
      <c r="HM16" s="988"/>
      <c r="HN16" s="988"/>
      <c r="HO16" s="988"/>
      <c r="HP16" s="988"/>
      <c r="HQ16" s="988"/>
      <c r="HR16" s="988"/>
      <c r="HS16" s="988"/>
      <c r="HT16" s="988"/>
      <c r="HU16" s="988"/>
      <c r="HV16" s="988"/>
      <c r="HW16" s="988"/>
      <c r="HX16" s="988"/>
      <c r="HY16" s="988"/>
      <c r="HZ16" s="988"/>
      <c r="IA16" s="988"/>
      <c r="IB16" s="988"/>
      <c r="IC16" s="988"/>
      <c r="ID16" s="988"/>
      <c r="IE16" s="988"/>
      <c r="IF16" s="988"/>
      <c r="IG16" s="988"/>
      <c r="IH16" s="211"/>
      <c r="II16" s="211"/>
      <c r="IJ16" s="211"/>
      <c r="IK16" s="211"/>
      <c r="IL16" s="211"/>
      <c r="IM16" s="211"/>
      <c r="IN16" s="141"/>
      <c r="IO16" s="143"/>
      <c r="IP16" s="4"/>
      <c r="IQ16" s="8"/>
      <c r="IR16" s="8"/>
      <c r="IS16" s="8"/>
      <c r="IT16" s="8"/>
      <c r="IU16" s="8"/>
      <c r="IV16" s="8"/>
      <c r="IW16" s="8"/>
      <c r="IX16" s="7"/>
    </row>
    <row r="17" spans="2:258" ht="15" customHeight="1" thickBot="1" x14ac:dyDescent="0.3">
      <c r="B17" s="345">
        <f>F12</f>
        <v>9.5</v>
      </c>
      <c r="C17" s="259">
        <v>2</v>
      </c>
      <c r="D17" s="260">
        <f t="shared" ref="D17:D36" si="0">AX20/((D$15*B17)/144)</f>
        <v>0.20160233918128653</v>
      </c>
      <c r="E17" s="261">
        <f t="shared" ref="E17:E36" si="1">BH20/((E$15*B17)/144)</f>
        <v>0.23367543859649126</v>
      </c>
      <c r="F17" s="261">
        <f t="shared" ref="F17:F36" si="2">BR20/((F$15*$B17)/144)</f>
        <v>0.2657485380116959</v>
      </c>
      <c r="G17" s="261">
        <f t="shared" ref="G17:G36" si="3">CB20/((G$15*$B17)/144)</f>
        <v>0.28178508771929828</v>
      </c>
      <c r="H17" s="261">
        <f t="shared" ref="H17:H36" si="4">CL20/((H$15*$B17)/144)</f>
        <v>0.29140701754385967</v>
      </c>
      <c r="I17" s="261">
        <f t="shared" ref="I17:I36" si="5">CV20/((I$15*$B17)/144)</f>
        <v>0.29782163742690054</v>
      </c>
      <c r="J17" s="261">
        <f t="shared" ref="J17:J36" si="6">DF20/((J$15*$B17)/144)</f>
        <v>0.30240350877192979</v>
      </c>
      <c r="K17" s="261">
        <f t="shared" ref="K17:K36" si="7">DP20/((K$15*$B17)/144)</f>
        <v>0.30583991228070179</v>
      </c>
      <c r="L17" s="261">
        <f t="shared" ref="L17:L36" si="8">DZ20/((L$15*$B17)/144)</f>
        <v>0.30240350877192979</v>
      </c>
      <c r="M17" s="261">
        <f t="shared" ref="M17:M36" si="9">EJ20/((M$15*$B17)/144)</f>
        <v>0.30515263157894734</v>
      </c>
      <c r="N17" s="261">
        <f t="shared" ref="N17:N36" si="10">ET20/((N$15*$B17)/144)</f>
        <v>0.30740191387559807</v>
      </c>
      <c r="O17" s="261">
        <f t="shared" ref="O17:O36" si="11">FD20/((O$15*$B17)/144)</f>
        <v>0.308703581871345</v>
      </c>
      <c r="P17" s="261">
        <f t="shared" ref="P17:P28" si="12">FN20/((P$15*$B17)/144)</f>
        <v>0.3103336707152497</v>
      </c>
      <c r="Q17" s="261">
        <f t="shared" ref="Q17:Q28" si="13">FX20/((Q$15*$B17)/144)</f>
        <v>0.31173088972431073</v>
      </c>
      <c r="R17" s="261">
        <f t="shared" ref="R17:R28" si="14">GH20/((R$15*$B17)/144)</f>
        <v>0.31294181286549705</v>
      </c>
      <c r="S17" s="261">
        <f t="shared" ref="S17:S28" si="15">GR20/((S$15*$B17)/144)</f>
        <v>0.3140013706140351</v>
      </c>
      <c r="T17" s="261">
        <f t="shared" ref="T17:T28" si="16">HB20/((T$15*$B17)/144)</f>
        <v>0.31493627450980388</v>
      </c>
      <c r="U17" s="261">
        <f t="shared" ref="U17:U28" si="17">HL20/((U$15*$B17)/144)</f>
        <v>0.30965813840155942</v>
      </c>
      <c r="V17" s="261">
        <f t="shared" ref="V17:V28" si="18">HV20/((V$15*$B17)/144)</f>
        <v>0.31072322253000917</v>
      </c>
      <c r="W17" s="261">
        <f t="shared" ref="W17:W28" si="19">IF20/((W$15*$B17)/144)</f>
        <v>0.31168179824561404</v>
      </c>
      <c r="X17" s="262"/>
      <c r="Y17" s="263"/>
      <c r="Z17" s="264"/>
      <c r="AA17" s="264"/>
      <c r="AB17" s="221"/>
      <c r="AC17" s="221"/>
      <c r="AD17" s="221"/>
      <c r="AE17" s="221"/>
      <c r="AF17" s="221"/>
      <c r="AG17" s="221"/>
      <c r="AH17" s="221"/>
      <c r="AI17" s="221"/>
      <c r="AJ17" s="221"/>
      <c r="AK17" s="221"/>
      <c r="AL17" s="221"/>
      <c r="AM17" s="221"/>
      <c r="AN17" s="221"/>
      <c r="AO17" s="221"/>
      <c r="AP17" s="221"/>
      <c r="AQ17" s="221"/>
      <c r="AT17" s="3"/>
      <c r="AU17" s="983"/>
      <c r="AV17" s="984"/>
      <c r="AW17" s="989"/>
      <c r="AX17" s="990"/>
      <c r="AY17" s="990"/>
      <c r="AZ17" s="990"/>
      <c r="BA17" s="990"/>
      <c r="BB17" s="990"/>
      <c r="BC17" s="990"/>
      <c r="BD17" s="990"/>
      <c r="BE17" s="990"/>
      <c r="BF17" s="990"/>
      <c r="BG17" s="990"/>
      <c r="BH17" s="990"/>
      <c r="BI17" s="990"/>
      <c r="BJ17" s="990"/>
      <c r="BK17" s="990"/>
      <c r="BL17" s="990"/>
      <c r="BM17" s="990"/>
      <c r="BN17" s="990"/>
      <c r="BO17" s="990"/>
      <c r="BP17" s="990"/>
      <c r="BQ17" s="990"/>
      <c r="BR17" s="990"/>
      <c r="BS17" s="990"/>
      <c r="BT17" s="990"/>
      <c r="BU17" s="990"/>
      <c r="BV17" s="990"/>
      <c r="BW17" s="990"/>
      <c r="BX17" s="990"/>
      <c r="BY17" s="990"/>
      <c r="BZ17" s="990"/>
      <c r="CA17" s="990"/>
      <c r="CB17" s="990"/>
      <c r="CC17" s="990"/>
      <c r="CD17" s="990"/>
      <c r="CE17" s="990"/>
      <c r="CF17" s="990"/>
      <c r="CG17" s="990"/>
      <c r="CH17" s="990"/>
      <c r="CI17" s="990"/>
      <c r="CJ17" s="990"/>
      <c r="CK17" s="990"/>
      <c r="CL17" s="990"/>
      <c r="CM17" s="990"/>
      <c r="CN17" s="990"/>
      <c r="CO17" s="990"/>
      <c r="CP17" s="990"/>
      <c r="CQ17" s="990"/>
      <c r="CR17" s="990"/>
      <c r="CS17" s="990"/>
      <c r="CT17" s="990"/>
      <c r="CU17" s="990"/>
      <c r="CV17" s="990"/>
      <c r="CW17" s="990"/>
      <c r="CX17" s="990"/>
      <c r="CY17" s="990"/>
      <c r="CZ17" s="990"/>
      <c r="DA17" s="990"/>
      <c r="DB17" s="990"/>
      <c r="DC17" s="990"/>
      <c r="DD17" s="990"/>
      <c r="DE17" s="990"/>
      <c r="DF17" s="990"/>
      <c r="DG17" s="990"/>
      <c r="DH17" s="990"/>
      <c r="DI17" s="990"/>
      <c r="DJ17" s="990"/>
      <c r="DK17" s="990"/>
      <c r="DL17" s="990"/>
      <c r="DM17" s="990"/>
      <c r="DN17" s="990"/>
      <c r="DO17" s="990"/>
      <c r="DP17" s="990"/>
      <c r="DQ17" s="990"/>
      <c r="DR17" s="990"/>
      <c r="DS17" s="990"/>
      <c r="DT17" s="990"/>
      <c r="DU17" s="990"/>
      <c r="DV17" s="990"/>
      <c r="DW17" s="990"/>
      <c r="DX17" s="990"/>
      <c r="DY17" s="990"/>
      <c r="DZ17" s="990"/>
      <c r="EA17" s="990"/>
      <c r="EB17" s="990"/>
      <c r="EC17" s="990"/>
      <c r="ED17" s="990"/>
      <c r="EE17" s="990"/>
      <c r="EF17" s="990"/>
      <c r="EG17" s="990"/>
      <c r="EH17" s="990"/>
      <c r="EI17" s="990"/>
      <c r="EJ17" s="990"/>
      <c r="EK17" s="990"/>
      <c r="EL17" s="990"/>
      <c r="EM17" s="990"/>
      <c r="EN17" s="990"/>
      <c r="EO17" s="990"/>
      <c r="EP17" s="990"/>
      <c r="EQ17" s="990"/>
      <c r="ER17" s="990"/>
      <c r="ES17" s="990"/>
      <c r="ET17" s="990"/>
      <c r="EU17" s="990"/>
      <c r="EV17" s="990"/>
      <c r="EW17" s="990"/>
      <c r="EX17" s="990"/>
      <c r="EY17" s="990"/>
      <c r="EZ17" s="990"/>
      <c r="FA17" s="990"/>
      <c r="FB17" s="990"/>
      <c r="FC17" s="990"/>
      <c r="FD17" s="990"/>
      <c r="FE17" s="990"/>
      <c r="FF17" s="990"/>
      <c r="FG17" s="990"/>
      <c r="FH17" s="990"/>
      <c r="FI17" s="990"/>
      <c r="FJ17" s="990"/>
      <c r="FK17" s="990"/>
      <c r="FL17" s="990"/>
      <c r="FM17" s="990"/>
      <c r="FN17" s="990"/>
      <c r="FO17" s="990"/>
      <c r="FP17" s="990"/>
      <c r="FQ17" s="990"/>
      <c r="FR17" s="990"/>
      <c r="FS17" s="990"/>
      <c r="FT17" s="990"/>
      <c r="FU17" s="990"/>
      <c r="FV17" s="990"/>
      <c r="FW17" s="990"/>
      <c r="FX17" s="990"/>
      <c r="FY17" s="990"/>
      <c r="FZ17" s="990"/>
      <c r="GA17" s="990"/>
      <c r="GB17" s="990"/>
      <c r="GC17" s="990"/>
      <c r="GD17" s="990"/>
      <c r="GE17" s="990"/>
      <c r="GF17" s="990"/>
      <c r="GG17" s="990"/>
      <c r="GH17" s="990"/>
      <c r="GI17" s="990"/>
      <c r="GJ17" s="990"/>
      <c r="GK17" s="990"/>
      <c r="GL17" s="990"/>
      <c r="GM17" s="990"/>
      <c r="GN17" s="990"/>
      <c r="GO17" s="990"/>
      <c r="GP17" s="990"/>
      <c r="GQ17" s="990"/>
      <c r="GR17" s="990"/>
      <c r="GS17" s="990"/>
      <c r="GT17" s="990"/>
      <c r="GU17" s="990"/>
      <c r="GV17" s="990"/>
      <c r="GW17" s="990"/>
      <c r="GX17" s="990"/>
      <c r="GY17" s="990"/>
      <c r="GZ17" s="990"/>
      <c r="HA17" s="990"/>
      <c r="HB17" s="990"/>
      <c r="HC17" s="990"/>
      <c r="HD17" s="990"/>
      <c r="HE17" s="990"/>
      <c r="HF17" s="990"/>
      <c r="HG17" s="990"/>
      <c r="HH17" s="990"/>
      <c r="HI17" s="990"/>
      <c r="HJ17" s="990"/>
      <c r="HK17" s="990"/>
      <c r="HL17" s="990"/>
      <c r="HM17" s="990"/>
      <c r="HN17" s="990"/>
      <c r="HO17" s="990"/>
      <c r="HP17" s="990"/>
      <c r="HQ17" s="990"/>
      <c r="HR17" s="990"/>
      <c r="HS17" s="990"/>
      <c r="HT17" s="990"/>
      <c r="HU17" s="990"/>
      <c r="HV17" s="990"/>
      <c r="HW17" s="990"/>
      <c r="HX17" s="990"/>
      <c r="HY17" s="990"/>
      <c r="HZ17" s="990"/>
      <c r="IA17" s="990"/>
      <c r="IB17" s="990"/>
      <c r="IC17" s="990"/>
      <c r="ID17" s="990"/>
      <c r="IE17" s="990"/>
      <c r="IF17" s="990"/>
      <c r="IG17" s="990"/>
      <c r="IH17" s="212"/>
      <c r="II17" s="212"/>
      <c r="IJ17" s="212"/>
      <c r="IK17" s="212"/>
      <c r="IL17" s="212"/>
      <c r="IM17" s="212"/>
      <c r="IN17" s="142"/>
      <c r="IO17" s="144"/>
      <c r="IP17" s="4"/>
      <c r="IQ17" s="991" t="s">
        <v>16</v>
      </c>
      <c r="IR17" s="992"/>
      <c r="IS17" s="992"/>
      <c r="IT17" s="992"/>
      <c r="IU17" s="992"/>
      <c r="IV17" s="992"/>
      <c r="IW17" s="993"/>
      <c r="IX17" s="7"/>
    </row>
    <row r="18" spans="2:258" ht="15.75" thickBot="1" x14ac:dyDescent="0.3">
      <c r="B18" s="258">
        <v>12</v>
      </c>
      <c r="C18" s="253">
        <v>3</v>
      </c>
      <c r="D18" s="265">
        <f t="shared" si="0"/>
        <v>0.2412361111111111</v>
      </c>
      <c r="E18" s="262">
        <f t="shared" si="1"/>
        <v>0.27961458333333333</v>
      </c>
      <c r="F18" s="262">
        <f t="shared" si="2"/>
        <v>0.31799305555555551</v>
      </c>
      <c r="G18" s="262">
        <f t="shared" si="3"/>
        <v>0.33718229166666669</v>
      </c>
      <c r="H18" s="262">
        <f t="shared" si="4"/>
        <v>0.34869583333333332</v>
      </c>
      <c r="I18" s="262">
        <f t="shared" si="5"/>
        <v>0.35637152777777786</v>
      </c>
      <c r="J18" s="262">
        <f t="shared" si="6"/>
        <v>0.3618541666666667</v>
      </c>
      <c r="K18" s="262">
        <f t="shared" si="7"/>
        <v>0.36596614583333337</v>
      </c>
      <c r="L18" s="262">
        <f t="shared" si="8"/>
        <v>0.36185416666666664</v>
      </c>
      <c r="M18" s="262">
        <f t="shared" si="9"/>
        <v>0.36514374999999999</v>
      </c>
      <c r="N18" s="262">
        <f t="shared" si="10"/>
        <v>0.36783522727272727</v>
      </c>
      <c r="O18" s="262">
        <f t="shared" si="11"/>
        <v>0.3693927951388889</v>
      </c>
      <c r="P18" s="262">
        <f t="shared" si="12"/>
        <v>0.3713433493589744</v>
      </c>
      <c r="Q18" s="262">
        <f t="shared" si="13"/>
        <v>0.37301525297619043</v>
      </c>
      <c r="R18" s="262">
        <f t="shared" si="14"/>
        <v>0.37446423611111113</v>
      </c>
      <c r="S18" s="262">
        <f t="shared" si="15"/>
        <v>0.37573209635416671</v>
      </c>
      <c r="T18" s="262">
        <f t="shared" si="16"/>
        <v>0.37685079656862747</v>
      </c>
      <c r="U18" s="262">
        <f t="shared" si="17"/>
        <v>0.37053501157407409</v>
      </c>
      <c r="V18" s="262">
        <f t="shared" si="18"/>
        <v>0.37180948464912283</v>
      </c>
      <c r="W18" s="262">
        <f t="shared" si="19"/>
        <v>0.37295651041666666</v>
      </c>
      <c r="X18" s="262"/>
      <c r="Y18" s="251"/>
      <c r="Z18" s="221"/>
      <c r="AA18" s="264"/>
      <c r="AB18" s="221"/>
      <c r="AC18" s="221"/>
      <c r="AD18" s="221"/>
      <c r="AE18" s="221"/>
      <c r="AF18" s="221"/>
      <c r="AG18" s="221"/>
      <c r="AH18" s="221"/>
      <c r="AI18" s="221"/>
      <c r="AJ18" s="221"/>
      <c r="AK18" s="221"/>
      <c r="AL18" s="221"/>
      <c r="AM18" s="221"/>
      <c r="AN18" s="221"/>
      <c r="AO18" s="221"/>
      <c r="AP18" s="221"/>
      <c r="AQ18" s="221"/>
      <c r="AT18" s="3"/>
      <c r="AU18" s="985"/>
      <c r="AV18" s="986"/>
      <c r="AW18" s="9"/>
      <c r="AX18" s="145">
        <f>F11</f>
        <v>9</v>
      </c>
      <c r="AY18" s="11" t="str">
        <f>"("&amp;ROUND(AX18*25.4/50,0)*50&amp;")"</f>
        <v>(250)</v>
      </c>
      <c r="AZ18" s="12" t="s">
        <v>17</v>
      </c>
      <c r="BA18" s="12" t="s">
        <v>18</v>
      </c>
      <c r="BB18" s="12" t="s">
        <v>19</v>
      </c>
      <c r="BC18" s="12" t="s">
        <v>20</v>
      </c>
      <c r="BD18" s="12" t="s">
        <v>21</v>
      </c>
      <c r="BE18" s="12" t="s">
        <v>22</v>
      </c>
      <c r="BF18" s="12" t="s">
        <v>23</v>
      </c>
      <c r="BG18" s="12" t="s">
        <v>24</v>
      </c>
      <c r="BH18" s="10">
        <v>12</v>
      </c>
      <c r="BI18" s="11" t="str">
        <f>"("&amp;ROUND(BH18*25.4/50,0)*50&amp;")"</f>
        <v>(300)</v>
      </c>
      <c r="BJ18" s="12" t="s">
        <v>17</v>
      </c>
      <c r="BK18" s="12" t="s">
        <v>18</v>
      </c>
      <c r="BL18" s="12" t="s">
        <v>19</v>
      </c>
      <c r="BM18" s="12" t="s">
        <v>20</v>
      </c>
      <c r="BN18" s="12" t="s">
        <v>21</v>
      </c>
      <c r="BO18" s="12" t="s">
        <v>22</v>
      </c>
      <c r="BP18" s="12" t="s">
        <v>23</v>
      </c>
      <c r="BQ18" s="12" t="s">
        <v>24</v>
      </c>
      <c r="BR18" s="10">
        <f>BH18+6</f>
        <v>18</v>
      </c>
      <c r="BS18" s="11" t="str">
        <f>"("&amp;ROUND(BR18*25.4/50,0)*50&amp;")"</f>
        <v>(450)</v>
      </c>
      <c r="BT18" s="12" t="s">
        <v>17</v>
      </c>
      <c r="BU18" s="12" t="s">
        <v>18</v>
      </c>
      <c r="BV18" s="12" t="s">
        <v>19</v>
      </c>
      <c r="BW18" s="12" t="s">
        <v>20</v>
      </c>
      <c r="BX18" s="12" t="s">
        <v>21</v>
      </c>
      <c r="BY18" s="12" t="s">
        <v>22</v>
      </c>
      <c r="BZ18" s="12" t="s">
        <v>23</v>
      </c>
      <c r="CA18" s="12" t="s">
        <v>24</v>
      </c>
      <c r="CB18" s="10">
        <f>BR18+6</f>
        <v>24</v>
      </c>
      <c r="CC18" s="11" t="str">
        <f>"("&amp;ROUND(CB18*25.4/50,0)*50&amp;")"</f>
        <v>(600)</v>
      </c>
      <c r="CD18" s="12" t="s">
        <v>17</v>
      </c>
      <c r="CE18" s="12" t="s">
        <v>18</v>
      </c>
      <c r="CF18" s="12" t="s">
        <v>19</v>
      </c>
      <c r="CG18" s="12" t="s">
        <v>20</v>
      </c>
      <c r="CH18" s="12" t="s">
        <v>21</v>
      </c>
      <c r="CI18" s="12" t="s">
        <v>22</v>
      </c>
      <c r="CJ18" s="12" t="s">
        <v>23</v>
      </c>
      <c r="CK18" s="12" t="s">
        <v>24</v>
      </c>
      <c r="CL18" s="10">
        <f>CB18+6</f>
        <v>30</v>
      </c>
      <c r="CM18" s="11" t="str">
        <f>"("&amp;ROUND(CL18*25.4/50,0)*50&amp;")"</f>
        <v>(750)</v>
      </c>
      <c r="CN18" s="12" t="s">
        <v>17</v>
      </c>
      <c r="CO18" s="12" t="s">
        <v>18</v>
      </c>
      <c r="CP18" s="12" t="s">
        <v>19</v>
      </c>
      <c r="CQ18" s="12" t="s">
        <v>20</v>
      </c>
      <c r="CR18" s="12" t="s">
        <v>21</v>
      </c>
      <c r="CS18" s="12" t="s">
        <v>22</v>
      </c>
      <c r="CT18" s="12" t="s">
        <v>23</v>
      </c>
      <c r="CU18" s="12" t="s">
        <v>24</v>
      </c>
      <c r="CV18" s="10">
        <f>CL18+6</f>
        <v>36</v>
      </c>
      <c r="CW18" s="11" t="str">
        <f>"("&amp;ROUND(CV18*25.4/50,0)*50&amp;")"</f>
        <v>(900)</v>
      </c>
      <c r="CX18" s="12" t="s">
        <v>17</v>
      </c>
      <c r="CY18" s="12" t="s">
        <v>18</v>
      </c>
      <c r="CZ18" s="12" t="s">
        <v>19</v>
      </c>
      <c r="DA18" s="12" t="s">
        <v>20</v>
      </c>
      <c r="DB18" s="12" t="s">
        <v>21</v>
      </c>
      <c r="DC18" s="12" t="s">
        <v>22</v>
      </c>
      <c r="DD18" s="12" t="s">
        <v>23</v>
      </c>
      <c r="DE18" s="12" t="s">
        <v>24</v>
      </c>
      <c r="DF18" s="10">
        <f>CV18+6</f>
        <v>42</v>
      </c>
      <c r="DG18" s="11" t="str">
        <f>"("&amp;ROUND(DF18*25.4/50,0)*50&amp;")"</f>
        <v>(1050)</v>
      </c>
      <c r="DH18" s="12" t="s">
        <v>17</v>
      </c>
      <c r="DI18" s="12" t="s">
        <v>18</v>
      </c>
      <c r="DJ18" s="12" t="s">
        <v>19</v>
      </c>
      <c r="DK18" s="12" t="s">
        <v>20</v>
      </c>
      <c r="DL18" s="12" t="s">
        <v>21</v>
      </c>
      <c r="DM18" s="12" t="s">
        <v>22</v>
      </c>
      <c r="DN18" s="12" t="s">
        <v>23</v>
      </c>
      <c r="DO18" s="12" t="s">
        <v>24</v>
      </c>
      <c r="DP18" s="10">
        <f>DF18+6</f>
        <v>48</v>
      </c>
      <c r="DQ18" s="11" t="str">
        <f>"("&amp;ROUND(DP18*25.4/50,0)*50&amp;")"</f>
        <v>(1200)</v>
      </c>
      <c r="DR18" s="12" t="s">
        <v>17</v>
      </c>
      <c r="DS18" s="12" t="s">
        <v>18</v>
      </c>
      <c r="DT18" s="12" t="s">
        <v>19</v>
      </c>
      <c r="DU18" s="12" t="s">
        <v>20</v>
      </c>
      <c r="DV18" s="12" t="s">
        <v>21</v>
      </c>
      <c r="DW18" s="12" t="s">
        <v>22</v>
      </c>
      <c r="DX18" s="12" t="s">
        <v>23</v>
      </c>
      <c r="DY18" s="12" t="s">
        <v>24</v>
      </c>
      <c r="DZ18" s="10">
        <f>DP18+6</f>
        <v>54</v>
      </c>
      <c r="EA18" s="11" t="str">
        <f>"("&amp;ROUND(DZ18*25.4/50,0)*50&amp;")"</f>
        <v>(1350)</v>
      </c>
      <c r="EB18" s="12" t="s">
        <v>17</v>
      </c>
      <c r="EC18" s="12" t="s">
        <v>18</v>
      </c>
      <c r="ED18" s="12" t="s">
        <v>19</v>
      </c>
      <c r="EE18" s="12" t="s">
        <v>20</v>
      </c>
      <c r="EF18" s="12" t="s">
        <v>21</v>
      </c>
      <c r="EG18" s="12" t="s">
        <v>22</v>
      </c>
      <c r="EH18" s="12" t="s">
        <v>23</v>
      </c>
      <c r="EI18" s="12" t="s">
        <v>24</v>
      </c>
      <c r="EJ18" s="10">
        <f>DZ18+6</f>
        <v>60</v>
      </c>
      <c r="EK18" s="11" t="str">
        <f>"("&amp;ROUND(EJ18*25.4/50,0)*50&amp;")"</f>
        <v>(1500)</v>
      </c>
      <c r="EL18" s="12" t="s">
        <v>17</v>
      </c>
      <c r="EM18" s="12" t="s">
        <v>18</v>
      </c>
      <c r="EN18" s="12" t="s">
        <v>19</v>
      </c>
      <c r="EO18" s="12" t="s">
        <v>20</v>
      </c>
      <c r="EP18" s="12" t="s">
        <v>21</v>
      </c>
      <c r="EQ18" s="12" t="s">
        <v>22</v>
      </c>
      <c r="ER18" s="12" t="s">
        <v>23</v>
      </c>
      <c r="ES18" s="12" t="s">
        <v>24</v>
      </c>
      <c r="ET18" s="10">
        <f>EJ18+6</f>
        <v>66</v>
      </c>
      <c r="EU18" s="11" t="str">
        <f>"("&amp;ROUND(ET18*25.4/50,0)*50&amp;")"</f>
        <v>(1700)</v>
      </c>
      <c r="EV18" s="12" t="s">
        <v>17</v>
      </c>
      <c r="EW18" s="12" t="s">
        <v>18</v>
      </c>
      <c r="EX18" s="12" t="s">
        <v>19</v>
      </c>
      <c r="EY18" s="12" t="s">
        <v>20</v>
      </c>
      <c r="EZ18" s="12" t="s">
        <v>21</v>
      </c>
      <c r="FA18" s="12" t="s">
        <v>22</v>
      </c>
      <c r="FB18" s="12" t="s">
        <v>23</v>
      </c>
      <c r="FC18" s="12" t="s">
        <v>24</v>
      </c>
      <c r="FD18" s="10">
        <f>ET18+6</f>
        <v>72</v>
      </c>
      <c r="FE18" s="11" t="str">
        <f>"("&amp;ROUND(FD18*25.4/50,0)*50&amp;")"</f>
        <v>(1850)</v>
      </c>
      <c r="FF18" s="12" t="s">
        <v>17</v>
      </c>
      <c r="FG18" s="12" t="s">
        <v>18</v>
      </c>
      <c r="FH18" s="12" t="s">
        <v>19</v>
      </c>
      <c r="FI18" s="12" t="s">
        <v>20</v>
      </c>
      <c r="FJ18" s="12" t="s">
        <v>21</v>
      </c>
      <c r="FK18" s="12" t="s">
        <v>22</v>
      </c>
      <c r="FL18" s="12" t="s">
        <v>23</v>
      </c>
      <c r="FM18" s="12" t="s">
        <v>24</v>
      </c>
      <c r="FN18" s="10">
        <f>FD18+6</f>
        <v>78</v>
      </c>
      <c r="FO18" s="11" t="str">
        <f>"("&amp;ROUND(FN18*25.4/50,0)*50&amp;")"</f>
        <v>(2000)</v>
      </c>
      <c r="FP18" s="12" t="s">
        <v>17</v>
      </c>
      <c r="FQ18" s="12" t="s">
        <v>18</v>
      </c>
      <c r="FR18" s="12" t="s">
        <v>19</v>
      </c>
      <c r="FS18" s="12" t="s">
        <v>20</v>
      </c>
      <c r="FT18" s="12" t="s">
        <v>21</v>
      </c>
      <c r="FU18" s="12" t="s">
        <v>22</v>
      </c>
      <c r="FV18" s="12" t="s">
        <v>23</v>
      </c>
      <c r="FW18" s="12" t="s">
        <v>24</v>
      </c>
      <c r="FX18" s="10">
        <f>FN18+6</f>
        <v>84</v>
      </c>
      <c r="FY18" s="11" t="str">
        <f>"("&amp;ROUND(FX18*25.4/50,0)*50&amp;")"</f>
        <v>(2150)</v>
      </c>
      <c r="FZ18" s="12" t="s">
        <v>17</v>
      </c>
      <c r="GA18" s="12" t="s">
        <v>18</v>
      </c>
      <c r="GB18" s="12" t="s">
        <v>19</v>
      </c>
      <c r="GC18" s="12" t="s">
        <v>20</v>
      </c>
      <c r="GD18" s="12" t="s">
        <v>21</v>
      </c>
      <c r="GE18" s="12" t="s">
        <v>22</v>
      </c>
      <c r="GF18" s="12" t="s">
        <v>23</v>
      </c>
      <c r="GG18" s="12" t="s">
        <v>24</v>
      </c>
      <c r="GH18" s="10">
        <f>FX18+6</f>
        <v>90</v>
      </c>
      <c r="GI18" s="11" t="str">
        <f>"("&amp;ROUND(GH18*25.4/50,0)*50&amp;")"</f>
        <v>(2300)</v>
      </c>
      <c r="GJ18" s="12" t="s">
        <v>17</v>
      </c>
      <c r="GK18" s="12" t="s">
        <v>18</v>
      </c>
      <c r="GL18" s="12" t="s">
        <v>19</v>
      </c>
      <c r="GM18" s="12" t="s">
        <v>20</v>
      </c>
      <c r="GN18" s="12" t="s">
        <v>21</v>
      </c>
      <c r="GO18" s="12" t="s">
        <v>22</v>
      </c>
      <c r="GP18" s="12" t="s">
        <v>23</v>
      </c>
      <c r="GQ18" s="12" t="s">
        <v>24</v>
      </c>
      <c r="GR18" s="10">
        <f>GH18+6</f>
        <v>96</v>
      </c>
      <c r="GS18" s="11" t="str">
        <f>"("&amp;ROUND(GR18*25.4/50,0)*50&amp;")"</f>
        <v>(2450)</v>
      </c>
      <c r="GT18" s="12" t="s">
        <v>17</v>
      </c>
      <c r="GU18" s="12" t="s">
        <v>18</v>
      </c>
      <c r="GV18" s="12" t="s">
        <v>19</v>
      </c>
      <c r="GW18" s="12" t="s">
        <v>20</v>
      </c>
      <c r="GX18" s="12" t="s">
        <v>21</v>
      </c>
      <c r="GY18" s="12" t="s">
        <v>22</v>
      </c>
      <c r="GZ18" s="12" t="s">
        <v>23</v>
      </c>
      <c r="HA18" s="12" t="s">
        <v>24</v>
      </c>
      <c r="HB18" s="10">
        <f>GR18+6</f>
        <v>102</v>
      </c>
      <c r="HC18" s="11" t="str">
        <f>"("&amp;ROUND(HB18*25.4/50,0)*50&amp;")"</f>
        <v>(2600)</v>
      </c>
      <c r="HD18" s="12" t="s">
        <v>17</v>
      </c>
      <c r="HE18" s="12" t="s">
        <v>18</v>
      </c>
      <c r="HF18" s="12" t="s">
        <v>19</v>
      </c>
      <c r="HG18" s="12" t="s">
        <v>20</v>
      </c>
      <c r="HH18" s="12" t="s">
        <v>21</v>
      </c>
      <c r="HI18" s="12" t="s">
        <v>22</v>
      </c>
      <c r="HJ18" s="12" t="s">
        <v>23</v>
      </c>
      <c r="HK18" s="12" t="s">
        <v>24</v>
      </c>
      <c r="HL18" s="10">
        <f>HB18+6</f>
        <v>108</v>
      </c>
      <c r="HM18" s="11" t="str">
        <f>"("&amp;ROUND(HL18*25.4/50,0)*50&amp;")"</f>
        <v>(2750)</v>
      </c>
      <c r="HN18" s="12" t="s">
        <v>17</v>
      </c>
      <c r="HO18" s="12" t="s">
        <v>18</v>
      </c>
      <c r="HP18" s="12" t="s">
        <v>19</v>
      </c>
      <c r="HQ18" s="12" t="s">
        <v>20</v>
      </c>
      <c r="HR18" s="12" t="s">
        <v>21</v>
      </c>
      <c r="HS18" s="12" t="s">
        <v>22</v>
      </c>
      <c r="HT18" s="12" t="s">
        <v>23</v>
      </c>
      <c r="HU18" s="12" t="s">
        <v>24</v>
      </c>
      <c r="HV18" s="10">
        <f>HL18+6</f>
        <v>114</v>
      </c>
      <c r="HW18" s="11" t="str">
        <f>"("&amp;ROUND(HV18*25.4/50,0)*50&amp;")"</f>
        <v>(2900)</v>
      </c>
      <c r="HX18" s="12" t="s">
        <v>17</v>
      </c>
      <c r="HY18" s="12" t="s">
        <v>18</v>
      </c>
      <c r="HZ18" s="12" t="s">
        <v>19</v>
      </c>
      <c r="IA18" s="12" t="s">
        <v>20</v>
      </c>
      <c r="IB18" s="12" t="s">
        <v>21</v>
      </c>
      <c r="IC18" s="12" t="s">
        <v>22</v>
      </c>
      <c r="ID18" s="12" t="s">
        <v>23</v>
      </c>
      <c r="IE18" s="12" t="s">
        <v>24</v>
      </c>
      <c r="IF18" s="10">
        <f>HV18+6</f>
        <v>120</v>
      </c>
      <c r="IG18" s="11" t="str">
        <f>"("&amp;ROUND(IF18*25.4/50,0)*50&amp;")"</f>
        <v>(3050)</v>
      </c>
      <c r="IH18" s="12" t="s">
        <v>17</v>
      </c>
      <c r="II18" s="12" t="s">
        <v>18</v>
      </c>
      <c r="IJ18" s="12" t="s">
        <v>19</v>
      </c>
      <c r="IK18" s="12" t="s">
        <v>20</v>
      </c>
      <c r="IL18" s="12" t="s">
        <v>21</v>
      </c>
      <c r="IM18" s="12" t="s">
        <v>22</v>
      </c>
      <c r="IN18" s="12" t="s">
        <v>23</v>
      </c>
      <c r="IO18" s="12" t="s">
        <v>24</v>
      </c>
      <c r="IP18" s="14"/>
      <c r="IQ18" s="15" t="s">
        <v>25</v>
      </c>
      <c r="IR18" s="15" t="s">
        <v>26</v>
      </c>
      <c r="IS18" s="15" t="s">
        <v>27</v>
      </c>
      <c r="IT18" s="15" t="s">
        <v>28</v>
      </c>
      <c r="IU18" s="15" t="s">
        <v>29</v>
      </c>
      <c r="IV18" s="15" t="s">
        <v>30</v>
      </c>
      <c r="IW18" s="15" t="s">
        <v>31</v>
      </c>
      <c r="IX18" s="7"/>
    </row>
    <row r="19" spans="2:258" ht="15.75" thickBot="1" x14ac:dyDescent="0.3">
      <c r="B19" s="258">
        <f>B18+6</f>
        <v>18</v>
      </c>
      <c r="C19" s="266">
        <v>4</v>
      </c>
      <c r="D19" s="265">
        <f t="shared" si="0"/>
        <v>0.2993425925925926</v>
      </c>
      <c r="E19" s="262">
        <f t="shared" si="1"/>
        <v>0.3469652777777778</v>
      </c>
      <c r="F19" s="262">
        <f t="shared" si="2"/>
        <v>0.39458796296296295</v>
      </c>
      <c r="G19" s="262">
        <f t="shared" si="3"/>
        <v>0.41839930555555555</v>
      </c>
      <c r="H19" s="262">
        <f t="shared" si="4"/>
        <v>0.4326861111111111</v>
      </c>
      <c r="I19" s="262">
        <f t="shared" si="5"/>
        <v>0.44221064814814814</v>
      </c>
      <c r="J19" s="262">
        <f t="shared" si="6"/>
        <v>0.44901388888888888</v>
      </c>
      <c r="K19" s="262">
        <f t="shared" si="7"/>
        <v>0.45411631944444442</v>
      </c>
      <c r="L19" s="262">
        <f t="shared" si="8"/>
        <v>0.44901388888888893</v>
      </c>
      <c r="M19" s="262">
        <f t="shared" si="9"/>
        <v>0.45309583333333331</v>
      </c>
      <c r="N19" s="262">
        <f t="shared" si="10"/>
        <v>0.45643560606060607</v>
      </c>
      <c r="O19" s="262">
        <f t="shared" si="11"/>
        <v>0.45836834490740741</v>
      </c>
      <c r="P19" s="262">
        <f t="shared" si="12"/>
        <v>0.46078872863247855</v>
      </c>
      <c r="Q19" s="262">
        <f t="shared" si="13"/>
        <v>0.46286334325396827</v>
      </c>
      <c r="R19" s="262">
        <f t="shared" si="14"/>
        <v>0.46466134259259262</v>
      </c>
      <c r="S19" s="262">
        <f t="shared" si="15"/>
        <v>0.46623459201388889</v>
      </c>
      <c r="T19" s="262">
        <f t="shared" si="16"/>
        <v>0.46762275326797387</v>
      </c>
      <c r="U19" s="262">
        <f t="shared" si="17"/>
        <v>0.45978568672839509</v>
      </c>
      <c r="V19" s="262">
        <f t="shared" si="18"/>
        <v>0.46136714181286553</v>
      </c>
      <c r="W19" s="262">
        <f t="shared" si="19"/>
        <v>0.46279045138888891</v>
      </c>
      <c r="X19" s="262"/>
      <c r="Y19" s="251"/>
      <c r="Z19" s="221"/>
      <c r="AA19" s="264"/>
      <c r="AB19" s="221"/>
      <c r="AC19" s="221"/>
      <c r="AD19" s="221"/>
      <c r="AE19" s="221"/>
      <c r="AF19" s="221"/>
      <c r="AG19" s="221"/>
      <c r="AH19" s="221"/>
      <c r="AI19" s="221"/>
      <c r="AJ19" s="221"/>
      <c r="AK19" s="221"/>
      <c r="AL19" s="221"/>
      <c r="AM19" s="221"/>
      <c r="AN19" s="221"/>
      <c r="AO19" s="221"/>
      <c r="AP19" s="221"/>
      <c r="AQ19" s="221"/>
      <c r="AT19" s="3"/>
      <c r="AU19" s="9"/>
      <c r="AV19" s="16"/>
      <c r="AW19" s="17"/>
      <c r="AX19" s="17"/>
      <c r="AY19" s="17"/>
      <c r="AZ19" s="11"/>
      <c r="BA19" s="11"/>
      <c r="BB19" s="11"/>
      <c r="BC19" s="11"/>
      <c r="BD19" s="11"/>
      <c r="BE19" s="11"/>
      <c r="BF19" s="11"/>
      <c r="BG19" s="11"/>
      <c r="BH19" s="10"/>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4"/>
      <c r="IQ19" s="15"/>
      <c r="IR19" s="15"/>
      <c r="IS19" s="15"/>
      <c r="IT19" s="15"/>
      <c r="IU19" s="15"/>
      <c r="IV19" s="15"/>
      <c r="IW19" s="15"/>
      <c r="IX19" s="7"/>
    </row>
    <row r="20" spans="2:258" ht="18" customHeight="1" thickBot="1" x14ac:dyDescent="0.3">
      <c r="B20" s="258">
        <f t="shared" ref="B20:B36" si="20">B19+6</f>
        <v>24</v>
      </c>
      <c r="C20" s="253">
        <v>5</v>
      </c>
      <c r="D20" s="265">
        <f t="shared" si="0"/>
        <v>0.32266666666666666</v>
      </c>
      <c r="E20" s="262">
        <f t="shared" si="1"/>
        <v>0.374</v>
      </c>
      <c r="F20" s="262">
        <f t="shared" si="2"/>
        <v>0.42533333333333334</v>
      </c>
      <c r="G20" s="262">
        <f t="shared" si="3"/>
        <v>0.45100000000000001</v>
      </c>
      <c r="H20" s="262">
        <f t="shared" si="4"/>
        <v>0.46639999999999998</v>
      </c>
      <c r="I20" s="262">
        <f t="shared" si="5"/>
        <v>0.47666666666666674</v>
      </c>
      <c r="J20" s="262">
        <f t="shared" si="6"/>
        <v>0.48399999999999999</v>
      </c>
      <c r="K20" s="262">
        <f t="shared" si="7"/>
        <v>0.48949999999999999</v>
      </c>
      <c r="L20" s="262">
        <f t="shared" si="8"/>
        <v>0.48399999999999999</v>
      </c>
      <c r="M20" s="262">
        <f t="shared" si="9"/>
        <v>0.48840000000000006</v>
      </c>
      <c r="N20" s="262">
        <f t="shared" si="10"/>
        <v>0.49200000000000005</v>
      </c>
      <c r="O20" s="262">
        <f t="shared" si="11"/>
        <v>0.49408333333333337</v>
      </c>
      <c r="P20" s="262">
        <f t="shared" si="12"/>
        <v>0.49669230769230766</v>
      </c>
      <c r="Q20" s="262">
        <f t="shared" si="13"/>
        <v>0.49892857142857144</v>
      </c>
      <c r="R20" s="262">
        <f t="shared" si="14"/>
        <v>0.50086666666666668</v>
      </c>
      <c r="S20" s="262">
        <f t="shared" si="15"/>
        <v>0.50256250000000002</v>
      </c>
      <c r="T20" s="262">
        <f t="shared" si="16"/>
        <v>0.50405882352941178</v>
      </c>
      <c r="U20" s="262">
        <f t="shared" si="17"/>
        <v>0.49561111111111106</v>
      </c>
      <c r="V20" s="262">
        <f t="shared" si="18"/>
        <v>0.49731578947368432</v>
      </c>
      <c r="W20" s="262">
        <f t="shared" si="19"/>
        <v>0.49885000000000002</v>
      </c>
      <c r="X20" s="262"/>
      <c r="Y20" s="251"/>
      <c r="Z20" s="221"/>
      <c r="AA20" s="264"/>
      <c r="AB20" s="221"/>
      <c r="AC20" s="221"/>
      <c r="AD20" s="221"/>
      <c r="AE20" s="221"/>
      <c r="AF20" s="221"/>
      <c r="AG20" s="221"/>
      <c r="AH20" s="221"/>
      <c r="AI20" s="221"/>
      <c r="AJ20" s="221"/>
      <c r="AK20" s="221"/>
      <c r="AL20" s="221"/>
      <c r="AM20" s="221"/>
      <c r="AN20" s="221"/>
      <c r="AO20" s="221"/>
      <c r="AP20" s="221"/>
      <c r="AQ20" s="221"/>
      <c r="AT20" s="3"/>
      <c r="AU20" s="145">
        <f>F12</f>
        <v>9.5</v>
      </c>
      <c r="AV20" s="11" t="str">
        <f t="shared" ref="AV20:AV39" si="21">"("&amp;ROUND(AU20*25.4/50,0)*50&amp;")"</f>
        <v>(250)</v>
      </c>
      <c r="AW20" s="146"/>
      <c r="AX20" s="19">
        <f t="shared" ref="AX20:AX39" si="22">($IR20+(($IQ20-1)*$IS20)+$IT20)*BG20/144</f>
        <v>0.11970138888888887</v>
      </c>
      <c r="AY20" s="20" t="str">
        <f t="shared" ref="AY20:AY39" si="23">"("&amp;FIXED(AX20*0.092903,2)&amp;")"</f>
        <v>(0.01)</v>
      </c>
      <c r="AZ20" s="21">
        <v>2</v>
      </c>
      <c r="BA20" s="21">
        <f t="shared" ref="BA20:BA39" si="24">$IU$21*AZ20</f>
        <v>3.5</v>
      </c>
      <c r="BB20" s="21">
        <v>0</v>
      </c>
      <c r="BC20" s="21">
        <f t="shared" ref="BC20:BC39" si="25">$IW$21*BB20</f>
        <v>0</v>
      </c>
      <c r="BD20" s="21">
        <v>0</v>
      </c>
      <c r="BE20" s="21">
        <f t="shared" ref="BE20:BE39" si="26">$IV$21*BD20</f>
        <v>0</v>
      </c>
      <c r="BF20" s="21">
        <f t="shared" ref="BF20:BF39" si="27">BA20+BC20+BE20</f>
        <v>3.5</v>
      </c>
      <c r="BG20" s="22">
        <f t="shared" ref="BG20:BG39" si="28">AX$18-BA20-BC20-BE20</f>
        <v>5.5</v>
      </c>
      <c r="BH20" s="19">
        <f t="shared" ref="BH20:BH39" si="29">($IR20+(($IQ20-1)*$IS20)+$IT20)*BQ20/144</f>
        <v>0.18499305555555556</v>
      </c>
      <c r="BI20" s="20" t="str">
        <f t="shared" ref="BI20:BI39" si="30">"("&amp;FIXED(BH20*0.092903,2)&amp;")"</f>
        <v>(0.02)</v>
      </c>
      <c r="BJ20" s="21">
        <v>2</v>
      </c>
      <c r="BK20" s="21">
        <f t="shared" ref="BK20:BK39" si="31">$IU$21*BJ20</f>
        <v>3.5</v>
      </c>
      <c r="BL20" s="21">
        <v>0</v>
      </c>
      <c r="BM20" s="21">
        <f t="shared" ref="BM20:BM39" si="32">$IW$21*BL20</f>
        <v>0</v>
      </c>
      <c r="BN20" s="21">
        <v>0</v>
      </c>
      <c r="BO20" s="21">
        <f t="shared" ref="BO20:BO39" si="33">$IV$21*BN20</f>
        <v>0</v>
      </c>
      <c r="BP20" s="21">
        <f t="shared" ref="BP20:BP39" si="34">BK20+BM20+BO20</f>
        <v>3.5</v>
      </c>
      <c r="BQ20" s="22">
        <f t="shared" ref="BQ20:BQ39" si="35">BH$18-BK20-BM20-BO20</f>
        <v>8.5</v>
      </c>
      <c r="BR20" s="19">
        <f t="shared" ref="BR20:BR39" si="36">($IR20+(($IQ20-1)*$IS20)+$IT20)*CA20/144</f>
        <v>0.31557638888888889</v>
      </c>
      <c r="BS20" s="20" t="str">
        <f t="shared" ref="BS20:BS39" si="37">"("&amp;ROUND(BR20*0.092903,2)&amp;")"</f>
        <v>(0.03)</v>
      </c>
      <c r="BT20" s="21">
        <v>2</v>
      </c>
      <c r="BU20" s="21">
        <f t="shared" ref="BU20:BU39" si="38">$IU$21*BT20</f>
        <v>3.5</v>
      </c>
      <c r="BV20" s="21">
        <v>0</v>
      </c>
      <c r="BW20" s="21">
        <f t="shared" ref="BW20:BW39" si="39">$IW$21*BV20</f>
        <v>0</v>
      </c>
      <c r="BX20" s="21">
        <v>0</v>
      </c>
      <c r="BY20" s="21">
        <f t="shared" ref="BY20:BY39" si="40">$IV$21*BX20</f>
        <v>0</v>
      </c>
      <c r="BZ20" s="21">
        <f t="shared" ref="BZ20:BZ39" si="41">BU20+BW20+BY20</f>
        <v>3.5</v>
      </c>
      <c r="CA20" s="22">
        <f t="shared" ref="CA20:CA39" si="42">BR$18-BU20-BW20-BY20</f>
        <v>14.5</v>
      </c>
      <c r="CB20" s="19">
        <f t="shared" ref="CB20:CB39" si="43">($IR20+(($IQ20-1)*$IS20)+$IT20)*CK20/144</f>
        <v>0.44615972222222222</v>
      </c>
      <c r="CC20" s="20" t="str">
        <f t="shared" ref="CC20:CC39" si="44">"("&amp;ROUND(CB20*0.092903,2)&amp;")"</f>
        <v>(0.04)</v>
      </c>
      <c r="CD20" s="21">
        <v>2</v>
      </c>
      <c r="CE20" s="21">
        <f t="shared" ref="CE20:CE39" si="45">$IU$21*CD20</f>
        <v>3.5</v>
      </c>
      <c r="CF20" s="21">
        <v>0</v>
      </c>
      <c r="CG20" s="21">
        <f t="shared" ref="CG20:CG39" si="46">$IW$21*CF20</f>
        <v>0</v>
      </c>
      <c r="CH20" s="21">
        <v>0</v>
      </c>
      <c r="CI20" s="21">
        <f t="shared" ref="CI20:CI39" si="47">$IV$21*CH20</f>
        <v>0</v>
      </c>
      <c r="CJ20" s="21">
        <f t="shared" ref="CJ20:CJ39" si="48">CE20+CG20+CI20</f>
        <v>3.5</v>
      </c>
      <c r="CK20" s="22">
        <f t="shared" ref="CK20:CK39" si="49">CB$18-CE20-CG20-CI20</f>
        <v>20.5</v>
      </c>
      <c r="CL20" s="19">
        <f t="shared" ref="CL20:CL39" si="50">($IR20+(($IQ20-1)*$IS20)+$IT20)*CU20/144</f>
        <v>0.57674305555555561</v>
      </c>
      <c r="CM20" s="20" t="str">
        <f t="shared" ref="CM20:CM39" si="51">"("&amp;ROUND(CL20*0.092903,2)&amp;")"</f>
        <v>(0.05)</v>
      </c>
      <c r="CN20" s="21">
        <v>2</v>
      </c>
      <c r="CO20" s="21">
        <f t="shared" ref="CO20:CO39" si="52">$IU$21*CN20</f>
        <v>3.5</v>
      </c>
      <c r="CP20" s="21">
        <v>0</v>
      </c>
      <c r="CQ20" s="21">
        <f t="shared" ref="CQ20:CQ39" si="53">$IW$21*CP20</f>
        <v>0</v>
      </c>
      <c r="CR20" s="21">
        <v>0</v>
      </c>
      <c r="CS20" s="21">
        <f t="shared" ref="CS20:CS39" si="54">$IV$21*CR20</f>
        <v>0</v>
      </c>
      <c r="CT20" s="21">
        <f t="shared" ref="CT20:CT39" si="55">CO20+CQ20+CS20</f>
        <v>3.5</v>
      </c>
      <c r="CU20" s="22">
        <f t="shared" ref="CU20:CU39" si="56">CL$18-CO20-CQ20-CS20</f>
        <v>26.5</v>
      </c>
      <c r="CV20" s="19">
        <f t="shared" ref="CV20:CV39" si="57">($IR20+(($IQ20-1)*$IS20)+$IT20)*DE20/144</f>
        <v>0.70732638888888877</v>
      </c>
      <c r="CW20" s="20" t="str">
        <f t="shared" ref="CW20:CW39" si="58">"("&amp;ROUND(CV20*0.092903,2)&amp;")"</f>
        <v>(0.07)</v>
      </c>
      <c r="CX20" s="21">
        <v>2</v>
      </c>
      <c r="CY20" s="21">
        <f t="shared" ref="CY20:CY39" si="59">$IU$21*CX20</f>
        <v>3.5</v>
      </c>
      <c r="CZ20" s="21">
        <v>0</v>
      </c>
      <c r="DA20" s="21">
        <f t="shared" ref="DA20:DA39" si="60">$IW$21*CZ20</f>
        <v>0</v>
      </c>
      <c r="DB20" s="21">
        <v>0</v>
      </c>
      <c r="DC20" s="21">
        <f t="shared" ref="DC20:DC39" si="61">$IV$21*DB20</f>
        <v>0</v>
      </c>
      <c r="DD20" s="21">
        <f t="shared" ref="DD20:DD39" si="62">CY20+DA20+DC20</f>
        <v>3.5</v>
      </c>
      <c r="DE20" s="22">
        <f t="shared" ref="DE20:DE39" si="63">CV$18-CY20-DA20-DC20</f>
        <v>32.5</v>
      </c>
      <c r="DF20" s="19">
        <f t="shared" ref="DF20:DF39" si="64">($IR20+(($IQ20-1)*$IS20)+$IT20)*DO20/144</f>
        <v>0.83790972222222215</v>
      </c>
      <c r="DG20" s="20" t="str">
        <f t="shared" ref="DG20:DG39" si="65">"("&amp;ROUND(DF20*0.092903,2)&amp;")"</f>
        <v>(0.08)</v>
      </c>
      <c r="DH20" s="21">
        <v>2</v>
      </c>
      <c r="DI20" s="21">
        <f t="shared" ref="DI20:DI39" si="66">$IU$21*DH20</f>
        <v>3.5</v>
      </c>
      <c r="DJ20" s="21">
        <v>0</v>
      </c>
      <c r="DK20" s="21">
        <f t="shared" ref="DK20:DK39" si="67">$IW$21*DJ20</f>
        <v>0</v>
      </c>
      <c r="DL20" s="21">
        <v>0</v>
      </c>
      <c r="DM20" s="21">
        <f t="shared" ref="DM20:DM39" si="68">$IV$21*DL20</f>
        <v>0</v>
      </c>
      <c r="DN20" s="21">
        <f t="shared" ref="DN20:DN39" si="69">DI20+DK20+DM20</f>
        <v>3.5</v>
      </c>
      <c r="DO20" s="22">
        <f t="shared" ref="DO20:DO39" si="70">DF$18-DI20-DK20-DM20</f>
        <v>38.5</v>
      </c>
      <c r="DP20" s="19">
        <f t="shared" ref="DP20:DP39" si="71">($IR20+(($IQ20-1)*$IS20)+$IT20)*DY20/144</f>
        <v>0.96849305555555554</v>
      </c>
      <c r="DQ20" s="20" t="str">
        <f t="shared" ref="DQ20:DQ39" si="72">"("&amp;ROUND(DP20*0.092903,2)&amp;")"</f>
        <v>(0.09)</v>
      </c>
      <c r="DR20" s="21">
        <v>2</v>
      </c>
      <c r="DS20" s="21">
        <f t="shared" ref="DS20:DS39" si="73">$IU$21*DR20</f>
        <v>3.5</v>
      </c>
      <c r="DT20" s="21">
        <v>0</v>
      </c>
      <c r="DU20" s="21">
        <f t="shared" ref="DU20:DU39" si="74">$IW$21*DT20</f>
        <v>0</v>
      </c>
      <c r="DV20" s="21">
        <v>0</v>
      </c>
      <c r="DW20" s="21">
        <f t="shared" ref="DW20:DW39" si="75">$IV$21*DV20</f>
        <v>0</v>
      </c>
      <c r="DX20" s="21">
        <f t="shared" ref="DX20:DX39" si="76">DS20+DU20+DW20</f>
        <v>3.5</v>
      </c>
      <c r="DY20" s="22">
        <f t="shared" ref="DY20:DY39" si="77">DP$18-DS20-DU20-DW20</f>
        <v>44.5</v>
      </c>
      <c r="DZ20" s="19">
        <f t="shared" ref="DZ20:DZ39" si="78">($IR20+(($IQ20-1)*$IS20)+$IT20)*EI20/144</f>
        <v>1.0773124999999999</v>
      </c>
      <c r="EA20" s="20" t="str">
        <f t="shared" ref="EA20:EA39" si="79">"("&amp;FIXED(DZ20*0.092903,2)&amp;")"</f>
        <v>(0.10)</v>
      </c>
      <c r="EB20" s="21">
        <v>2</v>
      </c>
      <c r="EC20" s="21">
        <f t="shared" ref="EC20:EC39" si="80">$IU$21*EB20</f>
        <v>3.5</v>
      </c>
      <c r="ED20" s="21">
        <v>0</v>
      </c>
      <c r="EE20" s="21">
        <f t="shared" ref="EE20:EE39" si="81">$IW$21*ED20</f>
        <v>0</v>
      </c>
      <c r="EF20" s="21">
        <v>1</v>
      </c>
      <c r="EG20" s="21">
        <f t="shared" ref="EG20:EG39" si="82">$IV$21*EF20</f>
        <v>1</v>
      </c>
      <c r="EH20" s="21">
        <f t="shared" ref="EH20:EH39" si="83">EC20+EE20+EG20</f>
        <v>4.5</v>
      </c>
      <c r="EI20" s="22">
        <f t="shared" ref="EI20:EI39" si="84">DZ$18-EC20-EE20-EG20</f>
        <v>49.5</v>
      </c>
      <c r="EJ20" s="19">
        <f t="shared" ref="EJ20:EJ39" si="85">($IR20+(($IQ20-1)*$IS20)+$IT20)*ES20/144</f>
        <v>1.2078958333333332</v>
      </c>
      <c r="EK20" s="20" t="str">
        <f t="shared" ref="EK20:EK39" si="86">"("&amp;FIXED(EJ20*0.092903,2)&amp;")"</f>
        <v>(0.11)</v>
      </c>
      <c r="EL20" s="21">
        <v>2</v>
      </c>
      <c r="EM20" s="21">
        <f t="shared" ref="EM20:EM39" si="87">$IU$21*EL20</f>
        <v>3.5</v>
      </c>
      <c r="EN20" s="21">
        <v>0</v>
      </c>
      <c r="EO20" s="21">
        <f t="shared" ref="EO20:EO39" si="88">$IW$21*EN20</f>
        <v>0</v>
      </c>
      <c r="EP20" s="21">
        <v>1</v>
      </c>
      <c r="EQ20" s="21">
        <f t="shared" ref="EQ20:EQ39" si="89">$IV$21*EP20</f>
        <v>1</v>
      </c>
      <c r="ER20" s="21">
        <f t="shared" ref="ER20:ER39" si="90">EM20+EO20+EQ20</f>
        <v>4.5</v>
      </c>
      <c r="ES20" s="22">
        <f t="shared" ref="ES20:ES39" si="91">EJ$18-EM20-EO20-EQ20</f>
        <v>55.5</v>
      </c>
      <c r="ET20" s="19">
        <f t="shared" ref="ET20:ET39" si="92">($IR20+(($IQ20-1)*$IS20)+$IT20)*FC20/144</f>
        <v>1.3384791666666667</v>
      </c>
      <c r="EU20" s="20" t="str">
        <f t="shared" ref="EU20:EU39" si="93">"("&amp;FIXED(ET20*0.092903,2)&amp;")"</f>
        <v>(0.12)</v>
      </c>
      <c r="EV20" s="21">
        <v>2</v>
      </c>
      <c r="EW20" s="21">
        <f t="shared" ref="EW20:EW39" si="94">$IU$21*EV20</f>
        <v>3.5</v>
      </c>
      <c r="EX20" s="21">
        <v>0</v>
      </c>
      <c r="EY20" s="21">
        <f t="shared" ref="EY20:EY39" si="95">$IW$21*EX20</f>
        <v>0</v>
      </c>
      <c r="EZ20" s="21">
        <v>1</v>
      </c>
      <c r="FA20" s="21">
        <f t="shared" ref="FA20:FA39" si="96">$IV$21*EZ20</f>
        <v>1</v>
      </c>
      <c r="FB20" s="21">
        <f t="shared" ref="FB20:FB39" si="97">EW20+EY20+FA20</f>
        <v>4.5</v>
      </c>
      <c r="FC20" s="22">
        <f t="shared" ref="FC20:FC39" si="98">ET$18-EW20-EY20-FA20</f>
        <v>61.5</v>
      </c>
      <c r="FD20" s="19">
        <f t="shared" ref="FD20:FD39" si="99">($IR20+(($IQ20-1)*$IS20)+$IT20)*FM20/144</f>
        <v>1.4663420138888887</v>
      </c>
      <c r="FE20" s="20" t="str">
        <f t="shared" ref="FE20:FE39" si="100">"("&amp;FIXED(FD20*0.092903,2)&amp;")"</f>
        <v>(0.14)</v>
      </c>
      <c r="FF20" s="21">
        <v>2</v>
      </c>
      <c r="FG20" s="21">
        <f t="shared" ref="FG20:FG39" si="101">$IU$21*FF20</f>
        <v>3.5</v>
      </c>
      <c r="FH20" s="21">
        <v>1</v>
      </c>
      <c r="FI20" s="21">
        <f t="shared" ref="FI20:FI39" si="102">$IW$21*FH20</f>
        <v>1.125</v>
      </c>
      <c r="FJ20" s="21">
        <v>0</v>
      </c>
      <c r="FK20" s="21">
        <f t="shared" ref="FK20:FK39" si="103">$IV$21*FJ20</f>
        <v>0</v>
      </c>
      <c r="FL20" s="21">
        <f t="shared" ref="FL20:FL39" si="104">FG20+FI20+FK20</f>
        <v>4.625</v>
      </c>
      <c r="FM20" s="22">
        <f t="shared" ref="FM20:FM39" si="105">FD$18-FG20-FI20-FK20</f>
        <v>67.375</v>
      </c>
      <c r="FN20" s="19">
        <f t="shared" ref="FN20:FN31" si="106">($IR20+(($IQ20-1)*$IS20)+$IT20)*FW20/144</f>
        <v>1.5969253472222222</v>
      </c>
      <c r="FO20" s="20" t="str">
        <f t="shared" ref="FO20:FO31" si="107">"("&amp;FIXED(FN20*0.092903,2)&amp;")"</f>
        <v>(0.15)</v>
      </c>
      <c r="FP20" s="21">
        <v>2</v>
      </c>
      <c r="FQ20" s="21">
        <f t="shared" ref="FQ20:FQ31" si="108">$IU$21*FP20</f>
        <v>3.5</v>
      </c>
      <c r="FR20" s="21">
        <v>1</v>
      </c>
      <c r="FS20" s="21">
        <f t="shared" ref="FS20:FS31" si="109">$IW$21*FR20</f>
        <v>1.125</v>
      </c>
      <c r="FT20" s="21">
        <v>0</v>
      </c>
      <c r="FU20" s="21">
        <f t="shared" ref="FU20:FU31" si="110">$IV$21*FT20</f>
        <v>0</v>
      </c>
      <c r="FV20" s="21">
        <f t="shared" ref="FV20:FV31" si="111">FQ20+FS20+FU20</f>
        <v>4.625</v>
      </c>
      <c r="FW20" s="22">
        <f t="shared" ref="FW20:FW31" si="112">FN$18-FQ20-FS20-FU20</f>
        <v>73.375</v>
      </c>
      <c r="FX20" s="19">
        <f t="shared" ref="FX20:FX31" si="113">($IR20+(($IQ20-1)*$IS20)+$IT20)*GG20/144</f>
        <v>1.7275086805555555</v>
      </c>
      <c r="FY20" s="20" t="str">
        <f t="shared" ref="FY20:FY31" si="114">"("&amp;FIXED(FX20*0.092903,2)&amp;")"</f>
        <v>(0.16)</v>
      </c>
      <c r="FZ20" s="21">
        <v>2</v>
      </c>
      <c r="GA20" s="21">
        <f t="shared" ref="GA20:GA31" si="115">$IU$21*FZ20</f>
        <v>3.5</v>
      </c>
      <c r="GB20" s="21">
        <v>1</v>
      </c>
      <c r="GC20" s="21">
        <f t="shared" ref="GC20:GC31" si="116">$IW$21*GB20</f>
        <v>1.125</v>
      </c>
      <c r="GD20" s="21">
        <v>0</v>
      </c>
      <c r="GE20" s="21">
        <f t="shared" ref="GE20:GE31" si="117">$IV$21*GD20</f>
        <v>0</v>
      </c>
      <c r="GF20" s="21">
        <f t="shared" ref="GF20:GF31" si="118">GA20+GC20+GE20</f>
        <v>4.625</v>
      </c>
      <c r="GG20" s="22">
        <f t="shared" ref="GG20:GG31" si="119">FX$18-GA20-GC20-GE20</f>
        <v>79.375</v>
      </c>
      <c r="GH20" s="19">
        <f t="shared" ref="GH20:GH31" si="120">($IR20+(($IQ20-1)*$IS20)+$IT20)*GQ20/144</f>
        <v>1.8580920138888888</v>
      </c>
      <c r="GI20" s="20" t="str">
        <f t="shared" ref="GI20:GI31" si="121">"("&amp;FIXED(GH20*0.092903,2)&amp;")"</f>
        <v>(0.17)</v>
      </c>
      <c r="GJ20" s="21">
        <v>2</v>
      </c>
      <c r="GK20" s="21">
        <f t="shared" ref="GK20:GK31" si="122">$IU$21*GJ20</f>
        <v>3.5</v>
      </c>
      <c r="GL20" s="21">
        <v>1</v>
      </c>
      <c r="GM20" s="21">
        <f t="shared" ref="GM20:GM31" si="123">$IW$21*GL20</f>
        <v>1.125</v>
      </c>
      <c r="GN20" s="21">
        <v>0</v>
      </c>
      <c r="GO20" s="21">
        <f t="shared" ref="GO20:GO31" si="124">$IV$21*GN20</f>
        <v>0</v>
      </c>
      <c r="GP20" s="21">
        <f t="shared" ref="GP20:GP31" si="125">GK20+GM20+GO20</f>
        <v>4.625</v>
      </c>
      <c r="GQ20" s="22">
        <f t="shared" ref="GQ20:GQ31" si="126">GH$18-GK20-GM20-GO20</f>
        <v>85.375</v>
      </c>
      <c r="GR20" s="19">
        <f t="shared" ref="GR20:GR31" si="127">($IR20+(($IQ20-1)*$IS20)+$IT20)*HA20/144</f>
        <v>1.9886753472222221</v>
      </c>
      <c r="GS20" s="20" t="str">
        <f t="shared" ref="GS20:GS31" si="128">"("&amp;FIXED(GR20*0.092903,2)&amp;")"</f>
        <v>(0.18)</v>
      </c>
      <c r="GT20" s="21">
        <v>2</v>
      </c>
      <c r="GU20" s="21">
        <f t="shared" ref="GU20:GU31" si="129">$IU$21*GT20</f>
        <v>3.5</v>
      </c>
      <c r="GV20" s="21">
        <v>1</v>
      </c>
      <c r="GW20" s="21">
        <f t="shared" ref="GW20:GW31" si="130">$IW$21*GV20</f>
        <v>1.125</v>
      </c>
      <c r="GX20" s="21">
        <v>0</v>
      </c>
      <c r="GY20" s="21">
        <f t="shared" ref="GY20:GY31" si="131">$IV$21*GX20</f>
        <v>0</v>
      </c>
      <c r="GZ20" s="21">
        <f t="shared" ref="GZ20:GZ31" si="132">GU20+GW20+GY20</f>
        <v>4.625</v>
      </c>
      <c r="HA20" s="22">
        <f t="shared" ref="HA20:HA31" si="133">GR$18-GU20-GW20-GY20</f>
        <v>91.375</v>
      </c>
      <c r="HB20" s="19">
        <f t="shared" ref="HB20:HB31" si="134">($IR20+(($IQ20-1)*$IS20)+$IT20)*HK20/144</f>
        <v>2.1192586805555553</v>
      </c>
      <c r="HC20" s="20" t="str">
        <f t="shared" ref="HC20:HC31" si="135">"("&amp;FIXED(HB20*0.092903,2)&amp;")"</f>
        <v>(0.20)</v>
      </c>
      <c r="HD20" s="21">
        <v>2</v>
      </c>
      <c r="HE20" s="21">
        <f t="shared" ref="HE20:HE31" si="136">$IU$21*HD20</f>
        <v>3.5</v>
      </c>
      <c r="HF20" s="21">
        <v>1</v>
      </c>
      <c r="HG20" s="21">
        <f t="shared" ref="HG20:HG31" si="137">$IW$21*HF20</f>
        <v>1.125</v>
      </c>
      <c r="HH20" s="21">
        <v>0</v>
      </c>
      <c r="HI20" s="21">
        <f t="shared" ref="HI20:HI31" si="138">$IV$21*HH20</f>
        <v>0</v>
      </c>
      <c r="HJ20" s="21">
        <f t="shared" ref="HJ20:HJ31" si="139">HE20+HG20+HI20</f>
        <v>4.625</v>
      </c>
      <c r="HK20" s="22">
        <f t="shared" ref="HK20:HK31" si="140">HB$18-HE20-HG20-HI20</f>
        <v>97.375</v>
      </c>
      <c r="HL20" s="19">
        <f t="shared" ref="HL20:HL31" si="141">($IR20+(($IQ20-1)*$IS20)+$IT20)*HU20/144</f>
        <v>2.206314236111111</v>
      </c>
      <c r="HM20" s="20" t="str">
        <f t="shared" ref="HM20:HM31" si="142">"("&amp;FIXED(HL20*0.092903,2)&amp;")"</f>
        <v>(0.20)</v>
      </c>
      <c r="HN20" s="21">
        <v>2</v>
      </c>
      <c r="HO20" s="21">
        <f t="shared" ref="HO20:HO31" si="143">$IU$21*HN20</f>
        <v>3.5</v>
      </c>
      <c r="HP20" s="21">
        <v>1</v>
      </c>
      <c r="HQ20" s="21">
        <f t="shared" ref="HQ20:HQ31" si="144">$IW$21*HP20</f>
        <v>1.125</v>
      </c>
      <c r="HR20" s="21">
        <v>2</v>
      </c>
      <c r="HS20" s="21">
        <f t="shared" ref="HS20:HS31" si="145">$IV$21*HR20</f>
        <v>2</v>
      </c>
      <c r="HT20" s="21">
        <f t="shared" ref="HT20:HT31" si="146">HO20+HQ20+HS20</f>
        <v>6.625</v>
      </c>
      <c r="HU20" s="22">
        <f t="shared" ref="HU20:HU31" si="147">HL$18-HO20-HQ20-HS20</f>
        <v>101.375</v>
      </c>
      <c r="HV20" s="19">
        <f t="shared" ref="HV20:HV31" si="148">($IR20+(($IQ20-1)*$IS20)+$IT20)*IE20/144</f>
        <v>2.336897569444444</v>
      </c>
      <c r="HW20" s="20" t="str">
        <f t="shared" ref="HW20:HW31" si="149">"("&amp;FIXED(HV20*0.092903,2)&amp;")"</f>
        <v>(0.22)</v>
      </c>
      <c r="HX20" s="21">
        <v>2</v>
      </c>
      <c r="HY20" s="21">
        <f t="shared" ref="HY20:HY31" si="150">$IU$21*HX20</f>
        <v>3.5</v>
      </c>
      <c r="HZ20" s="21">
        <v>1</v>
      </c>
      <c r="IA20" s="21">
        <f t="shared" ref="IA20:IA31" si="151">$IW$21*HZ20</f>
        <v>1.125</v>
      </c>
      <c r="IB20" s="21">
        <v>2</v>
      </c>
      <c r="IC20" s="21">
        <f t="shared" ref="IC20:IC31" si="152">$IV$21*IB20</f>
        <v>2</v>
      </c>
      <c r="ID20" s="21">
        <f t="shared" ref="ID20:ID31" si="153">HY20+IA20+IC20</f>
        <v>6.625</v>
      </c>
      <c r="IE20" s="22">
        <f t="shared" ref="IE20:IE31" si="154">HV$18-HY20-IA20-IC20</f>
        <v>107.375</v>
      </c>
      <c r="IF20" s="19">
        <f t="shared" ref="IF20:IF31" si="155">($IR20+(($IQ20-1)*$IS20)+$IT20)*IO20/144</f>
        <v>2.467480902777778</v>
      </c>
      <c r="IG20" s="20" t="str">
        <f t="shared" ref="IG20:IG31" si="156">"("&amp;FIXED(IF20*0.092903,2)&amp;")"</f>
        <v>(0.23)</v>
      </c>
      <c r="IH20" s="21">
        <v>2</v>
      </c>
      <c r="II20" s="21">
        <f t="shared" ref="II20:II31" si="157">$IU$21*IH20</f>
        <v>3.5</v>
      </c>
      <c r="IJ20" s="21">
        <v>1</v>
      </c>
      <c r="IK20" s="21">
        <f t="shared" ref="IK20:IK31" si="158">$IW$21*IJ20</f>
        <v>1.125</v>
      </c>
      <c r="IL20" s="21">
        <v>2</v>
      </c>
      <c r="IM20" s="21">
        <f t="shared" ref="IM20:IM31" si="159">$IV$21*IL20</f>
        <v>2</v>
      </c>
      <c r="IN20" s="21">
        <f t="shared" ref="IN20:IN31" si="160">II20+IK20+IM20</f>
        <v>6.625</v>
      </c>
      <c r="IO20" s="22">
        <f t="shared" ref="IO20:IO31" si="161">IF$18-II20-IK20-IM20</f>
        <v>113.375</v>
      </c>
      <c r="IP20" s="14"/>
      <c r="IQ20" s="409">
        <v>1</v>
      </c>
      <c r="IR20" s="410">
        <v>2.645</v>
      </c>
      <c r="IS20" s="410">
        <v>2.645</v>
      </c>
      <c r="IT20" s="410">
        <v>0.48899999999999999</v>
      </c>
      <c r="IU20" s="410">
        <v>1.75</v>
      </c>
      <c r="IV20" s="410">
        <v>1</v>
      </c>
      <c r="IW20" s="410">
        <v>1.125</v>
      </c>
      <c r="IX20" s="7"/>
    </row>
    <row r="21" spans="2:258" ht="15.75" thickBot="1" x14ac:dyDescent="0.3">
      <c r="B21" s="258">
        <f t="shared" si="20"/>
        <v>30</v>
      </c>
      <c r="C21" s="266">
        <v>6</v>
      </c>
      <c r="D21" s="265">
        <f t="shared" si="0"/>
        <v>0.34124444444444441</v>
      </c>
      <c r="E21" s="262">
        <f t="shared" si="1"/>
        <v>0.39553333333333335</v>
      </c>
      <c r="F21" s="262">
        <f t="shared" si="2"/>
        <v>0.44982222222222223</v>
      </c>
      <c r="G21" s="262">
        <f t="shared" si="3"/>
        <v>0.47696666666666665</v>
      </c>
      <c r="H21" s="262">
        <f t="shared" si="4"/>
        <v>0.49325333333333332</v>
      </c>
      <c r="I21" s="262">
        <f t="shared" si="5"/>
        <v>0.50411111111111107</v>
      </c>
      <c r="J21" s="262">
        <f t="shared" si="6"/>
        <v>0.51186666666666669</v>
      </c>
      <c r="K21" s="262">
        <f t="shared" si="7"/>
        <v>0.51768333333333327</v>
      </c>
      <c r="L21" s="262">
        <f t="shared" si="8"/>
        <v>0.51186666666666669</v>
      </c>
      <c r="M21" s="262">
        <f t="shared" si="9"/>
        <v>0.51651999999999998</v>
      </c>
      <c r="N21" s="262">
        <f t="shared" si="10"/>
        <v>0.52032727272727264</v>
      </c>
      <c r="O21" s="262">
        <f t="shared" si="11"/>
        <v>0.5225305555555555</v>
      </c>
      <c r="P21" s="262">
        <f t="shared" si="12"/>
        <v>0.52528974358974356</v>
      </c>
      <c r="Q21" s="262">
        <f t="shared" si="13"/>
        <v>0.52765476190476179</v>
      </c>
      <c r="R21" s="262">
        <f t="shared" si="14"/>
        <v>0.52970444444444453</v>
      </c>
      <c r="S21" s="262">
        <f t="shared" si="15"/>
        <v>0.53149791666666668</v>
      </c>
      <c r="T21" s="262">
        <f t="shared" si="16"/>
        <v>0.53308039215686276</v>
      </c>
      <c r="U21" s="262">
        <f t="shared" si="17"/>
        <v>0.52414629629629628</v>
      </c>
      <c r="V21" s="262">
        <f t="shared" si="18"/>
        <v>0.52594912280701744</v>
      </c>
      <c r="W21" s="262">
        <f t="shared" si="19"/>
        <v>0.52757166666666666</v>
      </c>
      <c r="X21" s="262"/>
      <c r="Y21" s="251"/>
      <c r="Z21" s="221"/>
      <c r="AA21" s="264"/>
      <c r="AB21" s="221"/>
      <c r="AC21" s="221"/>
      <c r="AD21" s="221"/>
      <c r="AE21" s="221"/>
      <c r="AF21" s="221"/>
      <c r="AG21" s="221"/>
      <c r="AH21" s="221"/>
      <c r="AI21" s="221"/>
      <c r="AJ21" s="221"/>
      <c r="AK21" s="221"/>
      <c r="AL21" s="221"/>
      <c r="AM21" s="221"/>
      <c r="AN21" s="221"/>
      <c r="AO21" s="221"/>
      <c r="AP21" s="221"/>
      <c r="AQ21" s="221"/>
      <c r="AT21" s="3"/>
      <c r="AU21" s="13">
        <v>12</v>
      </c>
      <c r="AV21" s="11" t="str">
        <f t="shared" si="21"/>
        <v>(300)</v>
      </c>
      <c r="AW21" s="18"/>
      <c r="AX21" s="19">
        <f t="shared" si="22"/>
        <v>0.18092708333333332</v>
      </c>
      <c r="AY21" s="20" t="str">
        <f t="shared" si="23"/>
        <v>(0.02)</v>
      </c>
      <c r="AZ21" s="21">
        <v>2</v>
      </c>
      <c r="BA21" s="21">
        <f t="shared" si="24"/>
        <v>3.5</v>
      </c>
      <c r="BB21" s="21">
        <v>0</v>
      </c>
      <c r="BC21" s="21">
        <f t="shared" si="25"/>
        <v>0</v>
      </c>
      <c r="BD21" s="21">
        <v>0</v>
      </c>
      <c r="BE21" s="21">
        <f t="shared" si="26"/>
        <v>0</v>
      </c>
      <c r="BF21" s="21">
        <f t="shared" si="27"/>
        <v>3.5</v>
      </c>
      <c r="BG21" s="22">
        <f t="shared" si="28"/>
        <v>5.5</v>
      </c>
      <c r="BH21" s="205">
        <f t="shared" si="29"/>
        <v>0.27961458333333333</v>
      </c>
      <c r="BI21" s="206" t="str">
        <f t="shared" si="30"/>
        <v>(0.03)</v>
      </c>
      <c r="BJ21" s="207">
        <v>2</v>
      </c>
      <c r="BK21" s="207">
        <f t="shared" si="31"/>
        <v>3.5</v>
      </c>
      <c r="BL21" s="207">
        <v>0</v>
      </c>
      <c r="BM21" s="207">
        <f t="shared" si="32"/>
        <v>0</v>
      </c>
      <c r="BN21" s="207">
        <v>0</v>
      </c>
      <c r="BO21" s="207">
        <f t="shared" si="33"/>
        <v>0</v>
      </c>
      <c r="BP21" s="207">
        <f t="shared" si="34"/>
        <v>3.5</v>
      </c>
      <c r="BQ21" s="208">
        <f t="shared" si="35"/>
        <v>8.5</v>
      </c>
      <c r="BR21" s="205">
        <f t="shared" si="36"/>
        <v>0.4769895833333333</v>
      </c>
      <c r="BS21" s="206" t="str">
        <f t="shared" si="37"/>
        <v>(0.04)</v>
      </c>
      <c r="BT21" s="207">
        <v>2</v>
      </c>
      <c r="BU21" s="207">
        <f t="shared" si="38"/>
        <v>3.5</v>
      </c>
      <c r="BV21" s="207">
        <v>0</v>
      </c>
      <c r="BW21" s="207">
        <f t="shared" si="39"/>
        <v>0</v>
      </c>
      <c r="BX21" s="207">
        <v>0</v>
      </c>
      <c r="BY21" s="207">
        <f t="shared" si="40"/>
        <v>0</v>
      </c>
      <c r="BZ21" s="207">
        <f t="shared" si="41"/>
        <v>3.5</v>
      </c>
      <c r="CA21" s="208">
        <f t="shared" si="42"/>
        <v>14.5</v>
      </c>
      <c r="CB21" s="205">
        <f t="shared" si="43"/>
        <v>0.67436458333333338</v>
      </c>
      <c r="CC21" s="206" t="str">
        <f t="shared" si="44"/>
        <v>(0.06)</v>
      </c>
      <c r="CD21" s="207">
        <v>2</v>
      </c>
      <c r="CE21" s="207">
        <f t="shared" si="45"/>
        <v>3.5</v>
      </c>
      <c r="CF21" s="207">
        <v>0</v>
      </c>
      <c r="CG21" s="207">
        <f t="shared" si="46"/>
        <v>0</v>
      </c>
      <c r="CH21" s="207">
        <v>0</v>
      </c>
      <c r="CI21" s="207">
        <f t="shared" si="47"/>
        <v>0</v>
      </c>
      <c r="CJ21" s="207">
        <f t="shared" si="48"/>
        <v>3.5</v>
      </c>
      <c r="CK21" s="208">
        <f t="shared" si="49"/>
        <v>20.5</v>
      </c>
      <c r="CL21" s="205">
        <f t="shared" si="50"/>
        <v>0.87173958333333335</v>
      </c>
      <c r="CM21" s="206" t="str">
        <f t="shared" si="51"/>
        <v>(0.08)</v>
      </c>
      <c r="CN21" s="207">
        <v>2</v>
      </c>
      <c r="CO21" s="207">
        <f t="shared" si="52"/>
        <v>3.5</v>
      </c>
      <c r="CP21" s="207">
        <v>0</v>
      </c>
      <c r="CQ21" s="207">
        <f t="shared" si="53"/>
        <v>0</v>
      </c>
      <c r="CR21" s="207">
        <v>0</v>
      </c>
      <c r="CS21" s="207">
        <f t="shared" si="54"/>
        <v>0</v>
      </c>
      <c r="CT21" s="207">
        <f t="shared" si="55"/>
        <v>3.5</v>
      </c>
      <c r="CU21" s="208">
        <f t="shared" si="56"/>
        <v>26.5</v>
      </c>
      <c r="CV21" s="205">
        <f t="shared" si="57"/>
        <v>1.0691145833333335</v>
      </c>
      <c r="CW21" s="206" t="str">
        <f t="shared" si="58"/>
        <v>(0.1)</v>
      </c>
      <c r="CX21" s="207">
        <v>2</v>
      </c>
      <c r="CY21" s="207">
        <f t="shared" si="59"/>
        <v>3.5</v>
      </c>
      <c r="CZ21" s="207">
        <v>0</v>
      </c>
      <c r="DA21" s="207">
        <f t="shared" si="60"/>
        <v>0</v>
      </c>
      <c r="DB21" s="207">
        <v>0</v>
      </c>
      <c r="DC21" s="207">
        <f t="shared" si="61"/>
        <v>0</v>
      </c>
      <c r="DD21" s="207">
        <f t="shared" si="62"/>
        <v>3.5</v>
      </c>
      <c r="DE21" s="208">
        <f t="shared" si="63"/>
        <v>32.5</v>
      </c>
      <c r="DF21" s="205">
        <f t="shared" si="64"/>
        <v>1.2664895833333334</v>
      </c>
      <c r="DG21" s="206" t="str">
        <f t="shared" si="65"/>
        <v>(0.12)</v>
      </c>
      <c r="DH21" s="207">
        <v>2</v>
      </c>
      <c r="DI21" s="207">
        <f t="shared" si="66"/>
        <v>3.5</v>
      </c>
      <c r="DJ21" s="207">
        <v>0</v>
      </c>
      <c r="DK21" s="207">
        <f t="shared" si="67"/>
        <v>0</v>
      </c>
      <c r="DL21" s="207">
        <v>0</v>
      </c>
      <c r="DM21" s="207">
        <f t="shared" si="68"/>
        <v>0</v>
      </c>
      <c r="DN21" s="207">
        <f t="shared" si="69"/>
        <v>3.5</v>
      </c>
      <c r="DO21" s="208">
        <f t="shared" si="70"/>
        <v>38.5</v>
      </c>
      <c r="DP21" s="205">
        <f t="shared" si="71"/>
        <v>1.4638645833333335</v>
      </c>
      <c r="DQ21" s="206" t="str">
        <f t="shared" si="72"/>
        <v>(0.14)</v>
      </c>
      <c r="DR21" s="207">
        <v>2</v>
      </c>
      <c r="DS21" s="207">
        <f t="shared" si="73"/>
        <v>3.5</v>
      </c>
      <c r="DT21" s="207">
        <v>0</v>
      </c>
      <c r="DU21" s="207">
        <f t="shared" si="74"/>
        <v>0</v>
      </c>
      <c r="DV21" s="207">
        <v>0</v>
      </c>
      <c r="DW21" s="207">
        <f t="shared" si="75"/>
        <v>0</v>
      </c>
      <c r="DX21" s="207">
        <f t="shared" si="76"/>
        <v>3.5</v>
      </c>
      <c r="DY21" s="208">
        <f t="shared" si="77"/>
        <v>44.5</v>
      </c>
      <c r="DZ21" s="205">
        <f t="shared" si="78"/>
        <v>1.62834375</v>
      </c>
      <c r="EA21" s="206" t="str">
        <f t="shared" si="79"/>
        <v>(0.15)</v>
      </c>
      <c r="EB21" s="207">
        <v>2</v>
      </c>
      <c r="EC21" s="207">
        <f t="shared" si="80"/>
        <v>3.5</v>
      </c>
      <c r="ED21" s="207">
        <v>0</v>
      </c>
      <c r="EE21" s="207">
        <f t="shared" si="81"/>
        <v>0</v>
      </c>
      <c r="EF21" s="207">
        <v>1</v>
      </c>
      <c r="EG21" s="207">
        <f t="shared" si="82"/>
        <v>1</v>
      </c>
      <c r="EH21" s="207">
        <f t="shared" si="83"/>
        <v>4.5</v>
      </c>
      <c r="EI21" s="208">
        <f t="shared" si="84"/>
        <v>49.5</v>
      </c>
      <c r="EJ21" s="205">
        <f t="shared" si="85"/>
        <v>1.8257187500000001</v>
      </c>
      <c r="EK21" s="206" t="str">
        <f t="shared" si="86"/>
        <v>(0.17)</v>
      </c>
      <c r="EL21" s="207">
        <v>2</v>
      </c>
      <c r="EM21" s="207">
        <f t="shared" si="87"/>
        <v>3.5</v>
      </c>
      <c r="EN21" s="207">
        <v>0</v>
      </c>
      <c r="EO21" s="207">
        <f t="shared" si="88"/>
        <v>0</v>
      </c>
      <c r="EP21" s="207">
        <v>1</v>
      </c>
      <c r="EQ21" s="207">
        <f t="shared" si="89"/>
        <v>1</v>
      </c>
      <c r="ER21" s="207">
        <f t="shared" si="90"/>
        <v>4.5</v>
      </c>
      <c r="ES21" s="208">
        <f t="shared" si="91"/>
        <v>55.5</v>
      </c>
      <c r="ET21" s="205">
        <f t="shared" si="92"/>
        <v>2.0230937500000001</v>
      </c>
      <c r="EU21" s="206" t="str">
        <f t="shared" si="93"/>
        <v>(0.19)</v>
      </c>
      <c r="EV21" s="207">
        <v>2</v>
      </c>
      <c r="EW21" s="207">
        <f t="shared" si="94"/>
        <v>3.5</v>
      </c>
      <c r="EX21" s="207">
        <v>0</v>
      </c>
      <c r="EY21" s="207">
        <f t="shared" si="95"/>
        <v>0</v>
      </c>
      <c r="EZ21" s="207">
        <v>1</v>
      </c>
      <c r="FA21" s="207">
        <f t="shared" si="96"/>
        <v>1</v>
      </c>
      <c r="FB21" s="207">
        <f t="shared" si="97"/>
        <v>4.5</v>
      </c>
      <c r="FC21" s="208">
        <f t="shared" si="98"/>
        <v>61.5</v>
      </c>
      <c r="FD21" s="205">
        <f t="shared" si="99"/>
        <v>2.2163567708333334</v>
      </c>
      <c r="FE21" s="206" t="str">
        <f t="shared" si="100"/>
        <v>(0.21)</v>
      </c>
      <c r="FF21" s="207">
        <v>2</v>
      </c>
      <c r="FG21" s="207">
        <f t="shared" si="101"/>
        <v>3.5</v>
      </c>
      <c r="FH21" s="207">
        <v>1</v>
      </c>
      <c r="FI21" s="207">
        <f t="shared" si="102"/>
        <v>1.125</v>
      </c>
      <c r="FJ21" s="207">
        <v>0</v>
      </c>
      <c r="FK21" s="207">
        <f t="shared" si="103"/>
        <v>0</v>
      </c>
      <c r="FL21" s="207">
        <f t="shared" si="104"/>
        <v>4.625</v>
      </c>
      <c r="FM21" s="208">
        <f t="shared" si="105"/>
        <v>67.375</v>
      </c>
      <c r="FN21" s="205">
        <f t="shared" si="106"/>
        <v>2.4137317708333335</v>
      </c>
      <c r="FO21" s="206" t="str">
        <f t="shared" si="107"/>
        <v>(0.22)</v>
      </c>
      <c r="FP21" s="207">
        <v>2</v>
      </c>
      <c r="FQ21" s="207">
        <f t="shared" si="108"/>
        <v>3.5</v>
      </c>
      <c r="FR21" s="207">
        <v>1</v>
      </c>
      <c r="FS21" s="207">
        <f t="shared" si="109"/>
        <v>1.125</v>
      </c>
      <c r="FT21" s="207">
        <v>0</v>
      </c>
      <c r="FU21" s="207">
        <f t="shared" si="110"/>
        <v>0</v>
      </c>
      <c r="FV21" s="207">
        <f t="shared" si="111"/>
        <v>4.625</v>
      </c>
      <c r="FW21" s="208">
        <f t="shared" si="112"/>
        <v>73.375</v>
      </c>
      <c r="FX21" s="205">
        <f t="shared" si="113"/>
        <v>2.6111067708333331</v>
      </c>
      <c r="FY21" s="206" t="str">
        <f t="shared" si="114"/>
        <v>(0.24)</v>
      </c>
      <c r="FZ21" s="207">
        <v>2</v>
      </c>
      <c r="GA21" s="207">
        <f t="shared" si="115"/>
        <v>3.5</v>
      </c>
      <c r="GB21" s="207">
        <v>1</v>
      </c>
      <c r="GC21" s="207">
        <f t="shared" si="116"/>
        <v>1.125</v>
      </c>
      <c r="GD21" s="207">
        <v>0</v>
      </c>
      <c r="GE21" s="207">
        <f t="shared" si="117"/>
        <v>0</v>
      </c>
      <c r="GF21" s="207">
        <f t="shared" si="118"/>
        <v>4.625</v>
      </c>
      <c r="GG21" s="208">
        <f t="shared" si="119"/>
        <v>79.375</v>
      </c>
      <c r="GH21" s="205">
        <f t="shared" si="120"/>
        <v>2.8084817708333336</v>
      </c>
      <c r="GI21" s="206" t="str">
        <f t="shared" si="121"/>
        <v>(0.26)</v>
      </c>
      <c r="GJ21" s="207">
        <v>2</v>
      </c>
      <c r="GK21" s="207">
        <f t="shared" si="122"/>
        <v>3.5</v>
      </c>
      <c r="GL21" s="207">
        <v>1</v>
      </c>
      <c r="GM21" s="207">
        <f t="shared" si="123"/>
        <v>1.125</v>
      </c>
      <c r="GN21" s="207">
        <v>0</v>
      </c>
      <c r="GO21" s="207">
        <f t="shared" si="124"/>
        <v>0</v>
      </c>
      <c r="GP21" s="207">
        <f t="shared" si="125"/>
        <v>4.625</v>
      </c>
      <c r="GQ21" s="208">
        <f t="shared" si="126"/>
        <v>85.375</v>
      </c>
      <c r="GR21" s="205">
        <f t="shared" si="127"/>
        <v>3.0058567708333337</v>
      </c>
      <c r="GS21" s="206" t="str">
        <f t="shared" si="128"/>
        <v>(0.28)</v>
      </c>
      <c r="GT21" s="207">
        <v>2</v>
      </c>
      <c r="GU21" s="207">
        <f t="shared" si="129"/>
        <v>3.5</v>
      </c>
      <c r="GV21" s="207">
        <v>1</v>
      </c>
      <c r="GW21" s="207">
        <f t="shared" si="130"/>
        <v>1.125</v>
      </c>
      <c r="GX21" s="207">
        <v>0</v>
      </c>
      <c r="GY21" s="207">
        <f t="shared" si="131"/>
        <v>0</v>
      </c>
      <c r="GZ21" s="207">
        <f t="shared" si="132"/>
        <v>4.625</v>
      </c>
      <c r="HA21" s="208">
        <f t="shared" si="133"/>
        <v>91.375</v>
      </c>
      <c r="HB21" s="205">
        <f t="shared" si="134"/>
        <v>3.2032317708333333</v>
      </c>
      <c r="HC21" s="206" t="str">
        <f t="shared" si="135"/>
        <v>(0.30)</v>
      </c>
      <c r="HD21" s="207">
        <v>2</v>
      </c>
      <c r="HE21" s="207">
        <f t="shared" si="136"/>
        <v>3.5</v>
      </c>
      <c r="HF21" s="207">
        <v>1</v>
      </c>
      <c r="HG21" s="207">
        <f t="shared" si="137"/>
        <v>1.125</v>
      </c>
      <c r="HH21" s="207">
        <v>0</v>
      </c>
      <c r="HI21" s="207">
        <f t="shared" si="138"/>
        <v>0</v>
      </c>
      <c r="HJ21" s="207">
        <f t="shared" si="139"/>
        <v>4.625</v>
      </c>
      <c r="HK21" s="208">
        <f t="shared" si="140"/>
        <v>97.375</v>
      </c>
      <c r="HL21" s="205">
        <f t="shared" si="141"/>
        <v>3.3348151041666667</v>
      </c>
      <c r="HM21" s="206" t="str">
        <f t="shared" si="142"/>
        <v>(0.31)</v>
      </c>
      <c r="HN21" s="207">
        <v>2</v>
      </c>
      <c r="HO21" s="207">
        <f t="shared" si="143"/>
        <v>3.5</v>
      </c>
      <c r="HP21" s="207">
        <v>1</v>
      </c>
      <c r="HQ21" s="207">
        <f t="shared" si="144"/>
        <v>1.125</v>
      </c>
      <c r="HR21" s="207">
        <v>2</v>
      </c>
      <c r="HS21" s="207">
        <f t="shared" si="145"/>
        <v>2</v>
      </c>
      <c r="HT21" s="207">
        <f t="shared" si="146"/>
        <v>6.625</v>
      </c>
      <c r="HU21" s="208">
        <f t="shared" si="147"/>
        <v>101.375</v>
      </c>
      <c r="HV21" s="205">
        <f t="shared" si="148"/>
        <v>3.5321901041666668</v>
      </c>
      <c r="HW21" s="206" t="str">
        <f t="shared" si="149"/>
        <v>(0.33)</v>
      </c>
      <c r="HX21" s="207">
        <v>2</v>
      </c>
      <c r="HY21" s="207">
        <f t="shared" si="150"/>
        <v>3.5</v>
      </c>
      <c r="HZ21" s="207">
        <v>1</v>
      </c>
      <c r="IA21" s="207">
        <f t="shared" si="151"/>
        <v>1.125</v>
      </c>
      <c r="IB21" s="207">
        <v>2</v>
      </c>
      <c r="IC21" s="207">
        <f t="shared" si="152"/>
        <v>2</v>
      </c>
      <c r="ID21" s="207">
        <f t="shared" si="153"/>
        <v>6.625</v>
      </c>
      <c r="IE21" s="208">
        <f t="shared" si="154"/>
        <v>107.375</v>
      </c>
      <c r="IF21" s="205">
        <f t="shared" si="155"/>
        <v>3.7295651041666664</v>
      </c>
      <c r="IG21" s="206" t="str">
        <f t="shared" si="156"/>
        <v>(0.35)</v>
      </c>
      <c r="IH21" s="21">
        <v>2</v>
      </c>
      <c r="II21" s="21">
        <f t="shared" si="157"/>
        <v>3.5</v>
      </c>
      <c r="IJ21" s="21">
        <v>1</v>
      </c>
      <c r="IK21" s="21">
        <f t="shared" si="158"/>
        <v>1.125</v>
      </c>
      <c r="IL21" s="21">
        <v>2</v>
      </c>
      <c r="IM21" s="21">
        <f t="shared" si="159"/>
        <v>2</v>
      </c>
      <c r="IN21" s="21">
        <f t="shared" si="160"/>
        <v>6.625</v>
      </c>
      <c r="IO21" s="22">
        <f t="shared" si="161"/>
        <v>113.375</v>
      </c>
      <c r="IP21" s="23"/>
      <c r="IQ21" s="409">
        <v>1</v>
      </c>
      <c r="IR21" s="410">
        <v>2.645</v>
      </c>
      <c r="IS21" s="410">
        <v>2.645</v>
      </c>
      <c r="IT21" s="410">
        <v>2.0920000000000001</v>
      </c>
      <c r="IU21" s="410">
        <v>1.75</v>
      </c>
      <c r="IV21" s="410">
        <v>1</v>
      </c>
      <c r="IW21" s="410">
        <v>1.125</v>
      </c>
      <c r="IX21" s="7"/>
    </row>
    <row r="22" spans="2:258" ht="15.75" thickBot="1" x14ac:dyDescent="0.3">
      <c r="B22" s="258">
        <f t="shared" si="20"/>
        <v>36</v>
      </c>
      <c r="C22" s="253">
        <v>7</v>
      </c>
      <c r="D22" s="265">
        <f t="shared" si="0"/>
        <v>0.3498101851851852</v>
      </c>
      <c r="E22" s="262">
        <f t="shared" si="1"/>
        <v>0.4054618055555555</v>
      </c>
      <c r="F22" s="262">
        <f t="shared" si="2"/>
        <v>0.46111342592592586</v>
      </c>
      <c r="G22" s="262">
        <f t="shared" si="3"/>
        <v>0.48893923611111106</v>
      </c>
      <c r="H22" s="262">
        <f t="shared" si="4"/>
        <v>0.50563472222222228</v>
      </c>
      <c r="I22" s="262">
        <f t="shared" si="5"/>
        <v>0.51676504629629627</v>
      </c>
      <c r="J22" s="262">
        <f t="shared" si="6"/>
        <v>0.52471527777777782</v>
      </c>
      <c r="K22" s="262">
        <f t="shared" si="7"/>
        <v>0.53067795138888885</v>
      </c>
      <c r="L22" s="262">
        <f t="shared" si="8"/>
        <v>0.52471527777777771</v>
      </c>
      <c r="M22" s="262">
        <f t="shared" si="9"/>
        <v>0.5294854166666666</v>
      </c>
      <c r="N22" s="262">
        <f t="shared" si="10"/>
        <v>0.53338825757575759</v>
      </c>
      <c r="O22" s="262">
        <f t="shared" si="11"/>
        <v>0.53564684606481483</v>
      </c>
      <c r="P22" s="262">
        <f t="shared" si="12"/>
        <v>0.53847529380341874</v>
      </c>
      <c r="Q22" s="262">
        <f t="shared" si="13"/>
        <v>0.54089967757936508</v>
      </c>
      <c r="R22" s="262">
        <f t="shared" si="14"/>
        <v>0.5430008101851852</v>
      </c>
      <c r="S22" s="262">
        <f t="shared" si="15"/>
        <v>0.54483930121527779</v>
      </c>
      <c r="T22" s="262">
        <f t="shared" si="16"/>
        <v>0.54646149918300646</v>
      </c>
      <c r="U22" s="262">
        <f t="shared" si="17"/>
        <v>0.53730314429012338</v>
      </c>
      <c r="V22" s="262">
        <f t="shared" si="18"/>
        <v>0.53915122441520469</v>
      </c>
      <c r="W22" s="262">
        <f t="shared" si="19"/>
        <v>0.5408144965277778</v>
      </c>
      <c r="X22" s="262"/>
      <c r="Y22" s="251"/>
      <c r="Z22" s="221"/>
      <c r="AA22" s="264"/>
      <c r="AB22" s="221"/>
      <c r="AC22" s="221"/>
      <c r="AD22" s="221"/>
      <c r="AE22" s="221"/>
      <c r="AF22" s="221"/>
      <c r="AG22" s="221"/>
      <c r="AH22" s="221"/>
      <c r="AI22" s="221"/>
      <c r="AJ22" s="221"/>
      <c r="AK22" s="221"/>
      <c r="AL22" s="221"/>
      <c r="AM22" s="221"/>
      <c r="AN22" s="221"/>
      <c r="AO22" s="221"/>
      <c r="AP22" s="221"/>
      <c r="AQ22" s="221"/>
      <c r="AT22" s="3"/>
      <c r="AU22" s="13">
        <f t="shared" ref="AU22:AU39" si="162">AU21+6</f>
        <v>18</v>
      </c>
      <c r="AV22" s="11" t="str">
        <f t="shared" si="21"/>
        <v>(450)</v>
      </c>
      <c r="AW22" s="18"/>
      <c r="AX22" s="19">
        <f t="shared" si="22"/>
        <v>0.33676041666666667</v>
      </c>
      <c r="AY22" s="20" t="str">
        <f t="shared" si="23"/>
        <v>(0.03)</v>
      </c>
      <c r="AZ22" s="21">
        <v>2</v>
      </c>
      <c r="BA22" s="21">
        <f t="shared" si="24"/>
        <v>3.5</v>
      </c>
      <c r="BB22" s="21">
        <v>0</v>
      </c>
      <c r="BC22" s="21">
        <f t="shared" si="25"/>
        <v>0</v>
      </c>
      <c r="BD22" s="21">
        <v>0</v>
      </c>
      <c r="BE22" s="21">
        <f t="shared" si="26"/>
        <v>0</v>
      </c>
      <c r="BF22" s="21">
        <f t="shared" si="27"/>
        <v>3.5</v>
      </c>
      <c r="BG22" s="22">
        <f t="shared" si="28"/>
        <v>5.5</v>
      </c>
      <c r="BH22" s="205">
        <f t="shared" si="29"/>
        <v>0.52044791666666668</v>
      </c>
      <c r="BI22" s="206" t="str">
        <f t="shared" si="30"/>
        <v>(0.05)</v>
      </c>
      <c r="BJ22" s="207">
        <v>2</v>
      </c>
      <c r="BK22" s="207">
        <f t="shared" si="31"/>
        <v>3.5</v>
      </c>
      <c r="BL22" s="207">
        <v>0</v>
      </c>
      <c r="BM22" s="207">
        <f t="shared" si="32"/>
        <v>0</v>
      </c>
      <c r="BN22" s="207">
        <v>0</v>
      </c>
      <c r="BO22" s="207">
        <f t="shared" si="33"/>
        <v>0</v>
      </c>
      <c r="BP22" s="207">
        <f t="shared" si="34"/>
        <v>3.5</v>
      </c>
      <c r="BQ22" s="208">
        <f t="shared" si="35"/>
        <v>8.5</v>
      </c>
      <c r="BR22" s="205">
        <f t="shared" si="36"/>
        <v>0.88782291666666668</v>
      </c>
      <c r="BS22" s="206" t="str">
        <f t="shared" si="37"/>
        <v>(0.08)</v>
      </c>
      <c r="BT22" s="207">
        <v>2</v>
      </c>
      <c r="BU22" s="207">
        <f t="shared" si="38"/>
        <v>3.5</v>
      </c>
      <c r="BV22" s="207">
        <v>0</v>
      </c>
      <c r="BW22" s="207">
        <f t="shared" si="39"/>
        <v>0</v>
      </c>
      <c r="BX22" s="207">
        <v>0</v>
      </c>
      <c r="BY22" s="207">
        <f t="shared" si="40"/>
        <v>0</v>
      </c>
      <c r="BZ22" s="207">
        <f t="shared" si="41"/>
        <v>3.5</v>
      </c>
      <c r="CA22" s="208">
        <f t="shared" si="42"/>
        <v>14.5</v>
      </c>
      <c r="CB22" s="205">
        <f t="shared" si="43"/>
        <v>1.2551979166666667</v>
      </c>
      <c r="CC22" s="206" t="str">
        <f t="shared" si="44"/>
        <v>(0.12)</v>
      </c>
      <c r="CD22" s="207">
        <v>2</v>
      </c>
      <c r="CE22" s="207">
        <f t="shared" si="45"/>
        <v>3.5</v>
      </c>
      <c r="CF22" s="207">
        <v>0</v>
      </c>
      <c r="CG22" s="207">
        <f t="shared" si="46"/>
        <v>0</v>
      </c>
      <c r="CH22" s="207">
        <v>0</v>
      </c>
      <c r="CI22" s="207">
        <f t="shared" si="47"/>
        <v>0</v>
      </c>
      <c r="CJ22" s="207">
        <f t="shared" si="48"/>
        <v>3.5</v>
      </c>
      <c r="CK22" s="208">
        <f t="shared" si="49"/>
        <v>20.5</v>
      </c>
      <c r="CL22" s="205">
        <f t="shared" si="50"/>
        <v>1.6225729166666667</v>
      </c>
      <c r="CM22" s="206" t="str">
        <f t="shared" si="51"/>
        <v>(0.15)</v>
      </c>
      <c r="CN22" s="207">
        <v>2</v>
      </c>
      <c r="CO22" s="207">
        <f t="shared" si="52"/>
        <v>3.5</v>
      </c>
      <c r="CP22" s="207">
        <v>0</v>
      </c>
      <c r="CQ22" s="207">
        <f t="shared" si="53"/>
        <v>0</v>
      </c>
      <c r="CR22" s="207">
        <v>0</v>
      </c>
      <c r="CS22" s="207">
        <f t="shared" si="54"/>
        <v>0</v>
      </c>
      <c r="CT22" s="207">
        <f t="shared" si="55"/>
        <v>3.5</v>
      </c>
      <c r="CU22" s="208">
        <f t="shared" si="56"/>
        <v>26.5</v>
      </c>
      <c r="CV22" s="205">
        <f t="shared" si="57"/>
        <v>1.9899479166666667</v>
      </c>
      <c r="CW22" s="206" t="str">
        <f t="shared" si="58"/>
        <v>(0.18)</v>
      </c>
      <c r="CX22" s="207">
        <v>2</v>
      </c>
      <c r="CY22" s="207">
        <f t="shared" si="59"/>
        <v>3.5</v>
      </c>
      <c r="CZ22" s="207">
        <v>0</v>
      </c>
      <c r="DA22" s="207">
        <f t="shared" si="60"/>
        <v>0</v>
      </c>
      <c r="DB22" s="207">
        <v>0</v>
      </c>
      <c r="DC22" s="207">
        <f t="shared" si="61"/>
        <v>0</v>
      </c>
      <c r="DD22" s="207">
        <f t="shared" si="62"/>
        <v>3.5</v>
      </c>
      <c r="DE22" s="208">
        <f t="shared" si="63"/>
        <v>32.5</v>
      </c>
      <c r="DF22" s="205">
        <f t="shared" si="64"/>
        <v>2.3573229166666665</v>
      </c>
      <c r="DG22" s="206" t="str">
        <f t="shared" si="65"/>
        <v>(0.22)</v>
      </c>
      <c r="DH22" s="207">
        <v>2</v>
      </c>
      <c r="DI22" s="207">
        <f t="shared" si="66"/>
        <v>3.5</v>
      </c>
      <c r="DJ22" s="207">
        <v>0</v>
      </c>
      <c r="DK22" s="207">
        <f t="shared" si="67"/>
        <v>0</v>
      </c>
      <c r="DL22" s="207">
        <v>0</v>
      </c>
      <c r="DM22" s="207">
        <f t="shared" si="68"/>
        <v>0</v>
      </c>
      <c r="DN22" s="207">
        <f t="shared" si="69"/>
        <v>3.5</v>
      </c>
      <c r="DO22" s="208">
        <f t="shared" si="70"/>
        <v>38.5</v>
      </c>
      <c r="DP22" s="205">
        <f t="shared" si="71"/>
        <v>2.7246979166666665</v>
      </c>
      <c r="DQ22" s="206" t="str">
        <f t="shared" si="72"/>
        <v>(0.25)</v>
      </c>
      <c r="DR22" s="207">
        <v>2</v>
      </c>
      <c r="DS22" s="207">
        <f t="shared" si="73"/>
        <v>3.5</v>
      </c>
      <c r="DT22" s="207">
        <v>0</v>
      </c>
      <c r="DU22" s="207">
        <f t="shared" si="74"/>
        <v>0</v>
      </c>
      <c r="DV22" s="207">
        <v>0</v>
      </c>
      <c r="DW22" s="207">
        <f t="shared" si="75"/>
        <v>0</v>
      </c>
      <c r="DX22" s="207">
        <f t="shared" si="76"/>
        <v>3.5</v>
      </c>
      <c r="DY22" s="208">
        <f t="shared" si="77"/>
        <v>44.5</v>
      </c>
      <c r="DZ22" s="205">
        <f t="shared" si="78"/>
        <v>3.0308437500000003</v>
      </c>
      <c r="EA22" s="206" t="str">
        <f t="shared" si="79"/>
        <v>(0.28)</v>
      </c>
      <c r="EB22" s="207">
        <v>2</v>
      </c>
      <c r="EC22" s="207">
        <f t="shared" si="80"/>
        <v>3.5</v>
      </c>
      <c r="ED22" s="207">
        <v>0</v>
      </c>
      <c r="EE22" s="207">
        <f t="shared" si="81"/>
        <v>0</v>
      </c>
      <c r="EF22" s="207">
        <v>1</v>
      </c>
      <c r="EG22" s="207">
        <f t="shared" si="82"/>
        <v>1</v>
      </c>
      <c r="EH22" s="207">
        <f t="shared" si="83"/>
        <v>4.5</v>
      </c>
      <c r="EI22" s="208">
        <f t="shared" si="84"/>
        <v>49.5</v>
      </c>
      <c r="EJ22" s="205">
        <f t="shared" si="85"/>
        <v>3.3982187499999998</v>
      </c>
      <c r="EK22" s="206" t="str">
        <f t="shared" si="86"/>
        <v>(0.32)</v>
      </c>
      <c r="EL22" s="207">
        <v>2</v>
      </c>
      <c r="EM22" s="207">
        <f t="shared" si="87"/>
        <v>3.5</v>
      </c>
      <c r="EN22" s="207">
        <v>0</v>
      </c>
      <c r="EO22" s="207">
        <f t="shared" si="88"/>
        <v>0</v>
      </c>
      <c r="EP22" s="207">
        <v>1</v>
      </c>
      <c r="EQ22" s="207">
        <f t="shared" si="89"/>
        <v>1</v>
      </c>
      <c r="ER22" s="207">
        <f t="shared" si="90"/>
        <v>4.5</v>
      </c>
      <c r="ES22" s="208">
        <f t="shared" si="91"/>
        <v>55.5</v>
      </c>
      <c r="ET22" s="205">
        <f t="shared" si="92"/>
        <v>3.7655937499999999</v>
      </c>
      <c r="EU22" s="206" t="str">
        <f t="shared" si="93"/>
        <v>(0.35)</v>
      </c>
      <c r="EV22" s="207">
        <v>2</v>
      </c>
      <c r="EW22" s="207">
        <f t="shared" si="94"/>
        <v>3.5</v>
      </c>
      <c r="EX22" s="207">
        <v>0</v>
      </c>
      <c r="EY22" s="207">
        <f t="shared" si="95"/>
        <v>0</v>
      </c>
      <c r="EZ22" s="207">
        <v>1</v>
      </c>
      <c r="FA22" s="207">
        <f t="shared" si="96"/>
        <v>1</v>
      </c>
      <c r="FB22" s="207">
        <f t="shared" si="97"/>
        <v>4.5</v>
      </c>
      <c r="FC22" s="208">
        <f t="shared" si="98"/>
        <v>61.5</v>
      </c>
      <c r="FD22" s="205">
        <f t="shared" si="99"/>
        <v>4.1253151041666669</v>
      </c>
      <c r="FE22" s="206" t="str">
        <f t="shared" si="100"/>
        <v>(0.38)</v>
      </c>
      <c r="FF22" s="207">
        <v>2</v>
      </c>
      <c r="FG22" s="207">
        <f t="shared" si="101"/>
        <v>3.5</v>
      </c>
      <c r="FH22" s="207">
        <v>1</v>
      </c>
      <c r="FI22" s="207">
        <f t="shared" si="102"/>
        <v>1.125</v>
      </c>
      <c r="FJ22" s="207">
        <v>0</v>
      </c>
      <c r="FK22" s="207">
        <f t="shared" si="103"/>
        <v>0</v>
      </c>
      <c r="FL22" s="207">
        <f t="shared" si="104"/>
        <v>4.625</v>
      </c>
      <c r="FM22" s="208">
        <f t="shared" si="105"/>
        <v>67.375</v>
      </c>
      <c r="FN22" s="205">
        <f t="shared" si="106"/>
        <v>4.492690104166666</v>
      </c>
      <c r="FO22" s="206" t="str">
        <f t="shared" si="107"/>
        <v>(0.42)</v>
      </c>
      <c r="FP22" s="207">
        <v>2</v>
      </c>
      <c r="FQ22" s="207">
        <f t="shared" si="108"/>
        <v>3.5</v>
      </c>
      <c r="FR22" s="207">
        <v>1</v>
      </c>
      <c r="FS22" s="207">
        <f t="shared" si="109"/>
        <v>1.125</v>
      </c>
      <c r="FT22" s="207">
        <v>0</v>
      </c>
      <c r="FU22" s="207">
        <f t="shared" si="110"/>
        <v>0</v>
      </c>
      <c r="FV22" s="207">
        <f t="shared" si="111"/>
        <v>4.625</v>
      </c>
      <c r="FW22" s="208">
        <f t="shared" si="112"/>
        <v>73.375</v>
      </c>
      <c r="FX22" s="205">
        <f t="shared" si="113"/>
        <v>4.8600651041666669</v>
      </c>
      <c r="FY22" s="206" t="str">
        <f t="shared" si="114"/>
        <v>(0.45)</v>
      </c>
      <c r="FZ22" s="207">
        <v>2</v>
      </c>
      <c r="GA22" s="207">
        <f t="shared" si="115"/>
        <v>3.5</v>
      </c>
      <c r="GB22" s="207">
        <v>1</v>
      </c>
      <c r="GC22" s="207">
        <f t="shared" si="116"/>
        <v>1.125</v>
      </c>
      <c r="GD22" s="207">
        <v>0</v>
      </c>
      <c r="GE22" s="207">
        <f t="shared" si="117"/>
        <v>0</v>
      </c>
      <c r="GF22" s="207">
        <f t="shared" si="118"/>
        <v>4.625</v>
      </c>
      <c r="GG22" s="208">
        <f t="shared" si="119"/>
        <v>79.375</v>
      </c>
      <c r="GH22" s="205">
        <f t="shared" si="120"/>
        <v>5.2274401041666669</v>
      </c>
      <c r="GI22" s="206" t="str">
        <f t="shared" si="121"/>
        <v>(0.49)</v>
      </c>
      <c r="GJ22" s="207">
        <v>2</v>
      </c>
      <c r="GK22" s="207">
        <f t="shared" si="122"/>
        <v>3.5</v>
      </c>
      <c r="GL22" s="207">
        <v>1</v>
      </c>
      <c r="GM22" s="207">
        <f t="shared" si="123"/>
        <v>1.125</v>
      </c>
      <c r="GN22" s="207">
        <v>0</v>
      </c>
      <c r="GO22" s="207">
        <f t="shared" si="124"/>
        <v>0</v>
      </c>
      <c r="GP22" s="207">
        <f t="shared" si="125"/>
        <v>4.625</v>
      </c>
      <c r="GQ22" s="208">
        <f t="shared" si="126"/>
        <v>85.375</v>
      </c>
      <c r="GR22" s="205">
        <f t="shared" si="127"/>
        <v>5.5948151041666669</v>
      </c>
      <c r="GS22" s="206" t="str">
        <f t="shared" si="128"/>
        <v>(0.52)</v>
      </c>
      <c r="GT22" s="207">
        <v>2</v>
      </c>
      <c r="GU22" s="207">
        <f t="shared" si="129"/>
        <v>3.5</v>
      </c>
      <c r="GV22" s="207">
        <v>1</v>
      </c>
      <c r="GW22" s="207">
        <f t="shared" si="130"/>
        <v>1.125</v>
      </c>
      <c r="GX22" s="207">
        <v>0</v>
      </c>
      <c r="GY22" s="207">
        <f t="shared" si="131"/>
        <v>0</v>
      </c>
      <c r="GZ22" s="207">
        <f t="shared" si="132"/>
        <v>4.625</v>
      </c>
      <c r="HA22" s="208">
        <f t="shared" si="133"/>
        <v>91.375</v>
      </c>
      <c r="HB22" s="205">
        <f t="shared" si="134"/>
        <v>5.9621901041666669</v>
      </c>
      <c r="HC22" s="206" t="str">
        <f t="shared" si="135"/>
        <v>(0.55)</v>
      </c>
      <c r="HD22" s="207">
        <v>2</v>
      </c>
      <c r="HE22" s="207">
        <f t="shared" si="136"/>
        <v>3.5</v>
      </c>
      <c r="HF22" s="207">
        <v>1</v>
      </c>
      <c r="HG22" s="207">
        <f t="shared" si="137"/>
        <v>1.125</v>
      </c>
      <c r="HH22" s="207">
        <v>0</v>
      </c>
      <c r="HI22" s="207">
        <f t="shared" si="138"/>
        <v>0</v>
      </c>
      <c r="HJ22" s="207">
        <f t="shared" si="139"/>
        <v>4.625</v>
      </c>
      <c r="HK22" s="208">
        <f t="shared" si="140"/>
        <v>97.375</v>
      </c>
      <c r="HL22" s="205">
        <f t="shared" si="141"/>
        <v>6.2071067708333336</v>
      </c>
      <c r="HM22" s="206" t="str">
        <f t="shared" si="142"/>
        <v>(0.58)</v>
      </c>
      <c r="HN22" s="207">
        <v>2</v>
      </c>
      <c r="HO22" s="207">
        <f t="shared" si="143"/>
        <v>3.5</v>
      </c>
      <c r="HP22" s="207">
        <v>1</v>
      </c>
      <c r="HQ22" s="207">
        <f t="shared" si="144"/>
        <v>1.125</v>
      </c>
      <c r="HR22" s="207">
        <v>2</v>
      </c>
      <c r="HS22" s="207">
        <f t="shared" si="145"/>
        <v>2</v>
      </c>
      <c r="HT22" s="207">
        <f t="shared" si="146"/>
        <v>6.625</v>
      </c>
      <c r="HU22" s="208">
        <f t="shared" si="147"/>
        <v>101.375</v>
      </c>
      <c r="HV22" s="205">
        <f t="shared" si="148"/>
        <v>6.5744817708333336</v>
      </c>
      <c r="HW22" s="206" t="str">
        <f t="shared" si="149"/>
        <v>(0.61)</v>
      </c>
      <c r="HX22" s="207">
        <v>2</v>
      </c>
      <c r="HY22" s="207">
        <f t="shared" si="150"/>
        <v>3.5</v>
      </c>
      <c r="HZ22" s="207">
        <v>1</v>
      </c>
      <c r="IA22" s="207">
        <f t="shared" si="151"/>
        <v>1.125</v>
      </c>
      <c r="IB22" s="207">
        <v>2</v>
      </c>
      <c r="IC22" s="207">
        <f t="shared" si="152"/>
        <v>2</v>
      </c>
      <c r="ID22" s="207">
        <f t="shared" si="153"/>
        <v>6.625</v>
      </c>
      <c r="IE22" s="208">
        <f t="shared" si="154"/>
        <v>107.375</v>
      </c>
      <c r="IF22" s="205">
        <f t="shared" si="155"/>
        <v>6.9418567708333336</v>
      </c>
      <c r="IG22" s="206" t="str">
        <f t="shared" si="156"/>
        <v>(0.64)</v>
      </c>
      <c r="IH22" s="21">
        <v>2</v>
      </c>
      <c r="II22" s="21">
        <f t="shared" si="157"/>
        <v>3.5</v>
      </c>
      <c r="IJ22" s="21">
        <v>1</v>
      </c>
      <c r="IK22" s="21">
        <f t="shared" si="158"/>
        <v>1.125</v>
      </c>
      <c r="IL22" s="21">
        <v>2</v>
      </c>
      <c r="IM22" s="21">
        <f t="shared" si="159"/>
        <v>2</v>
      </c>
      <c r="IN22" s="21">
        <f t="shared" si="160"/>
        <v>6.625</v>
      </c>
      <c r="IO22" s="22">
        <f t="shared" si="161"/>
        <v>113.375</v>
      </c>
      <c r="IP22" s="23"/>
      <c r="IQ22" s="409">
        <v>3</v>
      </c>
      <c r="IR22" s="410">
        <v>2.645</v>
      </c>
      <c r="IS22" s="410">
        <v>2.645</v>
      </c>
      <c r="IT22" s="410">
        <v>0.88200000000000001</v>
      </c>
      <c r="IU22" s="410">
        <v>1.75</v>
      </c>
      <c r="IV22" s="410">
        <v>1</v>
      </c>
      <c r="IW22" s="410">
        <v>1.125</v>
      </c>
      <c r="IX22" s="7"/>
    </row>
    <row r="23" spans="2:258" ht="15.75" thickBot="1" x14ac:dyDescent="0.3">
      <c r="B23" s="258">
        <f t="shared" si="20"/>
        <v>42</v>
      </c>
      <c r="C23" s="266">
        <v>8</v>
      </c>
      <c r="D23" s="265">
        <f t="shared" si="0"/>
        <v>0.359202380952381</v>
      </c>
      <c r="E23" s="262">
        <f t="shared" si="1"/>
        <v>0.41634821428571428</v>
      </c>
      <c r="F23" s="262">
        <f t="shared" si="2"/>
        <v>0.47349404761904762</v>
      </c>
      <c r="G23" s="262">
        <f t="shared" si="3"/>
        <v>0.50206696428571429</v>
      </c>
      <c r="H23" s="262">
        <f t="shared" si="4"/>
        <v>0.5192107142857143</v>
      </c>
      <c r="I23" s="262">
        <f t="shared" si="5"/>
        <v>0.5306398809523809</v>
      </c>
      <c r="J23" s="262">
        <f t="shared" si="6"/>
        <v>0.53880357142857149</v>
      </c>
      <c r="K23" s="262">
        <f t="shared" si="7"/>
        <v>0.54492633928571432</v>
      </c>
      <c r="L23" s="262">
        <f t="shared" si="8"/>
        <v>0.53880357142857149</v>
      </c>
      <c r="M23" s="262">
        <f t="shared" si="9"/>
        <v>0.54370178571428573</v>
      </c>
      <c r="N23" s="262">
        <f t="shared" si="10"/>
        <v>0.54770941558441555</v>
      </c>
      <c r="O23" s="262">
        <f t="shared" si="11"/>
        <v>0.55002864583333333</v>
      </c>
      <c r="P23" s="262">
        <f t="shared" si="12"/>
        <v>0.55293303571428576</v>
      </c>
      <c r="Q23" s="262">
        <f t="shared" si="13"/>
        <v>0.55542251275510202</v>
      </c>
      <c r="R23" s="262">
        <f t="shared" si="14"/>
        <v>0.55758005952380951</v>
      </c>
      <c r="S23" s="262">
        <f t="shared" si="15"/>
        <v>0.55946791294642861</v>
      </c>
      <c r="T23" s="262">
        <f t="shared" si="16"/>
        <v>0.5611336659663867</v>
      </c>
      <c r="U23" s="262">
        <f t="shared" si="17"/>
        <v>0.55172941468253967</v>
      </c>
      <c r="V23" s="262">
        <f t="shared" si="18"/>
        <v>0.55362711466165415</v>
      </c>
      <c r="W23" s="262">
        <f t="shared" si="19"/>
        <v>0.5553350446428571</v>
      </c>
      <c r="X23" s="262"/>
      <c r="Y23" s="251"/>
      <c r="Z23" s="221"/>
      <c r="AA23" s="264"/>
      <c r="AB23" s="221"/>
      <c r="AC23" s="221"/>
      <c r="AD23" s="221"/>
      <c r="AE23" s="221"/>
      <c r="AF23" s="221"/>
      <c r="AG23" s="221"/>
      <c r="AH23" s="221"/>
      <c r="AI23" s="221"/>
      <c r="AJ23" s="221"/>
      <c r="AK23" s="221"/>
      <c r="AL23" s="221"/>
      <c r="AM23" s="221"/>
      <c r="AN23" s="221"/>
      <c r="AO23" s="221"/>
      <c r="AP23" s="221"/>
      <c r="AQ23" s="221"/>
      <c r="AT23" s="3"/>
      <c r="AU23" s="13">
        <f t="shared" si="162"/>
        <v>24</v>
      </c>
      <c r="AV23" s="11" t="str">
        <f t="shared" si="21"/>
        <v>(600)</v>
      </c>
      <c r="AW23" s="18"/>
      <c r="AX23" s="19">
        <f t="shared" si="22"/>
        <v>0.48399999999999999</v>
      </c>
      <c r="AY23" s="20" t="str">
        <f t="shared" si="23"/>
        <v>(0.04)</v>
      </c>
      <c r="AZ23" s="21">
        <v>2</v>
      </c>
      <c r="BA23" s="21">
        <f t="shared" si="24"/>
        <v>3.5</v>
      </c>
      <c r="BB23" s="21">
        <v>0</v>
      </c>
      <c r="BC23" s="21">
        <f t="shared" si="25"/>
        <v>0</v>
      </c>
      <c r="BD23" s="21">
        <v>0</v>
      </c>
      <c r="BE23" s="21">
        <f t="shared" si="26"/>
        <v>0</v>
      </c>
      <c r="BF23" s="21">
        <f t="shared" si="27"/>
        <v>3.5</v>
      </c>
      <c r="BG23" s="22">
        <f t="shared" si="28"/>
        <v>5.5</v>
      </c>
      <c r="BH23" s="205">
        <f>($IR23+(($IQ23-1)*$IS23)+$IT23)*BQ23/144</f>
        <v>0.748</v>
      </c>
      <c r="BI23" s="206" t="str">
        <f t="shared" si="30"/>
        <v>(0.07)</v>
      </c>
      <c r="BJ23" s="207">
        <v>2</v>
      </c>
      <c r="BK23" s="207">
        <f t="shared" si="31"/>
        <v>3.5</v>
      </c>
      <c r="BL23" s="207">
        <v>0</v>
      </c>
      <c r="BM23" s="207">
        <f t="shared" si="32"/>
        <v>0</v>
      </c>
      <c r="BN23" s="207">
        <v>0</v>
      </c>
      <c r="BO23" s="207">
        <f t="shared" si="33"/>
        <v>0</v>
      </c>
      <c r="BP23" s="207">
        <f t="shared" si="34"/>
        <v>3.5</v>
      </c>
      <c r="BQ23" s="208">
        <f t="shared" si="35"/>
        <v>8.5</v>
      </c>
      <c r="BR23" s="205">
        <f t="shared" si="36"/>
        <v>1.276</v>
      </c>
      <c r="BS23" s="206" t="str">
        <f t="shared" si="37"/>
        <v>(0.12)</v>
      </c>
      <c r="BT23" s="207">
        <v>2</v>
      </c>
      <c r="BU23" s="207">
        <f t="shared" si="38"/>
        <v>3.5</v>
      </c>
      <c r="BV23" s="207">
        <v>0</v>
      </c>
      <c r="BW23" s="207">
        <f t="shared" si="39"/>
        <v>0</v>
      </c>
      <c r="BX23" s="207">
        <v>0</v>
      </c>
      <c r="BY23" s="207">
        <f t="shared" si="40"/>
        <v>0</v>
      </c>
      <c r="BZ23" s="207">
        <f t="shared" si="41"/>
        <v>3.5</v>
      </c>
      <c r="CA23" s="208">
        <f t="shared" si="42"/>
        <v>14.5</v>
      </c>
      <c r="CB23" s="205">
        <f t="shared" si="43"/>
        <v>1.804</v>
      </c>
      <c r="CC23" s="206" t="str">
        <f t="shared" si="44"/>
        <v>(0.17)</v>
      </c>
      <c r="CD23" s="207">
        <v>2</v>
      </c>
      <c r="CE23" s="207">
        <f t="shared" si="45"/>
        <v>3.5</v>
      </c>
      <c r="CF23" s="207">
        <v>0</v>
      </c>
      <c r="CG23" s="207">
        <f t="shared" si="46"/>
        <v>0</v>
      </c>
      <c r="CH23" s="207">
        <v>0</v>
      </c>
      <c r="CI23" s="207">
        <f t="shared" si="47"/>
        <v>0</v>
      </c>
      <c r="CJ23" s="207">
        <f t="shared" si="48"/>
        <v>3.5</v>
      </c>
      <c r="CK23" s="208">
        <f t="shared" si="49"/>
        <v>20.5</v>
      </c>
      <c r="CL23" s="205">
        <f t="shared" si="50"/>
        <v>2.3319999999999999</v>
      </c>
      <c r="CM23" s="206" t="str">
        <f t="shared" si="51"/>
        <v>(0.22)</v>
      </c>
      <c r="CN23" s="207">
        <v>2</v>
      </c>
      <c r="CO23" s="207">
        <f t="shared" si="52"/>
        <v>3.5</v>
      </c>
      <c r="CP23" s="207">
        <v>0</v>
      </c>
      <c r="CQ23" s="207">
        <f t="shared" si="53"/>
        <v>0</v>
      </c>
      <c r="CR23" s="207">
        <v>0</v>
      </c>
      <c r="CS23" s="207">
        <f t="shared" si="54"/>
        <v>0</v>
      </c>
      <c r="CT23" s="207">
        <f t="shared" si="55"/>
        <v>3.5</v>
      </c>
      <c r="CU23" s="208">
        <f t="shared" si="56"/>
        <v>26.5</v>
      </c>
      <c r="CV23" s="205">
        <f t="shared" si="57"/>
        <v>2.8600000000000003</v>
      </c>
      <c r="CW23" s="206" t="str">
        <f t="shared" si="58"/>
        <v>(0.27)</v>
      </c>
      <c r="CX23" s="207">
        <v>2</v>
      </c>
      <c r="CY23" s="207">
        <f t="shared" si="59"/>
        <v>3.5</v>
      </c>
      <c r="CZ23" s="207">
        <v>0</v>
      </c>
      <c r="DA23" s="207">
        <f t="shared" si="60"/>
        <v>0</v>
      </c>
      <c r="DB23" s="207">
        <v>0</v>
      </c>
      <c r="DC23" s="207">
        <f t="shared" si="61"/>
        <v>0</v>
      </c>
      <c r="DD23" s="207">
        <f t="shared" si="62"/>
        <v>3.5</v>
      </c>
      <c r="DE23" s="208">
        <f t="shared" si="63"/>
        <v>32.5</v>
      </c>
      <c r="DF23" s="205">
        <f t="shared" si="64"/>
        <v>3.3879999999999999</v>
      </c>
      <c r="DG23" s="206" t="str">
        <f t="shared" si="65"/>
        <v>(0.31)</v>
      </c>
      <c r="DH23" s="207">
        <v>2</v>
      </c>
      <c r="DI23" s="207">
        <f t="shared" si="66"/>
        <v>3.5</v>
      </c>
      <c r="DJ23" s="207">
        <v>0</v>
      </c>
      <c r="DK23" s="207">
        <f t="shared" si="67"/>
        <v>0</v>
      </c>
      <c r="DL23" s="207">
        <v>0</v>
      </c>
      <c r="DM23" s="207">
        <f t="shared" si="68"/>
        <v>0</v>
      </c>
      <c r="DN23" s="207">
        <f t="shared" si="69"/>
        <v>3.5</v>
      </c>
      <c r="DO23" s="208">
        <f t="shared" si="70"/>
        <v>38.5</v>
      </c>
      <c r="DP23" s="205">
        <f t="shared" si="71"/>
        <v>3.9159999999999999</v>
      </c>
      <c r="DQ23" s="206" t="str">
        <f t="shared" si="72"/>
        <v>(0.36)</v>
      </c>
      <c r="DR23" s="207">
        <v>2</v>
      </c>
      <c r="DS23" s="207">
        <f t="shared" si="73"/>
        <v>3.5</v>
      </c>
      <c r="DT23" s="207">
        <v>0</v>
      </c>
      <c r="DU23" s="207">
        <f t="shared" si="74"/>
        <v>0</v>
      </c>
      <c r="DV23" s="207">
        <v>0</v>
      </c>
      <c r="DW23" s="207">
        <f t="shared" si="75"/>
        <v>0</v>
      </c>
      <c r="DX23" s="207">
        <f t="shared" si="76"/>
        <v>3.5</v>
      </c>
      <c r="DY23" s="208">
        <f t="shared" si="77"/>
        <v>44.5</v>
      </c>
      <c r="DZ23" s="205">
        <f t="shared" si="78"/>
        <v>4.3559999999999999</v>
      </c>
      <c r="EA23" s="206" t="str">
        <f t="shared" si="79"/>
        <v>(0.40)</v>
      </c>
      <c r="EB23" s="207">
        <v>2</v>
      </c>
      <c r="EC23" s="207">
        <f t="shared" si="80"/>
        <v>3.5</v>
      </c>
      <c r="ED23" s="207">
        <v>0</v>
      </c>
      <c r="EE23" s="207">
        <f t="shared" si="81"/>
        <v>0</v>
      </c>
      <c r="EF23" s="207">
        <v>1</v>
      </c>
      <c r="EG23" s="207">
        <f t="shared" si="82"/>
        <v>1</v>
      </c>
      <c r="EH23" s="207">
        <f t="shared" si="83"/>
        <v>4.5</v>
      </c>
      <c r="EI23" s="208">
        <f t="shared" si="84"/>
        <v>49.5</v>
      </c>
      <c r="EJ23" s="205">
        <f t="shared" si="85"/>
        <v>4.8840000000000003</v>
      </c>
      <c r="EK23" s="206" t="str">
        <f t="shared" si="86"/>
        <v>(0.45)</v>
      </c>
      <c r="EL23" s="207">
        <v>2</v>
      </c>
      <c r="EM23" s="207">
        <f t="shared" si="87"/>
        <v>3.5</v>
      </c>
      <c r="EN23" s="207">
        <v>0</v>
      </c>
      <c r="EO23" s="207">
        <f t="shared" si="88"/>
        <v>0</v>
      </c>
      <c r="EP23" s="207">
        <v>1</v>
      </c>
      <c r="EQ23" s="207">
        <f t="shared" si="89"/>
        <v>1</v>
      </c>
      <c r="ER23" s="207">
        <f t="shared" si="90"/>
        <v>4.5</v>
      </c>
      <c r="ES23" s="208">
        <f t="shared" si="91"/>
        <v>55.5</v>
      </c>
      <c r="ET23" s="205">
        <f t="shared" si="92"/>
        <v>5.4120000000000008</v>
      </c>
      <c r="EU23" s="206" t="str">
        <f t="shared" si="93"/>
        <v>(0.50)</v>
      </c>
      <c r="EV23" s="207">
        <v>2</v>
      </c>
      <c r="EW23" s="207">
        <f t="shared" si="94"/>
        <v>3.5</v>
      </c>
      <c r="EX23" s="207">
        <v>0</v>
      </c>
      <c r="EY23" s="207">
        <f t="shared" si="95"/>
        <v>0</v>
      </c>
      <c r="EZ23" s="207">
        <v>1</v>
      </c>
      <c r="FA23" s="207">
        <f t="shared" si="96"/>
        <v>1</v>
      </c>
      <c r="FB23" s="207">
        <f t="shared" si="97"/>
        <v>4.5</v>
      </c>
      <c r="FC23" s="208">
        <f t="shared" si="98"/>
        <v>61.5</v>
      </c>
      <c r="FD23" s="205">
        <f t="shared" si="99"/>
        <v>5.9290000000000003</v>
      </c>
      <c r="FE23" s="206" t="str">
        <f t="shared" si="100"/>
        <v>(0.55)</v>
      </c>
      <c r="FF23" s="207">
        <v>2</v>
      </c>
      <c r="FG23" s="207">
        <f t="shared" si="101"/>
        <v>3.5</v>
      </c>
      <c r="FH23" s="207">
        <v>1</v>
      </c>
      <c r="FI23" s="207">
        <f t="shared" si="102"/>
        <v>1.125</v>
      </c>
      <c r="FJ23" s="207">
        <v>0</v>
      </c>
      <c r="FK23" s="207">
        <f t="shared" si="103"/>
        <v>0</v>
      </c>
      <c r="FL23" s="207">
        <f t="shared" si="104"/>
        <v>4.625</v>
      </c>
      <c r="FM23" s="208">
        <f t="shared" si="105"/>
        <v>67.375</v>
      </c>
      <c r="FN23" s="205">
        <f t="shared" si="106"/>
        <v>6.4569999999999999</v>
      </c>
      <c r="FO23" s="206" t="str">
        <f t="shared" si="107"/>
        <v>(0.60)</v>
      </c>
      <c r="FP23" s="207">
        <v>2</v>
      </c>
      <c r="FQ23" s="207">
        <f t="shared" si="108"/>
        <v>3.5</v>
      </c>
      <c r="FR23" s="207">
        <v>1</v>
      </c>
      <c r="FS23" s="207">
        <f t="shared" si="109"/>
        <v>1.125</v>
      </c>
      <c r="FT23" s="207">
        <v>0</v>
      </c>
      <c r="FU23" s="207">
        <f t="shared" si="110"/>
        <v>0</v>
      </c>
      <c r="FV23" s="207">
        <f t="shared" si="111"/>
        <v>4.625</v>
      </c>
      <c r="FW23" s="208">
        <f t="shared" si="112"/>
        <v>73.375</v>
      </c>
      <c r="FX23" s="205">
        <f t="shared" si="113"/>
        <v>6.9850000000000003</v>
      </c>
      <c r="FY23" s="206" t="str">
        <f t="shared" si="114"/>
        <v>(0.65)</v>
      </c>
      <c r="FZ23" s="207">
        <v>2</v>
      </c>
      <c r="GA23" s="207">
        <f t="shared" si="115"/>
        <v>3.5</v>
      </c>
      <c r="GB23" s="207">
        <v>1</v>
      </c>
      <c r="GC23" s="207">
        <f t="shared" si="116"/>
        <v>1.125</v>
      </c>
      <c r="GD23" s="207">
        <v>0</v>
      </c>
      <c r="GE23" s="207">
        <f t="shared" si="117"/>
        <v>0</v>
      </c>
      <c r="GF23" s="207">
        <f t="shared" si="118"/>
        <v>4.625</v>
      </c>
      <c r="GG23" s="208">
        <f t="shared" si="119"/>
        <v>79.375</v>
      </c>
      <c r="GH23" s="205">
        <f t="shared" si="120"/>
        <v>7.5130000000000008</v>
      </c>
      <c r="GI23" s="206" t="str">
        <f t="shared" si="121"/>
        <v>(0.70)</v>
      </c>
      <c r="GJ23" s="207">
        <v>2</v>
      </c>
      <c r="GK23" s="207">
        <f t="shared" si="122"/>
        <v>3.5</v>
      </c>
      <c r="GL23" s="207">
        <v>1</v>
      </c>
      <c r="GM23" s="207">
        <f t="shared" si="123"/>
        <v>1.125</v>
      </c>
      <c r="GN23" s="207">
        <v>0</v>
      </c>
      <c r="GO23" s="207">
        <f t="shared" si="124"/>
        <v>0</v>
      </c>
      <c r="GP23" s="207">
        <f t="shared" si="125"/>
        <v>4.625</v>
      </c>
      <c r="GQ23" s="208">
        <f t="shared" si="126"/>
        <v>85.375</v>
      </c>
      <c r="GR23" s="205">
        <f t="shared" si="127"/>
        <v>8.0410000000000004</v>
      </c>
      <c r="GS23" s="206" t="str">
        <f t="shared" si="128"/>
        <v>(0.75)</v>
      </c>
      <c r="GT23" s="207">
        <v>2</v>
      </c>
      <c r="GU23" s="207">
        <f t="shared" si="129"/>
        <v>3.5</v>
      </c>
      <c r="GV23" s="207">
        <v>1</v>
      </c>
      <c r="GW23" s="207">
        <f t="shared" si="130"/>
        <v>1.125</v>
      </c>
      <c r="GX23" s="207">
        <v>0</v>
      </c>
      <c r="GY23" s="207">
        <f t="shared" si="131"/>
        <v>0</v>
      </c>
      <c r="GZ23" s="207">
        <f t="shared" si="132"/>
        <v>4.625</v>
      </c>
      <c r="HA23" s="208">
        <f t="shared" si="133"/>
        <v>91.375</v>
      </c>
      <c r="HB23" s="205">
        <f t="shared" si="134"/>
        <v>8.5690000000000008</v>
      </c>
      <c r="HC23" s="206" t="str">
        <f t="shared" si="135"/>
        <v>(0.80)</v>
      </c>
      <c r="HD23" s="207">
        <v>2</v>
      </c>
      <c r="HE23" s="207">
        <f t="shared" si="136"/>
        <v>3.5</v>
      </c>
      <c r="HF23" s="207">
        <v>1</v>
      </c>
      <c r="HG23" s="207">
        <f t="shared" si="137"/>
        <v>1.125</v>
      </c>
      <c r="HH23" s="207">
        <v>0</v>
      </c>
      <c r="HI23" s="207">
        <f t="shared" si="138"/>
        <v>0</v>
      </c>
      <c r="HJ23" s="207">
        <f t="shared" si="139"/>
        <v>4.625</v>
      </c>
      <c r="HK23" s="208">
        <f t="shared" si="140"/>
        <v>97.375</v>
      </c>
      <c r="HL23" s="205">
        <f t="shared" si="141"/>
        <v>8.9209999999999994</v>
      </c>
      <c r="HM23" s="206" t="str">
        <f t="shared" si="142"/>
        <v>(0.83)</v>
      </c>
      <c r="HN23" s="207">
        <v>2</v>
      </c>
      <c r="HO23" s="207">
        <f t="shared" si="143"/>
        <v>3.5</v>
      </c>
      <c r="HP23" s="207">
        <v>1</v>
      </c>
      <c r="HQ23" s="207">
        <f t="shared" si="144"/>
        <v>1.125</v>
      </c>
      <c r="HR23" s="207">
        <v>2</v>
      </c>
      <c r="HS23" s="207">
        <f t="shared" si="145"/>
        <v>2</v>
      </c>
      <c r="HT23" s="207">
        <f t="shared" si="146"/>
        <v>6.625</v>
      </c>
      <c r="HU23" s="208">
        <f t="shared" si="147"/>
        <v>101.375</v>
      </c>
      <c r="HV23" s="205">
        <f t="shared" si="148"/>
        <v>9.4490000000000016</v>
      </c>
      <c r="HW23" s="206" t="str">
        <f t="shared" si="149"/>
        <v>(0.88)</v>
      </c>
      <c r="HX23" s="207">
        <v>2</v>
      </c>
      <c r="HY23" s="207">
        <f t="shared" si="150"/>
        <v>3.5</v>
      </c>
      <c r="HZ23" s="207">
        <v>1</v>
      </c>
      <c r="IA23" s="207">
        <f t="shared" si="151"/>
        <v>1.125</v>
      </c>
      <c r="IB23" s="207">
        <v>2</v>
      </c>
      <c r="IC23" s="207">
        <f t="shared" si="152"/>
        <v>2</v>
      </c>
      <c r="ID23" s="207">
        <f t="shared" si="153"/>
        <v>6.625</v>
      </c>
      <c r="IE23" s="208">
        <f t="shared" si="154"/>
        <v>107.375</v>
      </c>
      <c r="IF23" s="205">
        <f t="shared" si="155"/>
        <v>9.9770000000000003</v>
      </c>
      <c r="IG23" s="206" t="str">
        <f t="shared" si="156"/>
        <v>(0.93)</v>
      </c>
      <c r="IH23" s="21">
        <v>2</v>
      </c>
      <c r="II23" s="21">
        <f t="shared" si="157"/>
        <v>3.5</v>
      </c>
      <c r="IJ23" s="21">
        <v>1</v>
      </c>
      <c r="IK23" s="21">
        <f t="shared" si="158"/>
        <v>1.125</v>
      </c>
      <c r="IL23" s="21">
        <v>2</v>
      </c>
      <c r="IM23" s="21">
        <f t="shared" si="159"/>
        <v>2</v>
      </c>
      <c r="IN23" s="21">
        <f t="shared" si="160"/>
        <v>6.625</v>
      </c>
      <c r="IO23" s="22">
        <f t="shared" si="161"/>
        <v>113.375</v>
      </c>
      <c r="IP23" s="23"/>
      <c r="IQ23" s="409">
        <v>4</v>
      </c>
      <c r="IR23" s="410">
        <v>2.645</v>
      </c>
      <c r="IS23" s="410">
        <v>2.645</v>
      </c>
      <c r="IT23" s="410">
        <v>2.0920000000000001</v>
      </c>
      <c r="IU23" s="410">
        <v>1.75</v>
      </c>
      <c r="IV23" s="410">
        <v>1</v>
      </c>
      <c r="IW23" s="410">
        <v>1.125</v>
      </c>
      <c r="IX23" s="7"/>
    </row>
    <row r="24" spans="2:258" ht="15.75" thickBot="1" x14ac:dyDescent="0.3">
      <c r="B24" s="267">
        <f t="shared" si="20"/>
        <v>48</v>
      </c>
      <c r="C24" s="253">
        <v>9</v>
      </c>
      <c r="D24" s="265">
        <f t="shared" si="0"/>
        <v>0.36338194444444444</v>
      </c>
      <c r="E24" s="262">
        <f t="shared" si="1"/>
        <v>0.42119270833333328</v>
      </c>
      <c r="F24" s="262">
        <f t="shared" si="2"/>
        <v>0.47900347222222223</v>
      </c>
      <c r="G24" s="262">
        <f t="shared" si="3"/>
        <v>0.50790885416666665</v>
      </c>
      <c r="H24" s="262">
        <f>CL27/((H$15*$B24)/144)</f>
        <v>0.52525208333333329</v>
      </c>
      <c r="I24" s="262">
        <f t="shared" si="5"/>
        <v>0.53681423611111112</v>
      </c>
      <c r="J24" s="262">
        <f t="shared" si="6"/>
        <v>0.54507291666666668</v>
      </c>
      <c r="K24" s="262">
        <f t="shared" si="7"/>
        <v>0.55126692708333325</v>
      </c>
      <c r="L24" s="262">
        <f t="shared" si="8"/>
        <v>0.54507291666666668</v>
      </c>
      <c r="M24" s="262">
        <f t="shared" si="9"/>
        <v>0.55002812499999998</v>
      </c>
      <c r="N24" s="262">
        <f t="shared" si="10"/>
        <v>0.55408238636363627</v>
      </c>
      <c r="O24" s="262">
        <f t="shared" si="11"/>
        <v>0.55642860243055547</v>
      </c>
      <c r="P24" s="262">
        <f t="shared" si="12"/>
        <v>0.55936678685897434</v>
      </c>
      <c r="Q24" s="262">
        <f t="shared" si="13"/>
        <v>0.56188523065476181</v>
      </c>
      <c r="R24" s="262">
        <f t="shared" si="14"/>
        <v>0.56406788194444435</v>
      </c>
      <c r="S24" s="262">
        <f t="shared" si="15"/>
        <v>0.56597770182291662</v>
      </c>
      <c r="T24" s="262">
        <f t="shared" si="16"/>
        <v>0.5676628370098038</v>
      </c>
      <c r="U24" s="262">
        <f t="shared" si="17"/>
        <v>0.55814916087962951</v>
      </c>
      <c r="V24" s="262">
        <f t="shared" si="18"/>
        <v>0.5600689418859649</v>
      </c>
      <c r="W24" s="262">
        <f t="shared" si="19"/>
        <v>0.56179674479166652</v>
      </c>
      <c r="X24" s="262"/>
      <c r="Y24" s="251"/>
      <c r="Z24" s="221"/>
      <c r="AA24" s="264"/>
      <c r="AB24" s="221"/>
      <c r="AC24" s="221"/>
      <c r="AD24" s="221"/>
      <c r="AE24" s="221"/>
      <c r="AF24" s="221"/>
      <c r="AG24" s="221"/>
      <c r="AH24" s="221"/>
      <c r="AI24" s="221"/>
      <c r="AJ24" s="221"/>
      <c r="AK24" s="221"/>
      <c r="AL24" s="221"/>
      <c r="AM24" s="221"/>
      <c r="AN24" s="221"/>
      <c r="AO24" s="221"/>
      <c r="AP24" s="221"/>
      <c r="AQ24" s="221"/>
      <c r="AT24" s="3"/>
      <c r="AU24" s="26">
        <f t="shared" si="162"/>
        <v>30</v>
      </c>
      <c r="AV24" s="27" t="str">
        <f t="shared" si="21"/>
        <v>(750)</v>
      </c>
      <c r="AW24" s="18"/>
      <c r="AX24" s="19">
        <f t="shared" si="22"/>
        <v>0.63983333333333325</v>
      </c>
      <c r="AY24" s="28" t="str">
        <f t="shared" si="23"/>
        <v>(0.06)</v>
      </c>
      <c r="AZ24" s="21">
        <v>2</v>
      </c>
      <c r="BA24" s="21">
        <f t="shared" si="24"/>
        <v>3.5</v>
      </c>
      <c r="BB24" s="29">
        <v>0</v>
      </c>
      <c r="BC24" s="21">
        <f t="shared" si="25"/>
        <v>0</v>
      </c>
      <c r="BD24" s="29">
        <v>0</v>
      </c>
      <c r="BE24" s="21">
        <f t="shared" si="26"/>
        <v>0</v>
      </c>
      <c r="BF24" s="21">
        <f t="shared" si="27"/>
        <v>3.5</v>
      </c>
      <c r="BG24" s="22">
        <f t="shared" si="28"/>
        <v>5.5</v>
      </c>
      <c r="BH24" s="205">
        <f t="shared" si="29"/>
        <v>0.98883333333333334</v>
      </c>
      <c r="BI24" s="206" t="str">
        <f t="shared" si="30"/>
        <v>(0.09)</v>
      </c>
      <c r="BJ24" s="207">
        <v>2</v>
      </c>
      <c r="BK24" s="207">
        <f t="shared" si="31"/>
        <v>3.5</v>
      </c>
      <c r="BL24" s="207">
        <v>0</v>
      </c>
      <c r="BM24" s="207">
        <f t="shared" si="32"/>
        <v>0</v>
      </c>
      <c r="BN24" s="207">
        <v>0</v>
      </c>
      <c r="BO24" s="207">
        <f t="shared" si="33"/>
        <v>0</v>
      </c>
      <c r="BP24" s="207">
        <f t="shared" si="34"/>
        <v>3.5</v>
      </c>
      <c r="BQ24" s="208">
        <f t="shared" si="35"/>
        <v>8.5</v>
      </c>
      <c r="BR24" s="205">
        <f t="shared" si="36"/>
        <v>1.6868333333333334</v>
      </c>
      <c r="BS24" s="206" t="str">
        <f t="shared" si="37"/>
        <v>(0.16)</v>
      </c>
      <c r="BT24" s="207">
        <v>2</v>
      </c>
      <c r="BU24" s="207">
        <f t="shared" si="38"/>
        <v>3.5</v>
      </c>
      <c r="BV24" s="207">
        <v>0</v>
      </c>
      <c r="BW24" s="207">
        <f t="shared" si="39"/>
        <v>0</v>
      </c>
      <c r="BX24" s="207">
        <v>0</v>
      </c>
      <c r="BY24" s="207">
        <f t="shared" si="40"/>
        <v>0</v>
      </c>
      <c r="BZ24" s="207">
        <f t="shared" si="41"/>
        <v>3.5</v>
      </c>
      <c r="CA24" s="208">
        <f t="shared" si="42"/>
        <v>14.5</v>
      </c>
      <c r="CB24" s="205">
        <f t="shared" si="43"/>
        <v>2.3848333333333334</v>
      </c>
      <c r="CC24" s="206" t="str">
        <f t="shared" si="44"/>
        <v>(0.22)</v>
      </c>
      <c r="CD24" s="207">
        <v>2</v>
      </c>
      <c r="CE24" s="207">
        <f t="shared" si="45"/>
        <v>3.5</v>
      </c>
      <c r="CF24" s="207">
        <v>0</v>
      </c>
      <c r="CG24" s="207">
        <f t="shared" si="46"/>
        <v>0</v>
      </c>
      <c r="CH24" s="207">
        <v>0</v>
      </c>
      <c r="CI24" s="207">
        <f t="shared" si="47"/>
        <v>0</v>
      </c>
      <c r="CJ24" s="207">
        <f t="shared" si="48"/>
        <v>3.5</v>
      </c>
      <c r="CK24" s="208">
        <f t="shared" si="49"/>
        <v>20.5</v>
      </c>
      <c r="CL24" s="205">
        <f t="shared" si="50"/>
        <v>3.0828333333333333</v>
      </c>
      <c r="CM24" s="206" t="str">
        <f t="shared" si="51"/>
        <v>(0.29)</v>
      </c>
      <c r="CN24" s="207">
        <v>2</v>
      </c>
      <c r="CO24" s="207">
        <f t="shared" si="52"/>
        <v>3.5</v>
      </c>
      <c r="CP24" s="207">
        <v>0</v>
      </c>
      <c r="CQ24" s="207">
        <f t="shared" si="53"/>
        <v>0</v>
      </c>
      <c r="CR24" s="207">
        <v>0</v>
      </c>
      <c r="CS24" s="207">
        <f t="shared" si="54"/>
        <v>0</v>
      </c>
      <c r="CT24" s="207">
        <f t="shared" si="55"/>
        <v>3.5</v>
      </c>
      <c r="CU24" s="208">
        <f t="shared" si="56"/>
        <v>26.5</v>
      </c>
      <c r="CV24" s="205">
        <f t="shared" si="57"/>
        <v>3.7808333333333328</v>
      </c>
      <c r="CW24" s="206" t="str">
        <f t="shared" si="58"/>
        <v>(0.35)</v>
      </c>
      <c r="CX24" s="207">
        <v>2</v>
      </c>
      <c r="CY24" s="207">
        <f t="shared" si="59"/>
        <v>3.5</v>
      </c>
      <c r="CZ24" s="207">
        <v>0</v>
      </c>
      <c r="DA24" s="207">
        <f t="shared" si="60"/>
        <v>0</v>
      </c>
      <c r="DB24" s="207">
        <v>0</v>
      </c>
      <c r="DC24" s="207">
        <f t="shared" si="61"/>
        <v>0</v>
      </c>
      <c r="DD24" s="207">
        <f t="shared" si="62"/>
        <v>3.5</v>
      </c>
      <c r="DE24" s="208">
        <f t="shared" si="63"/>
        <v>32.5</v>
      </c>
      <c r="DF24" s="205">
        <f t="shared" si="64"/>
        <v>4.4788333333333332</v>
      </c>
      <c r="DG24" s="206" t="str">
        <f t="shared" si="65"/>
        <v>(0.42)</v>
      </c>
      <c r="DH24" s="207">
        <v>2</v>
      </c>
      <c r="DI24" s="207">
        <f t="shared" si="66"/>
        <v>3.5</v>
      </c>
      <c r="DJ24" s="207">
        <v>0</v>
      </c>
      <c r="DK24" s="207">
        <f t="shared" si="67"/>
        <v>0</v>
      </c>
      <c r="DL24" s="207">
        <v>0</v>
      </c>
      <c r="DM24" s="207">
        <f t="shared" si="68"/>
        <v>0</v>
      </c>
      <c r="DN24" s="207">
        <f t="shared" si="69"/>
        <v>3.5</v>
      </c>
      <c r="DO24" s="208">
        <f t="shared" si="70"/>
        <v>38.5</v>
      </c>
      <c r="DP24" s="205">
        <f t="shared" si="71"/>
        <v>5.1768333333333327</v>
      </c>
      <c r="DQ24" s="206" t="str">
        <f t="shared" si="72"/>
        <v>(0.48)</v>
      </c>
      <c r="DR24" s="207">
        <v>2</v>
      </c>
      <c r="DS24" s="207">
        <f t="shared" si="73"/>
        <v>3.5</v>
      </c>
      <c r="DT24" s="207">
        <v>0</v>
      </c>
      <c r="DU24" s="207">
        <f t="shared" si="74"/>
        <v>0</v>
      </c>
      <c r="DV24" s="207">
        <v>0</v>
      </c>
      <c r="DW24" s="207">
        <f t="shared" si="75"/>
        <v>0</v>
      </c>
      <c r="DX24" s="207">
        <f t="shared" si="76"/>
        <v>3.5</v>
      </c>
      <c r="DY24" s="208">
        <f t="shared" si="77"/>
        <v>44.5</v>
      </c>
      <c r="DZ24" s="205">
        <f t="shared" si="78"/>
        <v>5.7584999999999997</v>
      </c>
      <c r="EA24" s="206" t="str">
        <f t="shared" si="79"/>
        <v>(0.53)</v>
      </c>
      <c r="EB24" s="207">
        <v>2</v>
      </c>
      <c r="EC24" s="207">
        <f t="shared" si="80"/>
        <v>3.5</v>
      </c>
      <c r="ED24" s="207">
        <v>0</v>
      </c>
      <c r="EE24" s="207">
        <f t="shared" si="81"/>
        <v>0</v>
      </c>
      <c r="EF24" s="207">
        <v>1</v>
      </c>
      <c r="EG24" s="207">
        <f t="shared" si="82"/>
        <v>1</v>
      </c>
      <c r="EH24" s="207">
        <f t="shared" si="83"/>
        <v>4.5</v>
      </c>
      <c r="EI24" s="208">
        <f t="shared" si="84"/>
        <v>49.5</v>
      </c>
      <c r="EJ24" s="205">
        <f t="shared" si="85"/>
        <v>6.4565000000000001</v>
      </c>
      <c r="EK24" s="206" t="str">
        <f t="shared" si="86"/>
        <v>(0.60)</v>
      </c>
      <c r="EL24" s="207">
        <v>2</v>
      </c>
      <c r="EM24" s="207">
        <f t="shared" si="87"/>
        <v>3.5</v>
      </c>
      <c r="EN24" s="207">
        <v>0</v>
      </c>
      <c r="EO24" s="207">
        <f t="shared" si="88"/>
        <v>0</v>
      </c>
      <c r="EP24" s="207">
        <v>1</v>
      </c>
      <c r="EQ24" s="207">
        <f t="shared" si="89"/>
        <v>1</v>
      </c>
      <c r="ER24" s="207">
        <f t="shared" si="90"/>
        <v>4.5</v>
      </c>
      <c r="ES24" s="208">
        <f t="shared" si="91"/>
        <v>55.5</v>
      </c>
      <c r="ET24" s="205">
        <f t="shared" si="92"/>
        <v>7.1544999999999987</v>
      </c>
      <c r="EU24" s="206" t="str">
        <f t="shared" si="93"/>
        <v>(0.66)</v>
      </c>
      <c r="EV24" s="207">
        <v>2</v>
      </c>
      <c r="EW24" s="207">
        <f t="shared" si="94"/>
        <v>3.5</v>
      </c>
      <c r="EX24" s="207">
        <v>0</v>
      </c>
      <c r="EY24" s="207">
        <f t="shared" si="95"/>
        <v>0</v>
      </c>
      <c r="EZ24" s="207">
        <v>1</v>
      </c>
      <c r="FA24" s="207">
        <f t="shared" si="96"/>
        <v>1</v>
      </c>
      <c r="FB24" s="207">
        <f t="shared" si="97"/>
        <v>4.5</v>
      </c>
      <c r="FC24" s="208">
        <f t="shared" si="98"/>
        <v>61.5</v>
      </c>
      <c r="FD24" s="205">
        <f t="shared" si="99"/>
        <v>7.8379583333333329</v>
      </c>
      <c r="FE24" s="206" t="str">
        <f t="shared" si="100"/>
        <v>(0.73)</v>
      </c>
      <c r="FF24" s="207">
        <v>2</v>
      </c>
      <c r="FG24" s="207">
        <f t="shared" si="101"/>
        <v>3.5</v>
      </c>
      <c r="FH24" s="207">
        <v>1</v>
      </c>
      <c r="FI24" s="207">
        <f t="shared" si="102"/>
        <v>1.125</v>
      </c>
      <c r="FJ24" s="207">
        <v>0</v>
      </c>
      <c r="FK24" s="207">
        <f t="shared" si="103"/>
        <v>0</v>
      </c>
      <c r="FL24" s="207">
        <f t="shared" si="104"/>
        <v>4.625</v>
      </c>
      <c r="FM24" s="208">
        <f t="shared" si="105"/>
        <v>67.375</v>
      </c>
      <c r="FN24" s="205">
        <f t="shared" si="106"/>
        <v>8.5359583333333333</v>
      </c>
      <c r="FO24" s="206" t="str">
        <f t="shared" si="107"/>
        <v>(0.79)</v>
      </c>
      <c r="FP24" s="207">
        <v>2</v>
      </c>
      <c r="FQ24" s="207">
        <f t="shared" si="108"/>
        <v>3.5</v>
      </c>
      <c r="FR24" s="207">
        <v>1</v>
      </c>
      <c r="FS24" s="207">
        <f t="shared" si="109"/>
        <v>1.125</v>
      </c>
      <c r="FT24" s="207">
        <v>0</v>
      </c>
      <c r="FU24" s="207">
        <f t="shared" si="110"/>
        <v>0</v>
      </c>
      <c r="FV24" s="207">
        <f t="shared" si="111"/>
        <v>4.625</v>
      </c>
      <c r="FW24" s="208">
        <f t="shared" si="112"/>
        <v>73.375</v>
      </c>
      <c r="FX24" s="205">
        <f t="shared" si="113"/>
        <v>9.2339583333333319</v>
      </c>
      <c r="FY24" s="206" t="str">
        <f t="shared" si="114"/>
        <v>(0.86)</v>
      </c>
      <c r="FZ24" s="207">
        <v>2</v>
      </c>
      <c r="GA24" s="207">
        <f t="shared" si="115"/>
        <v>3.5</v>
      </c>
      <c r="GB24" s="207">
        <v>1</v>
      </c>
      <c r="GC24" s="207">
        <f t="shared" si="116"/>
        <v>1.125</v>
      </c>
      <c r="GD24" s="207">
        <v>0</v>
      </c>
      <c r="GE24" s="207">
        <f t="shared" si="117"/>
        <v>0</v>
      </c>
      <c r="GF24" s="207">
        <f t="shared" si="118"/>
        <v>4.625</v>
      </c>
      <c r="GG24" s="208">
        <f t="shared" si="119"/>
        <v>79.375</v>
      </c>
      <c r="GH24" s="205">
        <f t="shared" si="120"/>
        <v>9.9319583333333341</v>
      </c>
      <c r="GI24" s="206" t="str">
        <f t="shared" si="121"/>
        <v>(0.92)</v>
      </c>
      <c r="GJ24" s="207">
        <v>2</v>
      </c>
      <c r="GK24" s="207">
        <f t="shared" si="122"/>
        <v>3.5</v>
      </c>
      <c r="GL24" s="207">
        <v>1</v>
      </c>
      <c r="GM24" s="207">
        <f t="shared" si="123"/>
        <v>1.125</v>
      </c>
      <c r="GN24" s="207">
        <v>0</v>
      </c>
      <c r="GO24" s="207">
        <f t="shared" si="124"/>
        <v>0</v>
      </c>
      <c r="GP24" s="207">
        <f t="shared" si="125"/>
        <v>4.625</v>
      </c>
      <c r="GQ24" s="208">
        <f t="shared" si="126"/>
        <v>85.375</v>
      </c>
      <c r="GR24" s="205">
        <f t="shared" si="127"/>
        <v>10.629958333333333</v>
      </c>
      <c r="GS24" s="206" t="str">
        <f t="shared" si="128"/>
        <v>(0.99)</v>
      </c>
      <c r="GT24" s="207">
        <v>2</v>
      </c>
      <c r="GU24" s="207">
        <f t="shared" si="129"/>
        <v>3.5</v>
      </c>
      <c r="GV24" s="207">
        <v>1</v>
      </c>
      <c r="GW24" s="207">
        <f t="shared" si="130"/>
        <v>1.125</v>
      </c>
      <c r="GX24" s="207">
        <v>0</v>
      </c>
      <c r="GY24" s="207">
        <f t="shared" si="131"/>
        <v>0</v>
      </c>
      <c r="GZ24" s="207">
        <f t="shared" si="132"/>
        <v>4.625</v>
      </c>
      <c r="HA24" s="208">
        <f t="shared" si="133"/>
        <v>91.375</v>
      </c>
      <c r="HB24" s="205">
        <f t="shared" si="134"/>
        <v>11.327958333333333</v>
      </c>
      <c r="HC24" s="206" t="str">
        <f t="shared" si="135"/>
        <v>(1.05)</v>
      </c>
      <c r="HD24" s="207">
        <v>2</v>
      </c>
      <c r="HE24" s="207">
        <f t="shared" si="136"/>
        <v>3.5</v>
      </c>
      <c r="HF24" s="207">
        <v>1</v>
      </c>
      <c r="HG24" s="207">
        <f t="shared" si="137"/>
        <v>1.125</v>
      </c>
      <c r="HH24" s="207">
        <v>0</v>
      </c>
      <c r="HI24" s="207">
        <f t="shared" si="138"/>
        <v>0</v>
      </c>
      <c r="HJ24" s="207">
        <f t="shared" si="139"/>
        <v>4.625</v>
      </c>
      <c r="HK24" s="208">
        <f t="shared" si="140"/>
        <v>97.375</v>
      </c>
      <c r="HL24" s="205">
        <f t="shared" si="141"/>
        <v>11.793291666666667</v>
      </c>
      <c r="HM24" s="206" t="str">
        <f t="shared" si="142"/>
        <v>(1.10)</v>
      </c>
      <c r="HN24" s="207">
        <v>2</v>
      </c>
      <c r="HO24" s="207">
        <f t="shared" si="143"/>
        <v>3.5</v>
      </c>
      <c r="HP24" s="207">
        <v>1</v>
      </c>
      <c r="HQ24" s="207">
        <f t="shared" si="144"/>
        <v>1.125</v>
      </c>
      <c r="HR24" s="207">
        <v>2</v>
      </c>
      <c r="HS24" s="207">
        <f t="shared" si="145"/>
        <v>2</v>
      </c>
      <c r="HT24" s="207">
        <f t="shared" si="146"/>
        <v>6.625</v>
      </c>
      <c r="HU24" s="208">
        <f t="shared" si="147"/>
        <v>101.375</v>
      </c>
      <c r="HV24" s="205">
        <f t="shared" si="148"/>
        <v>12.491291666666665</v>
      </c>
      <c r="HW24" s="206" t="str">
        <f t="shared" si="149"/>
        <v>(1.16)</v>
      </c>
      <c r="HX24" s="207">
        <v>2</v>
      </c>
      <c r="HY24" s="207">
        <f t="shared" si="150"/>
        <v>3.5</v>
      </c>
      <c r="HZ24" s="207">
        <v>1</v>
      </c>
      <c r="IA24" s="207">
        <f t="shared" si="151"/>
        <v>1.125</v>
      </c>
      <c r="IB24" s="207">
        <v>2</v>
      </c>
      <c r="IC24" s="207">
        <f t="shared" si="152"/>
        <v>2</v>
      </c>
      <c r="ID24" s="207">
        <f t="shared" si="153"/>
        <v>6.625</v>
      </c>
      <c r="IE24" s="208">
        <f t="shared" si="154"/>
        <v>107.375</v>
      </c>
      <c r="IF24" s="205">
        <f t="shared" si="155"/>
        <v>13.189291666666666</v>
      </c>
      <c r="IG24" s="206" t="str">
        <f t="shared" si="156"/>
        <v>(1.23)</v>
      </c>
      <c r="IH24" s="21">
        <v>2</v>
      </c>
      <c r="II24" s="21">
        <f t="shared" si="157"/>
        <v>3.5</v>
      </c>
      <c r="IJ24" s="29">
        <v>1</v>
      </c>
      <c r="IK24" s="21">
        <f t="shared" si="158"/>
        <v>1.125</v>
      </c>
      <c r="IL24" s="21">
        <v>2</v>
      </c>
      <c r="IM24" s="21">
        <f t="shared" si="159"/>
        <v>2</v>
      </c>
      <c r="IN24" s="21">
        <f t="shared" si="160"/>
        <v>6.625</v>
      </c>
      <c r="IO24" s="22">
        <f t="shared" si="161"/>
        <v>113.375</v>
      </c>
      <c r="IP24" s="23"/>
      <c r="IQ24" s="409">
        <v>6</v>
      </c>
      <c r="IR24" s="410">
        <v>2.645</v>
      </c>
      <c r="IS24" s="410">
        <v>2.645</v>
      </c>
      <c r="IT24" s="410">
        <v>0.88200000000000001</v>
      </c>
      <c r="IU24" s="410">
        <v>1.75</v>
      </c>
      <c r="IV24" s="410">
        <v>1</v>
      </c>
      <c r="IW24" s="410">
        <v>1.125</v>
      </c>
      <c r="IX24" s="7"/>
    </row>
    <row r="25" spans="2:258" ht="15.75" thickBot="1" x14ac:dyDescent="0.3">
      <c r="B25" s="258">
        <f t="shared" si="20"/>
        <v>54</v>
      </c>
      <c r="C25" s="266">
        <v>10</v>
      </c>
      <c r="D25" s="265">
        <f t="shared" si="0"/>
        <v>0.33924588477366258</v>
      </c>
      <c r="E25" s="262">
        <f t="shared" si="1"/>
        <v>0.39321682098765431</v>
      </c>
      <c r="F25" s="262">
        <f t="shared" si="2"/>
        <v>0.44718775720164605</v>
      </c>
      <c r="G25" s="262">
        <f t="shared" si="3"/>
        <v>0.47417322530864198</v>
      </c>
      <c r="H25" s="262">
        <f t="shared" si="4"/>
        <v>0.4903645061728395</v>
      </c>
      <c r="I25" s="262">
        <f t="shared" si="5"/>
        <v>0.5011586934156379</v>
      </c>
      <c r="J25" s="262">
        <f t="shared" si="6"/>
        <v>0.50886882716049375</v>
      </c>
      <c r="K25" s="262">
        <f t="shared" si="7"/>
        <v>0.51465142746913584</v>
      </c>
      <c r="L25" s="262">
        <f t="shared" si="8"/>
        <v>0.50886882716049386</v>
      </c>
      <c r="M25" s="262">
        <f t="shared" si="9"/>
        <v>0.51349490740740744</v>
      </c>
      <c r="N25" s="262">
        <f t="shared" si="10"/>
        <v>0.51727988215488208</v>
      </c>
      <c r="O25" s="262">
        <f t="shared" si="11"/>
        <v>0.51947026105967087</v>
      </c>
      <c r="P25" s="262">
        <f t="shared" si="12"/>
        <v>0.52221328941120604</v>
      </c>
      <c r="Q25" s="262">
        <f t="shared" si="13"/>
        <v>0.52456445656966488</v>
      </c>
      <c r="R25" s="262">
        <f t="shared" si="14"/>
        <v>0.52660213477366258</v>
      </c>
      <c r="S25" s="262">
        <f t="shared" si="15"/>
        <v>0.52838510320216048</v>
      </c>
      <c r="T25" s="262">
        <f t="shared" si="16"/>
        <v>0.52995831063907051</v>
      </c>
      <c r="U25" s="262">
        <f t="shared" si="17"/>
        <v>0.52107653892318251</v>
      </c>
      <c r="V25" s="262">
        <f t="shared" si="18"/>
        <v>0.52286880685510073</v>
      </c>
      <c r="W25" s="262">
        <f t="shared" si="19"/>
        <v>0.52448184799382713</v>
      </c>
      <c r="X25" s="262"/>
      <c r="Y25" s="251"/>
      <c r="Z25" s="221"/>
      <c r="AA25" s="264"/>
      <c r="AB25" s="221"/>
      <c r="AC25" s="221"/>
      <c r="AD25" s="221"/>
      <c r="AE25" s="221"/>
      <c r="AF25" s="221"/>
      <c r="AG25" s="221"/>
      <c r="AH25" s="221"/>
      <c r="AI25" s="221"/>
      <c r="AJ25" s="221"/>
      <c r="AK25" s="221"/>
      <c r="AL25" s="221"/>
      <c r="AM25" s="221"/>
      <c r="AN25" s="221"/>
      <c r="AO25" s="221"/>
      <c r="AP25" s="221"/>
      <c r="AQ25" s="221"/>
      <c r="AT25" s="3"/>
      <c r="AU25" s="13">
        <f t="shared" si="162"/>
        <v>36</v>
      </c>
      <c r="AV25" s="11" t="str">
        <f t="shared" si="21"/>
        <v>(900)</v>
      </c>
      <c r="AW25" s="18"/>
      <c r="AX25" s="19">
        <f t="shared" si="22"/>
        <v>0.78707291666666668</v>
      </c>
      <c r="AY25" s="20" t="str">
        <f t="shared" si="23"/>
        <v>(0.07)</v>
      </c>
      <c r="AZ25" s="21">
        <v>2</v>
      </c>
      <c r="BA25" s="21">
        <f t="shared" si="24"/>
        <v>3.5</v>
      </c>
      <c r="BB25" s="21">
        <v>0</v>
      </c>
      <c r="BC25" s="21">
        <f t="shared" si="25"/>
        <v>0</v>
      </c>
      <c r="BD25" s="21">
        <v>0</v>
      </c>
      <c r="BE25" s="21">
        <f t="shared" si="26"/>
        <v>0</v>
      </c>
      <c r="BF25" s="21">
        <f t="shared" si="27"/>
        <v>3.5</v>
      </c>
      <c r="BG25" s="22">
        <f t="shared" si="28"/>
        <v>5.5</v>
      </c>
      <c r="BH25" s="205">
        <f t="shared" si="29"/>
        <v>1.2163854166666666</v>
      </c>
      <c r="BI25" s="206" t="str">
        <f t="shared" si="30"/>
        <v>(0.11)</v>
      </c>
      <c r="BJ25" s="207">
        <v>2</v>
      </c>
      <c r="BK25" s="207">
        <f t="shared" si="31"/>
        <v>3.5</v>
      </c>
      <c r="BL25" s="207">
        <v>0</v>
      </c>
      <c r="BM25" s="207">
        <f t="shared" si="32"/>
        <v>0</v>
      </c>
      <c r="BN25" s="207">
        <v>0</v>
      </c>
      <c r="BO25" s="207">
        <f t="shared" si="33"/>
        <v>0</v>
      </c>
      <c r="BP25" s="207">
        <f t="shared" si="34"/>
        <v>3.5</v>
      </c>
      <c r="BQ25" s="208">
        <f t="shared" si="35"/>
        <v>8.5</v>
      </c>
      <c r="BR25" s="205">
        <f t="shared" si="36"/>
        <v>2.0750104166666663</v>
      </c>
      <c r="BS25" s="206" t="str">
        <f t="shared" si="37"/>
        <v>(0.19)</v>
      </c>
      <c r="BT25" s="207">
        <v>2</v>
      </c>
      <c r="BU25" s="207">
        <f t="shared" si="38"/>
        <v>3.5</v>
      </c>
      <c r="BV25" s="207">
        <v>0</v>
      </c>
      <c r="BW25" s="207">
        <f t="shared" si="39"/>
        <v>0</v>
      </c>
      <c r="BX25" s="207">
        <v>0</v>
      </c>
      <c r="BY25" s="207">
        <f t="shared" si="40"/>
        <v>0</v>
      </c>
      <c r="BZ25" s="207">
        <f t="shared" si="41"/>
        <v>3.5</v>
      </c>
      <c r="CA25" s="208">
        <f t="shared" si="42"/>
        <v>14.5</v>
      </c>
      <c r="CB25" s="205">
        <f t="shared" si="43"/>
        <v>2.9336354166666663</v>
      </c>
      <c r="CC25" s="206" t="str">
        <f t="shared" si="44"/>
        <v>(0.27)</v>
      </c>
      <c r="CD25" s="207">
        <v>2</v>
      </c>
      <c r="CE25" s="207">
        <f t="shared" si="45"/>
        <v>3.5</v>
      </c>
      <c r="CF25" s="207">
        <v>0</v>
      </c>
      <c r="CG25" s="207">
        <f t="shared" si="46"/>
        <v>0</v>
      </c>
      <c r="CH25" s="207">
        <v>0</v>
      </c>
      <c r="CI25" s="207">
        <f t="shared" si="47"/>
        <v>0</v>
      </c>
      <c r="CJ25" s="207">
        <f t="shared" si="48"/>
        <v>3.5</v>
      </c>
      <c r="CK25" s="208">
        <f t="shared" si="49"/>
        <v>20.5</v>
      </c>
      <c r="CL25" s="205">
        <f t="shared" si="50"/>
        <v>3.7922604166666667</v>
      </c>
      <c r="CM25" s="206" t="str">
        <f t="shared" si="51"/>
        <v>(0.35)</v>
      </c>
      <c r="CN25" s="207">
        <v>2</v>
      </c>
      <c r="CO25" s="207">
        <f t="shared" si="52"/>
        <v>3.5</v>
      </c>
      <c r="CP25" s="207">
        <v>0</v>
      </c>
      <c r="CQ25" s="207">
        <f t="shared" si="53"/>
        <v>0</v>
      </c>
      <c r="CR25" s="207">
        <v>0</v>
      </c>
      <c r="CS25" s="207">
        <f t="shared" si="54"/>
        <v>0</v>
      </c>
      <c r="CT25" s="207">
        <f t="shared" si="55"/>
        <v>3.5</v>
      </c>
      <c r="CU25" s="208">
        <f t="shared" si="56"/>
        <v>26.5</v>
      </c>
      <c r="CV25" s="205">
        <f t="shared" si="57"/>
        <v>4.6508854166666662</v>
      </c>
      <c r="CW25" s="206" t="str">
        <f t="shared" si="58"/>
        <v>(0.43)</v>
      </c>
      <c r="CX25" s="207">
        <v>2</v>
      </c>
      <c r="CY25" s="207">
        <f t="shared" si="59"/>
        <v>3.5</v>
      </c>
      <c r="CZ25" s="207">
        <v>0</v>
      </c>
      <c r="DA25" s="207">
        <f t="shared" si="60"/>
        <v>0</v>
      </c>
      <c r="DB25" s="207">
        <v>0</v>
      </c>
      <c r="DC25" s="207">
        <f t="shared" si="61"/>
        <v>0</v>
      </c>
      <c r="DD25" s="207">
        <f t="shared" si="62"/>
        <v>3.5</v>
      </c>
      <c r="DE25" s="208">
        <f t="shared" si="63"/>
        <v>32.5</v>
      </c>
      <c r="DF25" s="205">
        <f t="shared" si="64"/>
        <v>5.5095104166666671</v>
      </c>
      <c r="DG25" s="206" t="str">
        <f t="shared" si="65"/>
        <v>(0.51)</v>
      </c>
      <c r="DH25" s="207">
        <v>2</v>
      </c>
      <c r="DI25" s="207">
        <f t="shared" si="66"/>
        <v>3.5</v>
      </c>
      <c r="DJ25" s="207">
        <v>0</v>
      </c>
      <c r="DK25" s="207">
        <f t="shared" si="67"/>
        <v>0</v>
      </c>
      <c r="DL25" s="207">
        <v>0</v>
      </c>
      <c r="DM25" s="207">
        <f t="shared" si="68"/>
        <v>0</v>
      </c>
      <c r="DN25" s="207">
        <f t="shared" si="69"/>
        <v>3.5</v>
      </c>
      <c r="DO25" s="208">
        <f t="shared" si="70"/>
        <v>38.5</v>
      </c>
      <c r="DP25" s="205">
        <f t="shared" si="71"/>
        <v>6.3681354166666662</v>
      </c>
      <c r="DQ25" s="206" t="str">
        <f t="shared" si="72"/>
        <v>(0.59)</v>
      </c>
      <c r="DR25" s="207">
        <v>2</v>
      </c>
      <c r="DS25" s="207">
        <f t="shared" si="73"/>
        <v>3.5</v>
      </c>
      <c r="DT25" s="207">
        <v>0</v>
      </c>
      <c r="DU25" s="207">
        <f t="shared" si="74"/>
        <v>0</v>
      </c>
      <c r="DV25" s="207">
        <v>0</v>
      </c>
      <c r="DW25" s="207">
        <f t="shared" si="75"/>
        <v>0</v>
      </c>
      <c r="DX25" s="207">
        <f t="shared" si="76"/>
        <v>3.5</v>
      </c>
      <c r="DY25" s="208">
        <f t="shared" si="77"/>
        <v>44.5</v>
      </c>
      <c r="DZ25" s="205">
        <f t="shared" si="78"/>
        <v>7.0836562499999998</v>
      </c>
      <c r="EA25" s="206" t="str">
        <f t="shared" si="79"/>
        <v>(0.66)</v>
      </c>
      <c r="EB25" s="207">
        <v>2</v>
      </c>
      <c r="EC25" s="207">
        <f t="shared" si="80"/>
        <v>3.5</v>
      </c>
      <c r="ED25" s="207">
        <v>0</v>
      </c>
      <c r="EE25" s="207">
        <f t="shared" si="81"/>
        <v>0</v>
      </c>
      <c r="EF25" s="207">
        <v>1</v>
      </c>
      <c r="EG25" s="207">
        <f t="shared" si="82"/>
        <v>1</v>
      </c>
      <c r="EH25" s="207">
        <f t="shared" si="83"/>
        <v>4.5</v>
      </c>
      <c r="EI25" s="208">
        <f t="shared" si="84"/>
        <v>49.5</v>
      </c>
      <c r="EJ25" s="205">
        <f t="shared" si="85"/>
        <v>7.9422812499999997</v>
      </c>
      <c r="EK25" s="206" t="str">
        <f t="shared" si="86"/>
        <v>(0.74)</v>
      </c>
      <c r="EL25" s="207">
        <v>2</v>
      </c>
      <c r="EM25" s="207">
        <f t="shared" si="87"/>
        <v>3.5</v>
      </c>
      <c r="EN25" s="207">
        <v>0</v>
      </c>
      <c r="EO25" s="207">
        <f t="shared" si="88"/>
        <v>0</v>
      </c>
      <c r="EP25" s="207">
        <v>1</v>
      </c>
      <c r="EQ25" s="207">
        <f t="shared" si="89"/>
        <v>1</v>
      </c>
      <c r="ER25" s="207">
        <f t="shared" si="90"/>
        <v>4.5</v>
      </c>
      <c r="ES25" s="208">
        <f t="shared" si="91"/>
        <v>55.5</v>
      </c>
      <c r="ET25" s="205">
        <f t="shared" si="92"/>
        <v>8.8009062500000006</v>
      </c>
      <c r="EU25" s="206" t="str">
        <f t="shared" si="93"/>
        <v>(0.82)</v>
      </c>
      <c r="EV25" s="207">
        <v>2</v>
      </c>
      <c r="EW25" s="207">
        <f t="shared" si="94"/>
        <v>3.5</v>
      </c>
      <c r="EX25" s="207">
        <v>0</v>
      </c>
      <c r="EY25" s="207">
        <f t="shared" si="95"/>
        <v>0</v>
      </c>
      <c r="EZ25" s="207">
        <v>1</v>
      </c>
      <c r="FA25" s="207">
        <f t="shared" si="96"/>
        <v>1</v>
      </c>
      <c r="FB25" s="207">
        <f t="shared" si="97"/>
        <v>4.5</v>
      </c>
      <c r="FC25" s="208">
        <f t="shared" si="98"/>
        <v>61.5</v>
      </c>
      <c r="FD25" s="205">
        <f t="shared" si="99"/>
        <v>9.6416432291666663</v>
      </c>
      <c r="FE25" s="206" t="str">
        <f t="shared" si="100"/>
        <v>(0.90)</v>
      </c>
      <c r="FF25" s="207">
        <v>2</v>
      </c>
      <c r="FG25" s="207">
        <f t="shared" si="101"/>
        <v>3.5</v>
      </c>
      <c r="FH25" s="207">
        <v>1</v>
      </c>
      <c r="FI25" s="207">
        <f t="shared" si="102"/>
        <v>1.125</v>
      </c>
      <c r="FJ25" s="207">
        <v>0</v>
      </c>
      <c r="FK25" s="207">
        <f t="shared" si="103"/>
        <v>0</v>
      </c>
      <c r="FL25" s="207">
        <f t="shared" si="104"/>
        <v>4.625</v>
      </c>
      <c r="FM25" s="208">
        <f t="shared" si="105"/>
        <v>67.375</v>
      </c>
      <c r="FN25" s="205">
        <f t="shared" si="106"/>
        <v>10.500268229166666</v>
      </c>
      <c r="FO25" s="206" t="str">
        <f t="shared" si="107"/>
        <v>(0.98)</v>
      </c>
      <c r="FP25" s="207">
        <v>2</v>
      </c>
      <c r="FQ25" s="207">
        <f t="shared" si="108"/>
        <v>3.5</v>
      </c>
      <c r="FR25" s="207">
        <v>1</v>
      </c>
      <c r="FS25" s="207">
        <f t="shared" si="109"/>
        <v>1.125</v>
      </c>
      <c r="FT25" s="207">
        <v>0</v>
      </c>
      <c r="FU25" s="207">
        <f t="shared" si="110"/>
        <v>0</v>
      </c>
      <c r="FV25" s="207">
        <f t="shared" si="111"/>
        <v>4.625</v>
      </c>
      <c r="FW25" s="208">
        <f t="shared" si="112"/>
        <v>73.375</v>
      </c>
      <c r="FX25" s="205">
        <f t="shared" si="113"/>
        <v>11.358893229166666</v>
      </c>
      <c r="FY25" s="206" t="str">
        <f t="shared" si="114"/>
        <v>(1.06)</v>
      </c>
      <c r="FZ25" s="207">
        <v>2</v>
      </c>
      <c r="GA25" s="207">
        <f t="shared" si="115"/>
        <v>3.5</v>
      </c>
      <c r="GB25" s="207">
        <v>1</v>
      </c>
      <c r="GC25" s="207">
        <f t="shared" si="116"/>
        <v>1.125</v>
      </c>
      <c r="GD25" s="207">
        <v>0</v>
      </c>
      <c r="GE25" s="207">
        <f t="shared" si="117"/>
        <v>0</v>
      </c>
      <c r="GF25" s="207">
        <f t="shared" si="118"/>
        <v>4.625</v>
      </c>
      <c r="GG25" s="208">
        <f t="shared" si="119"/>
        <v>79.375</v>
      </c>
      <c r="GH25" s="205">
        <f t="shared" si="120"/>
        <v>12.217518229166666</v>
      </c>
      <c r="GI25" s="206" t="str">
        <f t="shared" si="121"/>
        <v>(1.14)</v>
      </c>
      <c r="GJ25" s="207">
        <v>2</v>
      </c>
      <c r="GK25" s="207">
        <f t="shared" si="122"/>
        <v>3.5</v>
      </c>
      <c r="GL25" s="207">
        <v>1</v>
      </c>
      <c r="GM25" s="207">
        <f t="shared" si="123"/>
        <v>1.125</v>
      </c>
      <c r="GN25" s="207">
        <v>0</v>
      </c>
      <c r="GO25" s="207">
        <f t="shared" si="124"/>
        <v>0</v>
      </c>
      <c r="GP25" s="207">
        <f t="shared" si="125"/>
        <v>4.625</v>
      </c>
      <c r="GQ25" s="208">
        <f t="shared" si="126"/>
        <v>85.375</v>
      </c>
      <c r="GR25" s="205">
        <f t="shared" si="127"/>
        <v>13.076143229166666</v>
      </c>
      <c r="GS25" s="206" t="str">
        <f t="shared" si="128"/>
        <v>(1.21)</v>
      </c>
      <c r="GT25" s="207">
        <v>2</v>
      </c>
      <c r="GU25" s="207">
        <f t="shared" si="129"/>
        <v>3.5</v>
      </c>
      <c r="GV25" s="207">
        <v>1</v>
      </c>
      <c r="GW25" s="207">
        <f t="shared" si="130"/>
        <v>1.125</v>
      </c>
      <c r="GX25" s="207">
        <v>0</v>
      </c>
      <c r="GY25" s="207">
        <f t="shared" si="131"/>
        <v>0</v>
      </c>
      <c r="GZ25" s="207">
        <f t="shared" si="132"/>
        <v>4.625</v>
      </c>
      <c r="HA25" s="208">
        <f t="shared" si="133"/>
        <v>91.375</v>
      </c>
      <c r="HB25" s="205">
        <f t="shared" si="134"/>
        <v>13.934768229166666</v>
      </c>
      <c r="HC25" s="206" t="str">
        <f t="shared" si="135"/>
        <v>(1.29)</v>
      </c>
      <c r="HD25" s="207">
        <v>2</v>
      </c>
      <c r="HE25" s="207">
        <f t="shared" si="136"/>
        <v>3.5</v>
      </c>
      <c r="HF25" s="207">
        <v>1</v>
      </c>
      <c r="HG25" s="207">
        <f t="shared" si="137"/>
        <v>1.125</v>
      </c>
      <c r="HH25" s="207">
        <v>0</v>
      </c>
      <c r="HI25" s="207">
        <f t="shared" si="138"/>
        <v>0</v>
      </c>
      <c r="HJ25" s="207">
        <f t="shared" si="139"/>
        <v>4.625</v>
      </c>
      <c r="HK25" s="208">
        <f t="shared" si="140"/>
        <v>97.375</v>
      </c>
      <c r="HL25" s="205">
        <f t="shared" si="141"/>
        <v>14.507184895833332</v>
      </c>
      <c r="HM25" s="206" t="str">
        <f t="shared" si="142"/>
        <v>(1.35)</v>
      </c>
      <c r="HN25" s="207">
        <v>2</v>
      </c>
      <c r="HO25" s="207">
        <f t="shared" si="143"/>
        <v>3.5</v>
      </c>
      <c r="HP25" s="207">
        <v>1</v>
      </c>
      <c r="HQ25" s="207">
        <f t="shared" si="144"/>
        <v>1.125</v>
      </c>
      <c r="HR25" s="207">
        <v>2</v>
      </c>
      <c r="HS25" s="207">
        <f t="shared" si="145"/>
        <v>2</v>
      </c>
      <c r="HT25" s="207">
        <f t="shared" si="146"/>
        <v>6.625</v>
      </c>
      <c r="HU25" s="208">
        <f t="shared" si="147"/>
        <v>101.375</v>
      </c>
      <c r="HV25" s="205">
        <f t="shared" si="148"/>
        <v>15.365809895833333</v>
      </c>
      <c r="HW25" s="206" t="str">
        <f t="shared" si="149"/>
        <v>(1.43)</v>
      </c>
      <c r="HX25" s="207">
        <v>2</v>
      </c>
      <c r="HY25" s="207">
        <f t="shared" si="150"/>
        <v>3.5</v>
      </c>
      <c r="HZ25" s="207">
        <v>1</v>
      </c>
      <c r="IA25" s="207">
        <f t="shared" si="151"/>
        <v>1.125</v>
      </c>
      <c r="IB25" s="207">
        <v>2</v>
      </c>
      <c r="IC25" s="207">
        <f t="shared" si="152"/>
        <v>2</v>
      </c>
      <c r="ID25" s="207">
        <f t="shared" si="153"/>
        <v>6.625</v>
      </c>
      <c r="IE25" s="208">
        <f t="shared" si="154"/>
        <v>107.375</v>
      </c>
      <c r="IF25" s="205">
        <f t="shared" si="155"/>
        <v>16.224434895833333</v>
      </c>
      <c r="IG25" s="206" t="str">
        <f t="shared" si="156"/>
        <v>(1.51)</v>
      </c>
      <c r="IH25" s="21">
        <v>2</v>
      </c>
      <c r="II25" s="21">
        <f t="shared" si="157"/>
        <v>3.5</v>
      </c>
      <c r="IJ25" s="21">
        <v>1</v>
      </c>
      <c r="IK25" s="21">
        <f t="shared" si="158"/>
        <v>1.125</v>
      </c>
      <c r="IL25" s="21">
        <v>2</v>
      </c>
      <c r="IM25" s="21">
        <f t="shared" si="159"/>
        <v>2</v>
      </c>
      <c r="IN25" s="21">
        <f t="shared" si="160"/>
        <v>6.625</v>
      </c>
      <c r="IO25" s="22">
        <f t="shared" si="161"/>
        <v>113.375</v>
      </c>
      <c r="IP25" s="23"/>
      <c r="IQ25" s="409">
        <v>7</v>
      </c>
      <c r="IR25" s="410">
        <v>2.645</v>
      </c>
      <c r="IS25" s="410">
        <v>2.645</v>
      </c>
      <c r="IT25" s="410">
        <v>2.0920000000000001</v>
      </c>
      <c r="IU25" s="410">
        <v>1.75</v>
      </c>
      <c r="IV25" s="410">
        <v>1</v>
      </c>
      <c r="IW25" s="410">
        <v>1.125</v>
      </c>
      <c r="IX25" s="7"/>
    </row>
    <row r="26" spans="2:258" ht="15.75" thickBot="1" x14ac:dyDescent="0.3">
      <c r="B26" s="258">
        <f t="shared" si="20"/>
        <v>60</v>
      </c>
      <c r="C26" s="253">
        <v>11</v>
      </c>
      <c r="D26" s="265">
        <f t="shared" si="0"/>
        <v>0.37152500000000005</v>
      </c>
      <c r="E26" s="262">
        <f t="shared" si="1"/>
        <v>0.43063125000000008</v>
      </c>
      <c r="F26" s="262">
        <f t="shared" si="2"/>
        <v>0.48973750000000005</v>
      </c>
      <c r="G26" s="262">
        <f t="shared" si="3"/>
        <v>0.51929062500000012</v>
      </c>
      <c r="H26" s="262">
        <f t="shared" si="4"/>
        <v>0.53702250000000007</v>
      </c>
      <c r="I26" s="262">
        <f t="shared" si="5"/>
        <v>0.54884374999999996</v>
      </c>
      <c r="J26" s="262">
        <f t="shared" si="6"/>
        <v>0.55728750000000005</v>
      </c>
      <c r="K26" s="262">
        <f t="shared" si="7"/>
        <v>0.56362031250000011</v>
      </c>
      <c r="L26" s="262">
        <f t="shared" si="8"/>
        <v>0.55728750000000005</v>
      </c>
      <c r="M26" s="262">
        <f t="shared" si="9"/>
        <v>0.5623537500000001</v>
      </c>
      <c r="N26" s="262">
        <f t="shared" si="10"/>
        <v>0.56649886363636359</v>
      </c>
      <c r="O26" s="262">
        <f t="shared" si="11"/>
        <v>0.56889765625000011</v>
      </c>
      <c r="P26" s="262">
        <f t="shared" si="12"/>
        <v>0.57190168269230779</v>
      </c>
      <c r="Q26" s="262">
        <f t="shared" si="13"/>
        <v>0.57447656250000012</v>
      </c>
      <c r="R26" s="262">
        <f t="shared" si="14"/>
        <v>0.57670812500000002</v>
      </c>
      <c r="S26" s="262">
        <f t="shared" si="15"/>
        <v>0.57866074218750008</v>
      </c>
      <c r="T26" s="262">
        <f t="shared" si="16"/>
        <v>0.58038363970588236</v>
      </c>
      <c r="U26" s="262">
        <f t="shared" si="17"/>
        <v>0.57065677083333333</v>
      </c>
      <c r="V26" s="262">
        <f t="shared" si="18"/>
        <v>0.57261957236842109</v>
      </c>
      <c r="W26" s="262">
        <f t="shared" si="19"/>
        <v>0.57438609375000005</v>
      </c>
      <c r="X26" s="262"/>
      <c r="Y26" s="251"/>
      <c r="Z26" s="221"/>
      <c r="AA26" s="264"/>
      <c r="AB26" s="221"/>
      <c r="AC26" s="221"/>
      <c r="AD26" s="221"/>
      <c r="AE26" s="221"/>
      <c r="AF26" s="221"/>
      <c r="AG26" s="221"/>
      <c r="AH26" s="221"/>
      <c r="AI26" s="221"/>
      <c r="AJ26" s="221"/>
      <c r="AK26" s="221"/>
      <c r="AL26" s="221"/>
      <c r="AM26" s="221"/>
      <c r="AN26" s="221"/>
      <c r="AO26" s="221"/>
      <c r="AP26" s="221"/>
      <c r="AQ26" s="221"/>
      <c r="AT26" s="3"/>
      <c r="AU26" s="13">
        <f t="shared" si="162"/>
        <v>42</v>
      </c>
      <c r="AV26" s="11" t="str">
        <f t="shared" si="21"/>
        <v>(1050)</v>
      </c>
      <c r="AW26" s="18"/>
      <c r="AX26" s="19">
        <f t="shared" si="22"/>
        <v>0.94290625000000006</v>
      </c>
      <c r="AY26" s="20" t="str">
        <f t="shared" si="23"/>
        <v>(0.09)</v>
      </c>
      <c r="AZ26" s="21">
        <v>2</v>
      </c>
      <c r="BA26" s="21">
        <f t="shared" si="24"/>
        <v>3.5</v>
      </c>
      <c r="BB26" s="21">
        <v>0</v>
      </c>
      <c r="BC26" s="21">
        <f t="shared" si="25"/>
        <v>0</v>
      </c>
      <c r="BD26" s="21">
        <v>0</v>
      </c>
      <c r="BE26" s="21">
        <f t="shared" si="26"/>
        <v>0</v>
      </c>
      <c r="BF26" s="21">
        <f t="shared" si="27"/>
        <v>3.5</v>
      </c>
      <c r="BG26" s="22">
        <f t="shared" si="28"/>
        <v>5.5</v>
      </c>
      <c r="BH26" s="205">
        <f t="shared" si="29"/>
        <v>1.45721875</v>
      </c>
      <c r="BI26" s="206" t="str">
        <f t="shared" si="30"/>
        <v>(0.14)</v>
      </c>
      <c r="BJ26" s="207">
        <v>2</v>
      </c>
      <c r="BK26" s="207">
        <f t="shared" si="31"/>
        <v>3.5</v>
      </c>
      <c r="BL26" s="207">
        <v>0</v>
      </c>
      <c r="BM26" s="207">
        <f t="shared" si="32"/>
        <v>0</v>
      </c>
      <c r="BN26" s="207">
        <v>0</v>
      </c>
      <c r="BO26" s="207">
        <f t="shared" si="33"/>
        <v>0</v>
      </c>
      <c r="BP26" s="207">
        <f t="shared" si="34"/>
        <v>3.5</v>
      </c>
      <c r="BQ26" s="208">
        <f t="shared" si="35"/>
        <v>8.5</v>
      </c>
      <c r="BR26" s="205">
        <f t="shared" si="36"/>
        <v>2.4858437499999999</v>
      </c>
      <c r="BS26" s="206" t="str">
        <f t="shared" si="37"/>
        <v>(0.23)</v>
      </c>
      <c r="BT26" s="207">
        <v>2</v>
      </c>
      <c r="BU26" s="207">
        <f t="shared" si="38"/>
        <v>3.5</v>
      </c>
      <c r="BV26" s="207">
        <v>0</v>
      </c>
      <c r="BW26" s="207">
        <f t="shared" si="39"/>
        <v>0</v>
      </c>
      <c r="BX26" s="207">
        <v>0</v>
      </c>
      <c r="BY26" s="207">
        <f t="shared" si="40"/>
        <v>0</v>
      </c>
      <c r="BZ26" s="207">
        <f t="shared" si="41"/>
        <v>3.5</v>
      </c>
      <c r="CA26" s="208">
        <f t="shared" si="42"/>
        <v>14.5</v>
      </c>
      <c r="CB26" s="205">
        <f t="shared" si="43"/>
        <v>3.5144687500000003</v>
      </c>
      <c r="CC26" s="206" t="str">
        <f t="shared" si="44"/>
        <v>(0.33)</v>
      </c>
      <c r="CD26" s="207">
        <v>2</v>
      </c>
      <c r="CE26" s="207">
        <f t="shared" si="45"/>
        <v>3.5</v>
      </c>
      <c r="CF26" s="207">
        <v>0</v>
      </c>
      <c r="CG26" s="207">
        <f t="shared" si="46"/>
        <v>0</v>
      </c>
      <c r="CH26" s="207">
        <v>0</v>
      </c>
      <c r="CI26" s="207">
        <f t="shared" si="47"/>
        <v>0</v>
      </c>
      <c r="CJ26" s="207">
        <f t="shared" si="48"/>
        <v>3.5</v>
      </c>
      <c r="CK26" s="208">
        <f t="shared" si="49"/>
        <v>20.5</v>
      </c>
      <c r="CL26" s="205">
        <f t="shared" si="50"/>
        <v>4.5430937500000006</v>
      </c>
      <c r="CM26" s="206" t="str">
        <f t="shared" si="51"/>
        <v>(0.42)</v>
      </c>
      <c r="CN26" s="207">
        <v>2</v>
      </c>
      <c r="CO26" s="207">
        <f t="shared" si="52"/>
        <v>3.5</v>
      </c>
      <c r="CP26" s="207">
        <v>0</v>
      </c>
      <c r="CQ26" s="207">
        <f t="shared" si="53"/>
        <v>0</v>
      </c>
      <c r="CR26" s="207">
        <v>0</v>
      </c>
      <c r="CS26" s="207">
        <f t="shared" si="54"/>
        <v>0</v>
      </c>
      <c r="CT26" s="207">
        <f t="shared" si="55"/>
        <v>3.5</v>
      </c>
      <c r="CU26" s="208">
        <f t="shared" si="56"/>
        <v>26.5</v>
      </c>
      <c r="CV26" s="205">
        <f t="shared" si="57"/>
        <v>5.5717187499999996</v>
      </c>
      <c r="CW26" s="206" t="str">
        <f t="shared" si="58"/>
        <v>(0.52)</v>
      </c>
      <c r="CX26" s="207">
        <v>2</v>
      </c>
      <c r="CY26" s="207">
        <f t="shared" si="59"/>
        <v>3.5</v>
      </c>
      <c r="CZ26" s="207">
        <v>0</v>
      </c>
      <c r="DA26" s="207">
        <f t="shared" si="60"/>
        <v>0</v>
      </c>
      <c r="DB26" s="207">
        <v>0</v>
      </c>
      <c r="DC26" s="207">
        <f t="shared" si="61"/>
        <v>0</v>
      </c>
      <c r="DD26" s="207">
        <f t="shared" si="62"/>
        <v>3.5</v>
      </c>
      <c r="DE26" s="208">
        <f t="shared" si="63"/>
        <v>32.5</v>
      </c>
      <c r="DF26" s="205">
        <f t="shared" si="64"/>
        <v>6.6003437500000004</v>
      </c>
      <c r="DG26" s="206" t="str">
        <f t="shared" si="65"/>
        <v>(0.61)</v>
      </c>
      <c r="DH26" s="207">
        <v>2</v>
      </c>
      <c r="DI26" s="207">
        <f t="shared" si="66"/>
        <v>3.5</v>
      </c>
      <c r="DJ26" s="207">
        <v>0</v>
      </c>
      <c r="DK26" s="207">
        <f t="shared" si="67"/>
        <v>0</v>
      </c>
      <c r="DL26" s="207">
        <v>0</v>
      </c>
      <c r="DM26" s="207">
        <f t="shared" si="68"/>
        <v>0</v>
      </c>
      <c r="DN26" s="207">
        <f t="shared" si="69"/>
        <v>3.5</v>
      </c>
      <c r="DO26" s="208">
        <f t="shared" si="70"/>
        <v>38.5</v>
      </c>
      <c r="DP26" s="205">
        <f t="shared" si="71"/>
        <v>7.6289687500000003</v>
      </c>
      <c r="DQ26" s="206" t="str">
        <f t="shared" si="72"/>
        <v>(0.71)</v>
      </c>
      <c r="DR26" s="207">
        <v>2</v>
      </c>
      <c r="DS26" s="207">
        <f t="shared" si="73"/>
        <v>3.5</v>
      </c>
      <c r="DT26" s="207">
        <v>0</v>
      </c>
      <c r="DU26" s="207">
        <f t="shared" si="74"/>
        <v>0</v>
      </c>
      <c r="DV26" s="207">
        <v>0</v>
      </c>
      <c r="DW26" s="207">
        <f t="shared" si="75"/>
        <v>0</v>
      </c>
      <c r="DX26" s="207">
        <f t="shared" si="76"/>
        <v>3.5</v>
      </c>
      <c r="DY26" s="208">
        <f t="shared" si="77"/>
        <v>44.5</v>
      </c>
      <c r="DZ26" s="205">
        <f t="shared" si="78"/>
        <v>8.4861562500000005</v>
      </c>
      <c r="EA26" s="206" t="str">
        <f t="shared" si="79"/>
        <v>(0.79)</v>
      </c>
      <c r="EB26" s="207">
        <v>2</v>
      </c>
      <c r="EC26" s="207">
        <f t="shared" si="80"/>
        <v>3.5</v>
      </c>
      <c r="ED26" s="207">
        <v>0</v>
      </c>
      <c r="EE26" s="207">
        <f t="shared" si="81"/>
        <v>0</v>
      </c>
      <c r="EF26" s="207">
        <v>1</v>
      </c>
      <c r="EG26" s="207">
        <f t="shared" si="82"/>
        <v>1</v>
      </c>
      <c r="EH26" s="207">
        <f t="shared" si="83"/>
        <v>4.5</v>
      </c>
      <c r="EI26" s="208">
        <f t="shared" si="84"/>
        <v>49.5</v>
      </c>
      <c r="EJ26" s="205">
        <f t="shared" si="85"/>
        <v>9.5147812500000004</v>
      </c>
      <c r="EK26" s="206" t="str">
        <f t="shared" si="86"/>
        <v>(0.88)</v>
      </c>
      <c r="EL26" s="207">
        <v>2</v>
      </c>
      <c r="EM26" s="207">
        <f t="shared" si="87"/>
        <v>3.5</v>
      </c>
      <c r="EN26" s="207">
        <v>0</v>
      </c>
      <c r="EO26" s="207">
        <f t="shared" si="88"/>
        <v>0</v>
      </c>
      <c r="EP26" s="207">
        <v>1</v>
      </c>
      <c r="EQ26" s="207">
        <f t="shared" si="89"/>
        <v>1</v>
      </c>
      <c r="ER26" s="207">
        <f t="shared" si="90"/>
        <v>4.5</v>
      </c>
      <c r="ES26" s="208">
        <f t="shared" si="91"/>
        <v>55.5</v>
      </c>
      <c r="ET26" s="205">
        <f t="shared" si="92"/>
        <v>10.54340625</v>
      </c>
      <c r="EU26" s="206" t="str">
        <f t="shared" si="93"/>
        <v>(0.98)</v>
      </c>
      <c r="EV26" s="207">
        <v>2</v>
      </c>
      <c r="EW26" s="207">
        <f t="shared" si="94"/>
        <v>3.5</v>
      </c>
      <c r="EX26" s="207">
        <v>0</v>
      </c>
      <c r="EY26" s="207">
        <f t="shared" si="95"/>
        <v>0</v>
      </c>
      <c r="EZ26" s="207">
        <v>1</v>
      </c>
      <c r="FA26" s="207">
        <f t="shared" si="96"/>
        <v>1</v>
      </c>
      <c r="FB26" s="207">
        <f t="shared" si="97"/>
        <v>4.5</v>
      </c>
      <c r="FC26" s="208">
        <f t="shared" si="98"/>
        <v>61.5</v>
      </c>
      <c r="FD26" s="205">
        <f t="shared" si="99"/>
        <v>11.550601562500001</v>
      </c>
      <c r="FE26" s="206" t="str">
        <f t="shared" si="100"/>
        <v>(1.07)</v>
      </c>
      <c r="FF26" s="207">
        <v>2</v>
      </c>
      <c r="FG26" s="207">
        <f t="shared" si="101"/>
        <v>3.5</v>
      </c>
      <c r="FH26" s="207">
        <v>1</v>
      </c>
      <c r="FI26" s="207">
        <f t="shared" si="102"/>
        <v>1.125</v>
      </c>
      <c r="FJ26" s="207">
        <v>0</v>
      </c>
      <c r="FK26" s="207">
        <f t="shared" si="103"/>
        <v>0</v>
      </c>
      <c r="FL26" s="207">
        <f t="shared" si="104"/>
        <v>4.625</v>
      </c>
      <c r="FM26" s="208">
        <f t="shared" si="105"/>
        <v>67.375</v>
      </c>
      <c r="FN26" s="205">
        <f t="shared" si="106"/>
        <v>12.579226562500001</v>
      </c>
      <c r="FO26" s="206" t="str">
        <f t="shared" si="107"/>
        <v>(1.17)</v>
      </c>
      <c r="FP26" s="207">
        <v>2</v>
      </c>
      <c r="FQ26" s="207">
        <f t="shared" si="108"/>
        <v>3.5</v>
      </c>
      <c r="FR26" s="207">
        <v>1</v>
      </c>
      <c r="FS26" s="207">
        <f t="shared" si="109"/>
        <v>1.125</v>
      </c>
      <c r="FT26" s="207">
        <v>0</v>
      </c>
      <c r="FU26" s="207">
        <f t="shared" si="110"/>
        <v>0</v>
      </c>
      <c r="FV26" s="207">
        <f t="shared" si="111"/>
        <v>4.625</v>
      </c>
      <c r="FW26" s="208">
        <f t="shared" si="112"/>
        <v>73.375</v>
      </c>
      <c r="FX26" s="205">
        <f t="shared" si="113"/>
        <v>13.6078515625</v>
      </c>
      <c r="FY26" s="206" t="str">
        <f t="shared" si="114"/>
        <v>(1.26)</v>
      </c>
      <c r="FZ26" s="207">
        <v>2</v>
      </c>
      <c r="GA26" s="207">
        <f t="shared" si="115"/>
        <v>3.5</v>
      </c>
      <c r="GB26" s="207">
        <v>1</v>
      </c>
      <c r="GC26" s="207">
        <f t="shared" si="116"/>
        <v>1.125</v>
      </c>
      <c r="GD26" s="207">
        <v>0</v>
      </c>
      <c r="GE26" s="207">
        <f t="shared" si="117"/>
        <v>0</v>
      </c>
      <c r="GF26" s="207">
        <f t="shared" si="118"/>
        <v>4.625</v>
      </c>
      <c r="GG26" s="208">
        <f t="shared" si="119"/>
        <v>79.375</v>
      </c>
      <c r="GH26" s="205">
        <f t="shared" si="120"/>
        <v>14.6364765625</v>
      </c>
      <c r="GI26" s="206" t="str">
        <f t="shared" si="121"/>
        <v>(1.36)</v>
      </c>
      <c r="GJ26" s="207">
        <v>2</v>
      </c>
      <c r="GK26" s="207">
        <f t="shared" si="122"/>
        <v>3.5</v>
      </c>
      <c r="GL26" s="207">
        <v>1</v>
      </c>
      <c r="GM26" s="207">
        <f t="shared" si="123"/>
        <v>1.125</v>
      </c>
      <c r="GN26" s="207">
        <v>0</v>
      </c>
      <c r="GO26" s="207">
        <f t="shared" si="124"/>
        <v>0</v>
      </c>
      <c r="GP26" s="207">
        <f t="shared" si="125"/>
        <v>4.625</v>
      </c>
      <c r="GQ26" s="208">
        <f t="shared" si="126"/>
        <v>85.375</v>
      </c>
      <c r="GR26" s="205">
        <f t="shared" si="127"/>
        <v>15.6651015625</v>
      </c>
      <c r="GS26" s="206" t="str">
        <f t="shared" si="128"/>
        <v>(1.46)</v>
      </c>
      <c r="GT26" s="207">
        <v>2</v>
      </c>
      <c r="GU26" s="207">
        <f t="shared" si="129"/>
        <v>3.5</v>
      </c>
      <c r="GV26" s="207">
        <v>1</v>
      </c>
      <c r="GW26" s="207">
        <f t="shared" si="130"/>
        <v>1.125</v>
      </c>
      <c r="GX26" s="207">
        <v>0</v>
      </c>
      <c r="GY26" s="207">
        <f t="shared" si="131"/>
        <v>0</v>
      </c>
      <c r="GZ26" s="207">
        <f t="shared" si="132"/>
        <v>4.625</v>
      </c>
      <c r="HA26" s="208">
        <f t="shared" si="133"/>
        <v>91.375</v>
      </c>
      <c r="HB26" s="205">
        <f t="shared" si="134"/>
        <v>16.693726562500004</v>
      </c>
      <c r="HC26" s="206" t="str">
        <f t="shared" si="135"/>
        <v>(1.55)</v>
      </c>
      <c r="HD26" s="207">
        <v>2</v>
      </c>
      <c r="HE26" s="207">
        <f t="shared" si="136"/>
        <v>3.5</v>
      </c>
      <c r="HF26" s="207">
        <v>1</v>
      </c>
      <c r="HG26" s="207">
        <f t="shared" si="137"/>
        <v>1.125</v>
      </c>
      <c r="HH26" s="207">
        <v>0</v>
      </c>
      <c r="HI26" s="207">
        <f t="shared" si="138"/>
        <v>0</v>
      </c>
      <c r="HJ26" s="207">
        <f t="shared" si="139"/>
        <v>4.625</v>
      </c>
      <c r="HK26" s="208">
        <f t="shared" si="140"/>
        <v>97.375</v>
      </c>
      <c r="HL26" s="205">
        <f t="shared" si="141"/>
        <v>17.379476562499999</v>
      </c>
      <c r="HM26" s="206" t="str">
        <f t="shared" si="142"/>
        <v>(1.61)</v>
      </c>
      <c r="HN26" s="207">
        <v>2</v>
      </c>
      <c r="HO26" s="207">
        <f t="shared" si="143"/>
        <v>3.5</v>
      </c>
      <c r="HP26" s="207">
        <v>1</v>
      </c>
      <c r="HQ26" s="207">
        <f t="shared" si="144"/>
        <v>1.125</v>
      </c>
      <c r="HR26" s="207">
        <v>2</v>
      </c>
      <c r="HS26" s="207">
        <f t="shared" si="145"/>
        <v>2</v>
      </c>
      <c r="HT26" s="207">
        <f t="shared" si="146"/>
        <v>6.625</v>
      </c>
      <c r="HU26" s="208">
        <f t="shared" si="147"/>
        <v>101.375</v>
      </c>
      <c r="HV26" s="205">
        <f t="shared" si="148"/>
        <v>18.408101562500001</v>
      </c>
      <c r="HW26" s="206" t="str">
        <f t="shared" si="149"/>
        <v>(1.71)</v>
      </c>
      <c r="HX26" s="207">
        <v>2</v>
      </c>
      <c r="HY26" s="207">
        <f t="shared" si="150"/>
        <v>3.5</v>
      </c>
      <c r="HZ26" s="207">
        <v>1</v>
      </c>
      <c r="IA26" s="207">
        <f t="shared" si="151"/>
        <v>1.125</v>
      </c>
      <c r="IB26" s="207">
        <v>2</v>
      </c>
      <c r="IC26" s="207">
        <f t="shared" si="152"/>
        <v>2</v>
      </c>
      <c r="ID26" s="207">
        <f t="shared" si="153"/>
        <v>6.625</v>
      </c>
      <c r="IE26" s="208">
        <f t="shared" si="154"/>
        <v>107.375</v>
      </c>
      <c r="IF26" s="205">
        <f t="shared" si="155"/>
        <v>19.436726562499999</v>
      </c>
      <c r="IG26" s="206" t="str">
        <f t="shared" si="156"/>
        <v>(1.81)</v>
      </c>
      <c r="IH26" s="21">
        <v>2</v>
      </c>
      <c r="II26" s="21">
        <f t="shared" si="157"/>
        <v>3.5</v>
      </c>
      <c r="IJ26" s="21">
        <v>1</v>
      </c>
      <c r="IK26" s="21">
        <f t="shared" si="158"/>
        <v>1.125</v>
      </c>
      <c r="IL26" s="21">
        <v>2</v>
      </c>
      <c r="IM26" s="21">
        <f t="shared" si="159"/>
        <v>2</v>
      </c>
      <c r="IN26" s="21">
        <f t="shared" si="160"/>
        <v>6.625</v>
      </c>
      <c r="IO26" s="22">
        <f t="shared" si="161"/>
        <v>113.375</v>
      </c>
      <c r="IP26" s="23"/>
      <c r="IQ26" s="409">
        <v>9</v>
      </c>
      <c r="IR26" s="410">
        <v>2.645</v>
      </c>
      <c r="IS26" s="410">
        <v>2.645</v>
      </c>
      <c r="IT26" s="410">
        <v>0.88200000000000001</v>
      </c>
      <c r="IU26" s="410">
        <v>1.75</v>
      </c>
      <c r="IV26" s="410">
        <v>1</v>
      </c>
      <c r="IW26" s="410">
        <v>1.125</v>
      </c>
      <c r="IX26" s="7"/>
    </row>
    <row r="27" spans="2:258" ht="15.75" thickBot="1" x14ac:dyDescent="0.3">
      <c r="B27" s="258">
        <f t="shared" si="20"/>
        <v>66</v>
      </c>
      <c r="C27" s="266">
        <v>12</v>
      </c>
      <c r="D27" s="265">
        <f t="shared" si="0"/>
        <v>0.37552777777777779</v>
      </c>
      <c r="E27" s="262">
        <f t="shared" si="1"/>
        <v>0.43527083333333338</v>
      </c>
      <c r="F27" s="262">
        <f t="shared" si="2"/>
        <v>0.49501388888888892</v>
      </c>
      <c r="G27" s="262">
        <f t="shared" si="3"/>
        <v>0.52488541666666666</v>
      </c>
      <c r="H27" s="262">
        <f t="shared" si="4"/>
        <v>0.54280833333333345</v>
      </c>
      <c r="I27" s="262">
        <f t="shared" si="5"/>
        <v>0.55475694444444434</v>
      </c>
      <c r="J27" s="262">
        <f t="shared" si="6"/>
        <v>0.56329166666666663</v>
      </c>
      <c r="K27" s="262">
        <f t="shared" si="7"/>
        <v>0.5696927083333333</v>
      </c>
      <c r="L27" s="262">
        <f t="shared" si="8"/>
        <v>0.56329166666666663</v>
      </c>
      <c r="M27" s="262">
        <f t="shared" si="9"/>
        <v>0.56841249999999999</v>
      </c>
      <c r="N27" s="262">
        <f t="shared" si="10"/>
        <v>0.57260227272727271</v>
      </c>
      <c r="O27" s="262">
        <f t="shared" si="11"/>
        <v>0.57502690972222226</v>
      </c>
      <c r="P27" s="262">
        <f t="shared" si="12"/>
        <v>0.5780633012820513</v>
      </c>
      <c r="Q27" s="262">
        <f t="shared" si="13"/>
        <v>0.58066592261904759</v>
      </c>
      <c r="R27" s="262">
        <f t="shared" si="14"/>
        <v>0.58292152777777773</v>
      </c>
      <c r="S27" s="262">
        <f t="shared" si="15"/>
        <v>0.5848951822916667</v>
      </c>
      <c r="T27" s="262">
        <f t="shared" si="16"/>
        <v>0.58663664215686273</v>
      </c>
      <c r="U27" s="262">
        <f t="shared" si="17"/>
        <v>0.57680497685185184</v>
      </c>
      <c r="V27" s="262">
        <f t="shared" si="18"/>
        <v>0.57878892543859661</v>
      </c>
      <c r="W27" s="262">
        <f t="shared" si="19"/>
        <v>0.58057447916666671</v>
      </c>
      <c r="X27" s="262"/>
      <c r="Y27" s="251"/>
      <c r="Z27" s="221"/>
      <c r="AA27" s="264"/>
      <c r="AB27" s="221"/>
      <c r="AC27" s="221"/>
      <c r="AD27" s="221"/>
      <c r="AE27" s="221"/>
      <c r="AF27" s="221"/>
      <c r="AG27" s="221"/>
      <c r="AH27" s="221"/>
      <c r="AI27" s="221"/>
      <c r="AJ27" s="221"/>
      <c r="AK27" s="221"/>
      <c r="AL27" s="221"/>
      <c r="AM27" s="221"/>
      <c r="AN27" s="221"/>
      <c r="AO27" s="221"/>
      <c r="AP27" s="221"/>
      <c r="AQ27" s="221"/>
      <c r="AT27" s="3"/>
      <c r="AU27" s="13">
        <f t="shared" si="162"/>
        <v>48</v>
      </c>
      <c r="AV27" s="11" t="str">
        <f t="shared" si="21"/>
        <v>(1200)</v>
      </c>
      <c r="AW27" s="18"/>
      <c r="AX27" s="19">
        <f t="shared" si="22"/>
        <v>1.0901458333333334</v>
      </c>
      <c r="AY27" s="20" t="str">
        <f t="shared" si="23"/>
        <v>(0.10)</v>
      </c>
      <c r="AZ27" s="21">
        <v>2</v>
      </c>
      <c r="BA27" s="21">
        <f t="shared" si="24"/>
        <v>3.5</v>
      </c>
      <c r="BB27" s="21">
        <v>0</v>
      </c>
      <c r="BC27" s="21">
        <f t="shared" si="25"/>
        <v>0</v>
      </c>
      <c r="BD27" s="21">
        <v>0</v>
      </c>
      <c r="BE27" s="21">
        <f t="shared" si="26"/>
        <v>0</v>
      </c>
      <c r="BF27" s="21">
        <f t="shared" si="27"/>
        <v>3.5</v>
      </c>
      <c r="BG27" s="22">
        <f t="shared" si="28"/>
        <v>5.5</v>
      </c>
      <c r="BH27" s="205">
        <f t="shared" si="29"/>
        <v>1.6847708333333331</v>
      </c>
      <c r="BI27" s="206" t="str">
        <f t="shared" si="30"/>
        <v>(0.16)</v>
      </c>
      <c r="BJ27" s="207">
        <v>2</v>
      </c>
      <c r="BK27" s="207">
        <f t="shared" si="31"/>
        <v>3.5</v>
      </c>
      <c r="BL27" s="207">
        <v>0</v>
      </c>
      <c r="BM27" s="207">
        <f t="shared" si="32"/>
        <v>0</v>
      </c>
      <c r="BN27" s="207">
        <v>0</v>
      </c>
      <c r="BO27" s="207">
        <f t="shared" si="33"/>
        <v>0</v>
      </c>
      <c r="BP27" s="207">
        <f t="shared" si="34"/>
        <v>3.5</v>
      </c>
      <c r="BQ27" s="208">
        <f t="shared" si="35"/>
        <v>8.5</v>
      </c>
      <c r="BR27" s="205">
        <f t="shared" si="36"/>
        <v>2.8740208333333332</v>
      </c>
      <c r="BS27" s="206" t="str">
        <f t="shared" si="37"/>
        <v>(0.27)</v>
      </c>
      <c r="BT27" s="207">
        <v>2</v>
      </c>
      <c r="BU27" s="207">
        <f t="shared" si="38"/>
        <v>3.5</v>
      </c>
      <c r="BV27" s="207">
        <v>0</v>
      </c>
      <c r="BW27" s="207">
        <f t="shared" si="39"/>
        <v>0</v>
      </c>
      <c r="BX27" s="207">
        <v>0</v>
      </c>
      <c r="BY27" s="207">
        <f t="shared" si="40"/>
        <v>0</v>
      </c>
      <c r="BZ27" s="207">
        <f t="shared" si="41"/>
        <v>3.5</v>
      </c>
      <c r="CA27" s="208">
        <f t="shared" si="42"/>
        <v>14.5</v>
      </c>
      <c r="CB27" s="205">
        <f t="shared" si="43"/>
        <v>4.0632708333333332</v>
      </c>
      <c r="CC27" s="206" t="str">
        <f t="shared" si="44"/>
        <v>(0.38)</v>
      </c>
      <c r="CD27" s="207">
        <v>2</v>
      </c>
      <c r="CE27" s="207">
        <f t="shared" si="45"/>
        <v>3.5</v>
      </c>
      <c r="CF27" s="207">
        <v>0</v>
      </c>
      <c r="CG27" s="207">
        <f t="shared" si="46"/>
        <v>0</v>
      </c>
      <c r="CH27" s="207">
        <v>0</v>
      </c>
      <c r="CI27" s="207">
        <f t="shared" si="47"/>
        <v>0</v>
      </c>
      <c r="CJ27" s="207">
        <f t="shared" si="48"/>
        <v>3.5</v>
      </c>
      <c r="CK27" s="208">
        <f t="shared" si="49"/>
        <v>20.5</v>
      </c>
      <c r="CL27" s="205">
        <f t="shared" si="50"/>
        <v>5.2525208333333326</v>
      </c>
      <c r="CM27" s="206" t="str">
        <f t="shared" si="51"/>
        <v>(0.49)</v>
      </c>
      <c r="CN27" s="207">
        <v>2</v>
      </c>
      <c r="CO27" s="207">
        <f t="shared" si="52"/>
        <v>3.5</v>
      </c>
      <c r="CP27" s="207">
        <v>0</v>
      </c>
      <c r="CQ27" s="207">
        <f t="shared" si="53"/>
        <v>0</v>
      </c>
      <c r="CR27" s="207">
        <v>0</v>
      </c>
      <c r="CS27" s="207">
        <f t="shared" si="54"/>
        <v>0</v>
      </c>
      <c r="CT27" s="207">
        <f t="shared" si="55"/>
        <v>3.5</v>
      </c>
      <c r="CU27" s="208">
        <f t="shared" si="56"/>
        <v>26.5</v>
      </c>
      <c r="CV27" s="205">
        <f t="shared" si="57"/>
        <v>6.441770833333333</v>
      </c>
      <c r="CW27" s="206" t="str">
        <f t="shared" si="58"/>
        <v>(0.6)</v>
      </c>
      <c r="CX27" s="207">
        <v>2</v>
      </c>
      <c r="CY27" s="207">
        <f t="shared" si="59"/>
        <v>3.5</v>
      </c>
      <c r="CZ27" s="207">
        <v>0</v>
      </c>
      <c r="DA27" s="207">
        <f t="shared" si="60"/>
        <v>0</v>
      </c>
      <c r="DB27" s="207">
        <v>0</v>
      </c>
      <c r="DC27" s="207">
        <f t="shared" si="61"/>
        <v>0</v>
      </c>
      <c r="DD27" s="207">
        <f t="shared" si="62"/>
        <v>3.5</v>
      </c>
      <c r="DE27" s="208">
        <f t="shared" si="63"/>
        <v>32.5</v>
      </c>
      <c r="DF27" s="205">
        <f t="shared" si="64"/>
        <v>7.6310208333333334</v>
      </c>
      <c r="DG27" s="206" t="str">
        <f t="shared" si="65"/>
        <v>(0.71)</v>
      </c>
      <c r="DH27" s="207">
        <v>2</v>
      </c>
      <c r="DI27" s="207">
        <f t="shared" si="66"/>
        <v>3.5</v>
      </c>
      <c r="DJ27" s="207">
        <v>0</v>
      </c>
      <c r="DK27" s="207">
        <f t="shared" si="67"/>
        <v>0</v>
      </c>
      <c r="DL27" s="207">
        <v>0</v>
      </c>
      <c r="DM27" s="207">
        <f t="shared" si="68"/>
        <v>0</v>
      </c>
      <c r="DN27" s="207">
        <f t="shared" si="69"/>
        <v>3.5</v>
      </c>
      <c r="DO27" s="208">
        <f t="shared" si="70"/>
        <v>38.5</v>
      </c>
      <c r="DP27" s="209">
        <f t="shared" si="71"/>
        <v>8.820270833333332</v>
      </c>
      <c r="DQ27" s="210" t="str">
        <f t="shared" si="72"/>
        <v>(0.82)</v>
      </c>
      <c r="DR27" s="207">
        <v>2</v>
      </c>
      <c r="DS27" s="207">
        <f t="shared" si="73"/>
        <v>3.5</v>
      </c>
      <c r="DT27" s="207">
        <v>0</v>
      </c>
      <c r="DU27" s="207">
        <f t="shared" si="74"/>
        <v>0</v>
      </c>
      <c r="DV27" s="207">
        <v>0</v>
      </c>
      <c r="DW27" s="207">
        <f t="shared" si="75"/>
        <v>0</v>
      </c>
      <c r="DX27" s="207">
        <f t="shared" si="76"/>
        <v>3.5</v>
      </c>
      <c r="DY27" s="208">
        <f t="shared" si="77"/>
        <v>44.5</v>
      </c>
      <c r="DZ27" s="205">
        <f t="shared" si="78"/>
        <v>9.8113124999999997</v>
      </c>
      <c r="EA27" s="206" t="str">
        <f t="shared" si="79"/>
        <v>(0.91)</v>
      </c>
      <c r="EB27" s="207">
        <v>2</v>
      </c>
      <c r="EC27" s="207">
        <f t="shared" si="80"/>
        <v>3.5</v>
      </c>
      <c r="ED27" s="207">
        <v>0</v>
      </c>
      <c r="EE27" s="207">
        <f t="shared" si="81"/>
        <v>0</v>
      </c>
      <c r="EF27" s="207">
        <v>1</v>
      </c>
      <c r="EG27" s="207">
        <f t="shared" si="82"/>
        <v>1</v>
      </c>
      <c r="EH27" s="207">
        <f t="shared" si="83"/>
        <v>4.5</v>
      </c>
      <c r="EI27" s="208">
        <f t="shared" si="84"/>
        <v>49.5</v>
      </c>
      <c r="EJ27" s="205">
        <f t="shared" si="85"/>
        <v>11.000562499999999</v>
      </c>
      <c r="EK27" s="206" t="str">
        <f t="shared" si="86"/>
        <v>(1.02)</v>
      </c>
      <c r="EL27" s="207">
        <v>2</v>
      </c>
      <c r="EM27" s="207">
        <f t="shared" si="87"/>
        <v>3.5</v>
      </c>
      <c r="EN27" s="207">
        <v>0</v>
      </c>
      <c r="EO27" s="207">
        <f t="shared" si="88"/>
        <v>0</v>
      </c>
      <c r="EP27" s="207">
        <v>1</v>
      </c>
      <c r="EQ27" s="207">
        <f t="shared" si="89"/>
        <v>1</v>
      </c>
      <c r="ER27" s="207">
        <f t="shared" si="90"/>
        <v>4.5</v>
      </c>
      <c r="ES27" s="208">
        <f t="shared" si="91"/>
        <v>55.5</v>
      </c>
      <c r="ET27" s="205">
        <f t="shared" si="92"/>
        <v>12.189812499999999</v>
      </c>
      <c r="EU27" s="206" t="str">
        <f t="shared" si="93"/>
        <v>(1.13)</v>
      </c>
      <c r="EV27" s="207">
        <v>2</v>
      </c>
      <c r="EW27" s="207">
        <f t="shared" si="94"/>
        <v>3.5</v>
      </c>
      <c r="EX27" s="207">
        <v>0</v>
      </c>
      <c r="EY27" s="207">
        <f t="shared" si="95"/>
        <v>0</v>
      </c>
      <c r="EZ27" s="207">
        <v>1</v>
      </c>
      <c r="FA27" s="207">
        <f t="shared" si="96"/>
        <v>1</v>
      </c>
      <c r="FB27" s="207">
        <f t="shared" si="97"/>
        <v>4.5</v>
      </c>
      <c r="FC27" s="208">
        <f t="shared" si="98"/>
        <v>61.5</v>
      </c>
      <c r="FD27" s="205">
        <f t="shared" si="99"/>
        <v>13.354286458333332</v>
      </c>
      <c r="FE27" s="206" t="str">
        <f t="shared" si="100"/>
        <v>(1.24)</v>
      </c>
      <c r="FF27" s="207">
        <v>2</v>
      </c>
      <c r="FG27" s="207">
        <f t="shared" si="101"/>
        <v>3.5</v>
      </c>
      <c r="FH27" s="207">
        <v>1</v>
      </c>
      <c r="FI27" s="207">
        <f t="shared" si="102"/>
        <v>1.125</v>
      </c>
      <c r="FJ27" s="207">
        <v>0</v>
      </c>
      <c r="FK27" s="207">
        <f t="shared" si="103"/>
        <v>0</v>
      </c>
      <c r="FL27" s="207">
        <f t="shared" si="104"/>
        <v>4.625</v>
      </c>
      <c r="FM27" s="208">
        <f t="shared" si="105"/>
        <v>67.375</v>
      </c>
      <c r="FN27" s="205">
        <f t="shared" si="106"/>
        <v>14.543536458333332</v>
      </c>
      <c r="FO27" s="206" t="str">
        <f t="shared" si="107"/>
        <v>(1.35)</v>
      </c>
      <c r="FP27" s="207">
        <v>2</v>
      </c>
      <c r="FQ27" s="207">
        <f t="shared" si="108"/>
        <v>3.5</v>
      </c>
      <c r="FR27" s="207">
        <v>1</v>
      </c>
      <c r="FS27" s="207">
        <f t="shared" si="109"/>
        <v>1.125</v>
      </c>
      <c r="FT27" s="207">
        <v>0</v>
      </c>
      <c r="FU27" s="207">
        <f t="shared" si="110"/>
        <v>0</v>
      </c>
      <c r="FV27" s="207">
        <f t="shared" si="111"/>
        <v>4.625</v>
      </c>
      <c r="FW27" s="208">
        <f t="shared" si="112"/>
        <v>73.375</v>
      </c>
      <c r="FX27" s="205">
        <f t="shared" si="113"/>
        <v>15.732786458333331</v>
      </c>
      <c r="FY27" s="206" t="str">
        <f t="shared" si="114"/>
        <v>(1.46)</v>
      </c>
      <c r="FZ27" s="207">
        <v>2</v>
      </c>
      <c r="GA27" s="207">
        <f t="shared" si="115"/>
        <v>3.5</v>
      </c>
      <c r="GB27" s="207">
        <v>1</v>
      </c>
      <c r="GC27" s="207">
        <f t="shared" si="116"/>
        <v>1.125</v>
      </c>
      <c r="GD27" s="207">
        <v>0</v>
      </c>
      <c r="GE27" s="207">
        <f t="shared" si="117"/>
        <v>0</v>
      </c>
      <c r="GF27" s="207">
        <f t="shared" si="118"/>
        <v>4.625</v>
      </c>
      <c r="GG27" s="208">
        <f t="shared" si="119"/>
        <v>79.375</v>
      </c>
      <c r="GH27" s="205">
        <f t="shared" si="120"/>
        <v>16.922036458333331</v>
      </c>
      <c r="GI27" s="206" t="str">
        <f t="shared" si="121"/>
        <v>(1.57)</v>
      </c>
      <c r="GJ27" s="207">
        <v>2</v>
      </c>
      <c r="GK27" s="207">
        <f t="shared" si="122"/>
        <v>3.5</v>
      </c>
      <c r="GL27" s="207">
        <v>1</v>
      </c>
      <c r="GM27" s="207">
        <f t="shared" si="123"/>
        <v>1.125</v>
      </c>
      <c r="GN27" s="207">
        <v>0</v>
      </c>
      <c r="GO27" s="207">
        <f t="shared" si="124"/>
        <v>0</v>
      </c>
      <c r="GP27" s="207">
        <f t="shared" si="125"/>
        <v>4.625</v>
      </c>
      <c r="GQ27" s="208">
        <f t="shared" si="126"/>
        <v>85.375</v>
      </c>
      <c r="GR27" s="205">
        <f t="shared" si="127"/>
        <v>18.111286458333332</v>
      </c>
      <c r="GS27" s="206" t="str">
        <f t="shared" si="128"/>
        <v>(1.68)</v>
      </c>
      <c r="GT27" s="207">
        <v>2</v>
      </c>
      <c r="GU27" s="207">
        <f t="shared" si="129"/>
        <v>3.5</v>
      </c>
      <c r="GV27" s="207">
        <v>1</v>
      </c>
      <c r="GW27" s="207">
        <f t="shared" si="130"/>
        <v>1.125</v>
      </c>
      <c r="GX27" s="207">
        <v>0</v>
      </c>
      <c r="GY27" s="207">
        <f t="shared" si="131"/>
        <v>0</v>
      </c>
      <c r="GZ27" s="207">
        <f t="shared" si="132"/>
        <v>4.625</v>
      </c>
      <c r="HA27" s="208">
        <f t="shared" si="133"/>
        <v>91.375</v>
      </c>
      <c r="HB27" s="205">
        <f t="shared" si="134"/>
        <v>19.30053645833333</v>
      </c>
      <c r="HC27" s="206" t="str">
        <f t="shared" si="135"/>
        <v>(1.79)</v>
      </c>
      <c r="HD27" s="207">
        <v>2</v>
      </c>
      <c r="HE27" s="207">
        <f t="shared" si="136"/>
        <v>3.5</v>
      </c>
      <c r="HF27" s="207">
        <v>1</v>
      </c>
      <c r="HG27" s="207">
        <f t="shared" si="137"/>
        <v>1.125</v>
      </c>
      <c r="HH27" s="207">
        <v>0</v>
      </c>
      <c r="HI27" s="207">
        <f t="shared" si="138"/>
        <v>0</v>
      </c>
      <c r="HJ27" s="207">
        <f t="shared" si="139"/>
        <v>4.625</v>
      </c>
      <c r="HK27" s="208">
        <f t="shared" si="140"/>
        <v>97.375</v>
      </c>
      <c r="HL27" s="205">
        <f t="shared" si="141"/>
        <v>20.093369791666664</v>
      </c>
      <c r="HM27" s="206" t="str">
        <f t="shared" si="142"/>
        <v>(1.87)</v>
      </c>
      <c r="HN27" s="207">
        <v>2</v>
      </c>
      <c r="HO27" s="207">
        <f t="shared" si="143"/>
        <v>3.5</v>
      </c>
      <c r="HP27" s="207">
        <v>1</v>
      </c>
      <c r="HQ27" s="207">
        <f t="shared" si="144"/>
        <v>1.125</v>
      </c>
      <c r="HR27" s="207">
        <v>2</v>
      </c>
      <c r="HS27" s="207">
        <f t="shared" si="145"/>
        <v>2</v>
      </c>
      <c r="HT27" s="207">
        <f t="shared" si="146"/>
        <v>6.625</v>
      </c>
      <c r="HU27" s="208">
        <f t="shared" si="147"/>
        <v>101.375</v>
      </c>
      <c r="HV27" s="205">
        <f t="shared" si="148"/>
        <v>21.282619791666665</v>
      </c>
      <c r="HW27" s="206" t="str">
        <f t="shared" si="149"/>
        <v>(1.98)</v>
      </c>
      <c r="HX27" s="207">
        <v>2</v>
      </c>
      <c r="HY27" s="207">
        <f t="shared" si="150"/>
        <v>3.5</v>
      </c>
      <c r="HZ27" s="207">
        <v>1</v>
      </c>
      <c r="IA27" s="207">
        <f t="shared" si="151"/>
        <v>1.125</v>
      </c>
      <c r="IB27" s="207">
        <v>2</v>
      </c>
      <c r="IC27" s="207">
        <f t="shared" si="152"/>
        <v>2</v>
      </c>
      <c r="ID27" s="207">
        <f t="shared" si="153"/>
        <v>6.625</v>
      </c>
      <c r="IE27" s="208">
        <f t="shared" si="154"/>
        <v>107.375</v>
      </c>
      <c r="IF27" s="205">
        <f t="shared" si="155"/>
        <v>22.471869791666663</v>
      </c>
      <c r="IG27" s="206" t="str">
        <f t="shared" si="156"/>
        <v>(2.09)</v>
      </c>
      <c r="IH27" s="21">
        <v>2</v>
      </c>
      <c r="II27" s="21">
        <f t="shared" si="157"/>
        <v>3.5</v>
      </c>
      <c r="IJ27" s="21">
        <v>1</v>
      </c>
      <c r="IK27" s="21">
        <f t="shared" si="158"/>
        <v>1.125</v>
      </c>
      <c r="IL27" s="21">
        <v>2</v>
      </c>
      <c r="IM27" s="21">
        <f t="shared" si="159"/>
        <v>2</v>
      </c>
      <c r="IN27" s="21">
        <f t="shared" si="160"/>
        <v>6.625</v>
      </c>
      <c r="IO27" s="22">
        <f t="shared" si="161"/>
        <v>113.375</v>
      </c>
      <c r="IP27" s="23"/>
      <c r="IQ27" s="409">
        <v>10</v>
      </c>
      <c r="IR27" s="410">
        <v>2.645</v>
      </c>
      <c r="IS27" s="410">
        <v>2.645</v>
      </c>
      <c r="IT27" s="410">
        <v>2.0920000000000001</v>
      </c>
      <c r="IU27" s="410">
        <v>1.75</v>
      </c>
      <c r="IV27" s="410">
        <v>1</v>
      </c>
      <c r="IW27" s="410">
        <v>1.125</v>
      </c>
      <c r="IX27" s="7"/>
    </row>
    <row r="28" spans="2:258" ht="15.75" thickBot="1" x14ac:dyDescent="0.3">
      <c r="B28" s="258">
        <f t="shared" si="20"/>
        <v>72</v>
      </c>
      <c r="C28" s="253">
        <v>13</v>
      </c>
      <c r="D28" s="265">
        <f t="shared" si="0"/>
        <v>0.37695370370370368</v>
      </c>
      <c r="E28" s="262">
        <f t="shared" si="1"/>
        <v>0.43692361111111117</v>
      </c>
      <c r="F28" s="262">
        <f t="shared" si="2"/>
        <v>0.49689351851851843</v>
      </c>
      <c r="G28" s="262">
        <f t="shared" si="3"/>
        <v>0.52687847222222228</v>
      </c>
      <c r="H28" s="262">
        <f t="shared" si="4"/>
        <v>0.54486944444444441</v>
      </c>
      <c r="I28" s="262">
        <f t="shared" si="5"/>
        <v>0.55686342592592597</v>
      </c>
      <c r="J28" s="262">
        <f t="shared" si="6"/>
        <v>0.56543055555555544</v>
      </c>
      <c r="K28" s="262">
        <f t="shared" si="7"/>
        <v>0.57185590277777776</v>
      </c>
      <c r="L28" s="262">
        <f t="shared" si="8"/>
        <v>0.56543055555555544</v>
      </c>
      <c r="M28" s="262">
        <f t="shared" si="9"/>
        <v>0.57057083333333336</v>
      </c>
      <c r="N28" s="262">
        <f t="shared" si="10"/>
        <v>0.57477651515151507</v>
      </c>
      <c r="O28" s="262">
        <f t="shared" si="11"/>
        <v>0.57721035879629623</v>
      </c>
      <c r="P28" s="262">
        <f t="shared" si="12"/>
        <v>0.58025827991452994</v>
      </c>
      <c r="Q28" s="262">
        <f t="shared" si="13"/>
        <v>0.58287078373015877</v>
      </c>
      <c r="R28" s="262">
        <f t="shared" si="14"/>
        <v>0.58513495370370372</v>
      </c>
      <c r="S28" s="262">
        <f t="shared" si="15"/>
        <v>0.58711610243055556</v>
      </c>
      <c r="T28" s="262">
        <f t="shared" si="16"/>
        <v>0.58886417483660125</v>
      </c>
      <c r="U28" s="262">
        <f t="shared" si="17"/>
        <v>0.57899517746913576</v>
      </c>
      <c r="V28" s="262">
        <f t="shared" si="18"/>
        <v>0.58098665935672511</v>
      </c>
      <c r="W28" s="262">
        <f t="shared" si="19"/>
        <v>0.58277899305555558</v>
      </c>
      <c r="X28" s="262"/>
      <c r="Y28" s="251"/>
      <c r="Z28" s="221"/>
      <c r="AA28" s="264"/>
      <c r="AB28" s="221"/>
      <c r="AC28" s="221"/>
      <c r="AD28" s="221"/>
      <c r="AE28" s="221"/>
      <c r="AF28" s="221"/>
      <c r="AG28" s="221"/>
      <c r="AH28" s="221"/>
      <c r="AI28" s="221"/>
      <c r="AJ28" s="221"/>
      <c r="AK28" s="221"/>
      <c r="AL28" s="221"/>
      <c r="AM28" s="221"/>
      <c r="AN28" s="221"/>
      <c r="AO28" s="221"/>
      <c r="AP28" s="221"/>
      <c r="AQ28" s="221"/>
      <c r="AT28" s="3"/>
      <c r="AU28" s="13">
        <f t="shared" si="162"/>
        <v>54</v>
      </c>
      <c r="AV28" s="11" t="str">
        <f t="shared" si="21"/>
        <v>(1350)</v>
      </c>
      <c r="AW28" s="18"/>
      <c r="AX28" s="19">
        <f t="shared" si="22"/>
        <v>1.1449548611111111</v>
      </c>
      <c r="AY28" s="20" t="str">
        <f t="shared" si="23"/>
        <v>(0.11)</v>
      </c>
      <c r="AZ28" s="21">
        <v>2</v>
      </c>
      <c r="BA28" s="21">
        <f t="shared" si="24"/>
        <v>3.5</v>
      </c>
      <c r="BB28" s="21">
        <v>0</v>
      </c>
      <c r="BC28" s="21">
        <f t="shared" si="25"/>
        <v>0</v>
      </c>
      <c r="BD28" s="21">
        <v>0</v>
      </c>
      <c r="BE28" s="21">
        <f t="shared" si="26"/>
        <v>0</v>
      </c>
      <c r="BF28" s="21">
        <f t="shared" si="27"/>
        <v>3.5</v>
      </c>
      <c r="BG28" s="22">
        <f t="shared" si="28"/>
        <v>5.5</v>
      </c>
      <c r="BH28" s="205">
        <f t="shared" si="29"/>
        <v>1.7694756944444443</v>
      </c>
      <c r="BI28" s="206" t="str">
        <f t="shared" si="30"/>
        <v>(0.16)</v>
      </c>
      <c r="BJ28" s="207">
        <v>2</v>
      </c>
      <c r="BK28" s="207">
        <f t="shared" si="31"/>
        <v>3.5</v>
      </c>
      <c r="BL28" s="207">
        <v>0</v>
      </c>
      <c r="BM28" s="207">
        <f t="shared" si="32"/>
        <v>0</v>
      </c>
      <c r="BN28" s="207">
        <v>0</v>
      </c>
      <c r="BO28" s="207">
        <f t="shared" si="33"/>
        <v>0</v>
      </c>
      <c r="BP28" s="207">
        <f t="shared" si="34"/>
        <v>3.5</v>
      </c>
      <c r="BQ28" s="208">
        <f t="shared" si="35"/>
        <v>8.5</v>
      </c>
      <c r="BR28" s="205">
        <f t="shared" si="36"/>
        <v>3.0185173611111109</v>
      </c>
      <c r="BS28" s="206" t="str">
        <f t="shared" si="37"/>
        <v>(0.28)</v>
      </c>
      <c r="BT28" s="207">
        <v>2</v>
      </c>
      <c r="BU28" s="207">
        <f t="shared" si="38"/>
        <v>3.5</v>
      </c>
      <c r="BV28" s="207">
        <v>0</v>
      </c>
      <c r="BW28" s="207">
        <f t="shared" si="39"/>
        <v>0</v>
      </c>
      <c r="BX28" s="207">
        <v>0</v>
      </c>
      <c r="BY28" s="207">
        <f t="shared" si="40"/>
        <v>0</v>
      </c>
      <c r="BZ28" s="207">
        <f t="shared" si="41"/>
        <v>3.5</v>
      </c>
      <c r="CA28" s="208">
        <f t="shared" si="42"/>
        <v>14.5</v>
      </c>
      <c r="CB28" s="205">
        <f t="shared" si="43"/>
        <v>4.2675590277777777</v>
      </c>
      <c r="CC28" s="206" t="str">
        <f t="shared" si="44"/>
        <v>(0.4)</v>
      </c>
      <c r="CD28" s="207">
        <v>2</v>
      </c>
      <c r="CE28" s="207">
        <f t="shared" si="45"/>
        <v>3.5</v>
      </c>
      <c r="CF28" s="207">
        <v>0</v>
      </c>
      <c r="CG28" s="207">
        <f t="shared" si="46"/>
        <v>0</v>
      </c>
      <c r="CH28" s="207">
        <v>0</v>
      </c>
      <c r="CI28" s="207">
        <f t="shared" si="47"/>
        <v>0</v>
      </c>
      <c r="CJ28" s="207">
        <f t="shared" si="48"/>
        <v>3.5</v>
      </c>
      <c r="CK28" s="208">
        <f t="shared" si="49"/>
        <v>20.5</v>
      </c>
      <c r="CL28" s="205">
        <f t="shared" si="50"/>
        <v>5.5166006944444446</v>
      </c>
      <c r="CM28" s="206" t="str">
        <f t="shared" si="51"/>
        <v>(0.51)</v>
      </c>
      <c r="CN28" s="207">
        <v>2</v>
      </c>
      <c r="CO28" s="207">
        <f t="shared" si="52"/>
        <v>3.5</v>
      </c>
      <c r="CP28" s="207">
        <v>0</v>
      </c>
      <c r="CQ28" s="207">
        <f t="shared" si="53"/>
        <v>0</v>
      </c>
      <c r="CR28" s="207">
        <v>0</v>
      </c>
      <c r="CS28" s="207">
        <f t="shared" si="54"/>
        <v>0</v>
      </c>
      <c r="CT28" s="207">
        <f t="shared" si="55"/>
        <v>3.5</v>
      </c>
      <c r="CU28" s="208">
        <f t="shared" si="56"/>
        <v>26.5</v>
      </c>
      <c r="CV28" s="205">
        <f t="shared" si="57"/>
        <v>6.7656423611111114</v>
      </c>
      <c r="CW28" s="206" t="str">
        <f t="shared" si="58"/>
        <v>(0.63)</v>
      </c>
      <c r="CX28" s="207">
        <v>2</v>
      </c>
      <c r="CY28" s="207">
        <f t="shared" si="59"/>
        <v>3.5</v>
      </c>
      <c r="CZ28" s="207">
        <v>0</v>
      </c>
      <c r="DA28" s="207">
        <f t="shared" si="60"/>
        <v>0</v>
      </c>
      <c r="DB28" s="207">
        <v>0</v>
      </c>
      <c r="DC28" s="207">
        <f t="shared" si="61"/>
        <v>0</v>
      </c>
      <c r="DD28" s="207">
        <f t="shared" si="62"/>
        <v>3.5</v>
      </c>
      <c r="DE28" s="208">
        <f t="shared" si="63"/>
        <v>32.5</v>
      </c>
      <c r="DF28" s="205">
        <f t="shared" si="64"/>
        <v>8.0146840277777773</v>
      </c>
      <c r="DG28" s="206" t="str">
        <f t="shared" si="65"/>
        <v>(0.74)</v>
      </c>
      <c r="DH28" s="207">
        <v>2</v>
      </c>
      <c r="DI28" s="207">
        <f t="shared" si="66"/>
        <v>3.5</v>
      </c>
      <c r="DJ28" s="207">
        <v>0</v>
      </c>
      <c r="DK28" s="207">
        <f t="shared" si="67"/>
        <v>0</v>
      </c>
      <c r="DL28" s="207">
        <v>0</v>
      </c>
      <c r="DM28" s="207">
        <f t="shared" si="68"/>
        <v>0</v>
      </c>
      <c r="DN28" s="207">
        <f t="shared" si="69"/>
        <v>3.5</v>
      </c>
      <c r="DO28" s="208">
        <f t="shared" si="70"/>
        <v>38.5</v>
      </c>
      <c r="DP28" s="205">
        <f t="shared" si="71"/>
        <v>9.2637256944444442</v>
      </c>
      <c r="DQ28" s="206" t="str">
        <f t="shared" si="72"/>
        <v>(0.86)</v>
      </c>
      <c r="DR28" s="207">
        <v>2</v>
      </c>
      <c r="DS28" s="207">
        <f t="shared" si="73"/>
        <v>3.5</v>
      </c>
      <c r="DT28" s="207">
        <v>0</v>
      </c>
      <c r="DU28" s="207">
        <f t="shared" si="74"/>
        <v>0</v>
      </c>
      <c r="DV28" s="207">
        <v>0</v>
      </c>
      <c r="DW28" s="207">
        <f t="shared" si="75"/>
        <v>0</v>
      </c>
      <c r="DX28" s="207">
        <f t="shared" si="76"/>
        <v>3.5</v>
      </c>
      <c r="DY28" s="208">
        <f t="shared" si="77"/>
        <v>44.5</v>
      </c>
      <c r="DZ28" s="205">
        <f t="shared" si="78"/>
        <v>10.30459375</v>
      </c>
      <c r="EA28" s="206" t="str">
        <f t="shared" si="79"/>
        <v>(0.96)</v>
      </c>
      <c r="EB28" s="207">
        <v>2</v>
      </c>
      <c r="EC28" s="207">
        <f t="shared" si="80"/>
        <v>3.5</v>
      </c>
      <c r="ED28" s="207">
        <v>0</v>
      </c>
      <c r="EE28" s="207">
        <f t="shared" si="81"/>
        <v>0</v>
      </c>
      <c r="EF28" s="207">
        <v>1</v>
      </c>
      <c r="EG28" s="207">
        <f t="shared" si="82"/>
        <v>1</v>
      </c>
      <c r="EH28" s="207">
        <f t="shared" si="83"/>
        <v>4.5</v>
      </c>
      <c r="EI28" s="208">
        <f t="shared" si="84"/>
        <v>49.5</v>
      </c>
      <c r="EJ28" s="205">
        <f t="shared" si="85"/>
        <v>11.553635416666667</v>
      </c>
      <c r="EK28" s="206" t="str">
        <f t="shared" si="86"/>
        <v>(1.07)</v>
      </c>
      <c r="EL28" s="207">
        <v>2</v>
      </c>
      <c r="EM28" s="207">
        <f t="shared" si="87"/>
        <v>3.5</v>
      </c>
      <c r="EN28" s="207">
        <v>0</v>
      </c>
      <c r="EO28" s="207">
        <f t="shared" si="88"/>
        <v>0</v>
      </c>
      <c r="EP28" s="207">
        <v>1</v>
      </c>
      <c r="EQ28" s="207">
        <f t="shared" si="89"/>
        <v>1</v>
      </c>
      <c r="ER28" s="207">
        <f t="shared" si="90"/>
        <v>4.5</v>
      </c>
      <c r="ES28" s="208">
        <f t="shared" si="91"/>
        <v>55.5</v>
      </c>
      <c r="ET28" s="205">
        <f t="shared" si="92"/>
        <v>12.802677083333332</v>
      </c>
      <c r="EU28" s="206" t="str">
        <f t="shared" si="93"/>
        <v>(1.19)</v>
      </c>
      <c r="EV28" s="207">
        <v>2</v>
      </c>
      <c r="EW28" s="207">
        <f t="shared" si="94"/>
        <v>3.5</v>
      </c>
      <c r="EX28" s="207">
        <v>0</v>
      </c>
      <c r="EY28" s="207">
        <f t="shared" si="95"/>
        <v>0</v>
      </c>
      <c r="EZ28" s="207">
        <v>1</v>
      </c>
      <c r="FA28" s="207">
        <f t="shared" si="96"/>
        <v>1</v>
      </c>
      <c r="FB28" s="207">
        <f t="shared" si="97"/>
        <v>4.5</v>
      </c>
      <c r="FC28" s="208">
        <f t="shared" si="98"/>
        <v>61.5</v>
      </c>
      <c r="FD28" s="205">
        <f t="shared" si="99"/>
        <v>14.025697048611113</v>
      </c>
      <c r="FE28" s="206" t="str">
        <f t="shared" si="100"/>
        <v>(1.30)</v>
      </c>
      <c r="FF28" s="207">
        <v>2</v>
      </c>
      <c r="FG28" s="207">
        <f t="shared" si="101"/>
        <v>3.5</v>
      </c>
      <c r="FH28" s="207">
        <v>1</v>
      </c>
      <c r="FI28" s="207">
        <f t="shared" si="102"/>
        <v>1.125</v>
      </c>
      <c r="FJ28" s="207">
        <v>0</v>
      </c>
      <c r="FK28" s="207">
        <f t="shared" si="103"/>
        <v>0</v>
      </c>
      <c r="FL28" s="207">
        <f t="shared" si="104"/>
        <v>4.625</v>
      </c>
      <c r="FM28" s="208">
        <f t="shared" si="105"/>
        <v>67.375</v>
      </c>
      <c r="FN28" s="205">
        <f t="shared" si="106"/>
        <v>15.274738715277778</v>
      </c>
      <c r="FO28" s="206" t="str">
        <f t="shared" si="107"/>
        <v>(1.42)</v>
      </c>
      <c r="FP28" s="207">
        <v>2</v>
      </c>
      <c r="FQ28" s="207">
        <f t="shared" si="108"/>
        <v>3.5</v>
      </c>
      <c r="FR28" s="207">
        <v>1</v>
      </c>
      <c r="FS28" s="207">
        <f t="shared" si="109"/>
        <v>1.125</v>
      </c>
      <c r="FT28" s="207">
        <v>0</v>
      </c>
      <c r="FU28" s="207">
        <f t="shared" si="110"/>
        <v>0</v>
      </c>
      <c r="FV28" s="207">
        <f t="shared" si="111"/>
        <v>4.625</v>
      </c>
      <c r="FW28" s="208">
        <f t="shared" si="112"/>
        <v>73.375</v>
      </c>
      <c r="FX28" s="205">
        <f t="shared" si="113"/>
        <v>16.523780381944444</v>
      </c>
      <c r="FY28" s="206" t="str">
        <f t="shared" si="114"/>
        <v>(1.54)</v>
      </c>
      <c r="FZ28" s="207">
        <v>2</v>
      </c>
      <c r="GA28" s="207">
        <f t="shared" si="115"/>
        <v>3.5</v>
      </c>
      <c r="GB28" s="207">
        <v>1</v>
      </c>
      <c r="GC28" s="207">
        <f t="shared" si="116"/>
        <v>1.125</v>
      </c>
      <c r="GD28" s="207">
        <v>0</v>
      </c>
      <c r="GE28" s="207">
        <f t="shared" si="117"/>
        <v>0</v>
      </c>
      <c r="GF28" s="207">
        <f t="shared" si="118"/>
        <v>4.625</v>
      </c>
      <c r="GG28" s="208">
        <f t="shared" si="119"/>
        <v>79.375</v>
      </c>
      <c r="GH28" s="205">
        <f t="shared" si="120"/>
        <v>17.772822048611111</v>
      </c>
      <c r="GI28" s="206" t="str">
        <f t="shared" si="121"/>
        <v>(1.65)</v>
      </c>
      <c r="GJ28" s="207">
        <v>2</v>
      </c>
      <c r="GK28" s="207">
        <f t="shared" si="122"/>
        <v>3.5</v>
      </c>
      <c r="GL28" s="207">
        <v>1</v>
      </c>
      <c r="GM28" s="207">
        <f t="shared" si="123"/>
        <v>1.125</v>
      </c>
      <c r="GN28" s="207">
        <v>0</v>
      </c>
      <c r="GO28" s="207">
        <f t="shared" si="124"/>
        <v>0</v>
      </c>
      <c r="GP28" s="207">
        <f t="shared" si="125"/>
        <v>4.625</v>
      </c>
      <c r="GQ28" s="208">
        <f t="shared" si="126"/>
        <v>85.375</v>
      </c>
      <c r="GR28" s="205">
        <f t="shared" si="127"/>
        <v>19.021863715277778</v>
      </c>
      <c r="GS28" s="206" t="str">
        <f t="shared" si="128"/>
        <v>(1.77)</v>
      </c>
      <c r="GT28" s="207">
        <v>2</v>
      </c>
      <c r="GU28" s="207">
        <f t="shared" si="129"/>
        <v>3.5</v>
      </c>
      <c r="GV28" s="207">
        <v>1</v>
      </c>
      <c r="GW28" s="207">
        <f t="shared" si="130"/>
        <v>1.125</v>
      </c>
      <c r="GX28" s="207">
        <v>0</v>
      </c>
      <c r="GY28" s="207">
        <f t="shared" si="131"/>
        <v>0</v>
      </c>
      <c r="GZ28" s="207">
        <f t="shared" si="132"/>
        <v>4.625</v>
      </c>
      <c r="HA28" s="208">
        <f t="shared" si="133"/>
        <v>91.375</v>
      </c>
      <c r="HB28" s="205">
        <f t="shared" si="134"/>
        <v>20.270905381944445</v>
      </c>
      <c r="HC28" s="206" t="str">
        <f t="shared" si="135"/>
        <v>(1.88)</v>
      </c>
      <c r="HD28" s="207">
        <v>2</v>
      </c>
      <c r="HE28" s="207">
        <f t="shared" si="136"/>
        <v>3.5</v>
      </c>
      <c r="HF28" s="207">
        <v>1</v>
      </c>
      <c r="HG28" s="207">
        <f t="shared" si="137"/>
        <v>1.125</v>
      </c>
      <c r="HH28" s="207">
        <v>0</v>
      </c>
      <c r="HI28" s="207">
        <f t="shared" si="138"/>
        <v>0</v>
      </c>
      <c r="HJ28" s="207">
        <f t="shared" si="139"/>
        <v>4.625</v>
      </c>
      <c r="HK28" s="208">
        <f t="shared" si="140"/>
        <v>97.375</v>
      </c>
      <c r="HL28" s="205">
        <f t="shared" si="141"/>
        <v>21.103599826388891</v>
      </c>
      <c r="HM28" s="206" t="str">
        <f t="shared" si="142"/>
        <v>(1.96)</v>
      </c>
      <c r="HN28" s="207">
        <v>2</v>
      </c>
      <c r="HO28" s="207">
        <f t="shared" si="143"/>
        <v>3.5</v>
      </c>
      <c r="HP28" s="207">
        <v>1</v>
      </c>
      <c r="HQ28" s="207">
        <f t="shared" si="144"/>
        <v>1.125</v>
      </c>
      <c r="HR28" s="207">
        <v>2</v>
      </c>
      <c r="HS28" s="207">
        <f t="shared" si="145"/>
        <v>2</v>
      </c>
      <c r="HT28" s="207">
        <f t="shared" si="146"/>
        <v>6.625</v>
      </c>
      <c r="HU28" s="208">
        <f t="shared" si="147"/>
        <v>101.375</v>
      </c>
      <c r="HV28" s="205">
        <f t="shared" si="148"/>
        <v>22.352641493055554</v>
      </c>
      <c r="HW28" s="206" t="str">
        <f t="shared" si="149"/>
        <v>(2.08)</v>
      </c>
      <c r="HX28" s="207">
        <v>2</v>
      </c>
      <c r="HY28" s="207">
        <f t="shared" si="150"/>
        <v>3.5</v>
      </c>
      <c r="HZ28" s="207">
        <v>1</v>
      </c>
      <c r="IA28" s="207">
        <f t="shared" si="151"/>
        <v>1.125</v>
      </c>
      <c r="IB28" s="207">
        <v>2</v>
      </c>
      <c r="IC28" s="207">
        <f t="shared" si="152"/>
        <v>2</v>
      </c>
      <c r="ID28" s="207">
        <f t="shared" si="153"/>
        <v>6.625</v>
      </c>
      <c r="IE28" s="208">
        <f t="shared" si="154"/>
        <v>107.375</v>
      </c>
      <c r="IF28" s="205">
        <f t="shared" si="155"/>
        <v>23.601683159722221</v>
      </c>
      <c r="IG28" s="206" t="str">
        <f t="shared" si="156"/>
        <v>(2.19)</v>
      </c>
      <c r="IH28" s="21">
        <v>2</v>
      </c>
      <c r="II28" s="21">
        <f t="shared" si="157"/>
        <v>3.5</v>
      </c>
      <c r="IJ28" s="21">
        <v>1</v>
      </c>
      <c r="IK28" s="21">
        <f t="shared" si="158"/>
        <v>1.125</v>
      </c>
      <c r="IL28" s="21">
        <v>2</v>
      </c>
      <c r="IM28" s="21">
        <f t="shared" si="159"/>
        <v>2</v>
      </c>
      <c r="IN28" s="21">
        <f t="shared" si="160"/>
        <v>6.625</v>
      </c>
      <c r="IO28" s="22">
        <f t="shared" si="161"/>
        <v>113.375</v>
      </c>
      <c r="IP28" s="23"/>
      <c r="IQ28" s="409">
        <v>11</v>
      </c>
      <c r="IR28" s="410">
        <v>2.645</v>
      </c>
      <c r="IS28" s="410">
        <v>2.645</v>
      </c>
      <c r="IT28" s="410">
        <v>0.88200000000000001</v>
      </c>
      <c r="IU28" s="410">
        <v>1.75</v>
      </c>
      <c r="IV28" s="410">
        <v>1</v>
      </c>
      <c r="IW28" s="410">
        <v>1.125</v>
      </c>
      <c r="IX28" s="7"/>
    </row>
    <row r="29" spans="2:258" ht="15.75" thickBot="1" x14ac:dyDescent="0.3">
      <c r="B29" s="258">
        <f t="shared" si="20"/>
        <v>78</v>
      </c>
      <c r="C29" s="266">
        <v>14</v>
      </c>
      <c r="D29" s="265">
        <f t="shared" si="0"/>
        <v>0.37992307692307692</v>
      </c>
      <c r="E29" s="262">
        <f t="shared" si="1"/>
        <v>0.44036538461538466</v>
      </c>
      <c r="F29" s="262">
        <f t="shared" si="2"/>
        <v>0.50080769230769229</v>
      </c>
      <c r="G29" s="262">
        <f t="shared" si="3"/>
        <v>0.53102884615384616</v>
      </c>
      <c r="H29" s="262">
        <f t="shared" si="4"/>
        <v>0.54916153846153848</v>
      </c>
      <c r="I29" s="262">
        <f t="shared" si="5"/>
        <v>0.56125000000000003</v>
      </c>
      <c r="J29" s="262">
        <f t="shared" si="6"/>
        <v>0.56988461538461543</v>
      </c>
      <c r="K29" s="262">
        <f t="shared" si="7"/>
        <v>0.57636057692307696</v>
      </c>
      <c r="L29" s="262">
        <f t="shared" si="8"/>
        <v>0.56988461538461543</v>
      </c>
      <c r="M29" s="262">
        <f t="shared" si="9"/>
        <v>0.57506538461538459</v>
      </c>
      <c r="N29" s="262">
        <f t="shared" si="10"/>
        <v>0.5793041958041959</v>
      </c>
      <c r="O29" s="262">
        <f t="shared" si="11"/>
        <v>0.5817572115384616</v>
      </c>
      <c r="P29" s="262"/>
      <c r="Q29" s="262"/>
      <c r="R29" s="262"/>
      <c r="S29" s="262"/>
      <c r="T29" s="262"/>
      <c r="U29" s="262"/>
      <c r="V29" s="262"/>
      <c r="W29" s="262"/>
      <c r="X29" s="262"/>
      <c r="Y29" s="251"/>
      <c r="Z29" s="221"/>
      <c r="AA29" s="221"/>
      <c r="AB29" s="221"/>
      <c r="AC29" s="221"/>
      <c r="AD29" s="221"/>
      <c r="AE29" s="221"/>
      <c r="AF29" s="221"/>
      <c r="AG29" s="221"/>
      <c r="AH29" s="221"/>
      <c r="AI29" s="221"/>
      <c r="AJ29" s="221"/>
      <c r="AK29" s="221"/>
      <c r="AL29" s="221"/>
      <c r="AM29" s="221"/>
      <c r="AN29" s="221"/>
      <c r="AO29" s="221"/>
      <c r="AP29" s="221"/>
      <c r="AQ29" s="221"/>
      <c r="AT29" s="3"/>
      <c r="AU29" s="26">
        <f t="shared" si="162"/>
        <v>60</v>
      </c>
      <c r="AV29" s="27" t="str">
        <f t="shared" si="21"/>
        <v>(1500)</v>
      </c>
      <c r="AW29" s="18"/>
      <c r="AX29" s="19">
        <f t="shared" si="22"/>
        <v>1.3932187500000002</v>
      </c>
      <c r="AY29" s="28" t="str">
        <f t="shared" si="23"/>
        <v>(0.13)</v>
      </c>
      <c r="AZ29" s="21">
        <v>2</v>
      </c>
      <c r="BA29" s="21">
        <f t="shared" si="24"/>
        <v>3.5</v>
      </c>
      <c r="BB29" s="29">
        <v>0</v>
      </c>
      <c r="BC29" s="21">
        <f t="shared" si="25"/>
        <v>0</v>
      </c>
      <c r="BD29" s="29">
        <v>0</v>
      </c>
      <c r="BE29" s="21">
        <f t="shared" si="26"/>
        <v>0</v>
      </c>
      <c r="BF29" s="21">
        <f t="shared" si="27"/>
        <v>3.5</v>
      </c>
      <c r="BG29" s="22">
        <f t="shared" si="28"/>
        <v>5.5</v>
      </c>
      <c r="BH29" s="205">
        <f t="shared" si="29"/>
        <v>2.1531562500000003</v>
      </c>
      <c r="BI29" s="206" t="str">
        <f t="shared" si="30"/>
        <v>(0.20)</v>
      </c>
      <c r="BJ29" s="207">
        <v>2</v>
      </c>
      <c r="BK29" s="207">
        <f t="shared" si="31"/>
        <v>3.5</v>
      </c>
      <c r="BL29" s="207">
        <v>0</v>
      </c>
      <c r="BM29" s="207">
        <f t="shared" si="32"/>
        <v>0</v>
      </c>
      <c r="BN29" s="207">
        <v>0</v>
      </c>
      <c r="BO29" s="207">
        <f t="shared" si="33"/>
        <v>0</v>
      </c>
      <c r="BP29" s="207">
        <f t="shared" si="34"/>
        <v>3.5</v>
      </c>
      <c r="BQ29" s="208">
        <f t="shared" si="35"/>
        <v>8.5</v>
      </c>
      <c r="BR29" s="205">
        <f t="shared" si="36"/>
        <v>3.6730312500000002</v>
      </c>
      <c r="BS29" s="206" t="str">
        <f t="shared" si="37"/>
        <v>(0.34)</v>
      </c>
      <c r="BT29" s="207">
        <v>2</v>
      </c>
      <c r="BU29" s="207">
        <f t="shared" si="38"/>
        <v>3.5</v>
      </c>
      <c r="BV29" s="207">
        <v>0</v>
      </c>
      <c r="BW29" s="207">
        <f t="shared" si="39"/>
        <v>0</v>
      </c>
      <c r="BX29" s="207">
        <v>0</v>
      </c>
      <c r="BY29" s="207">
        <f t="shared" si="40"/>
        <v>0</v>
      </c>
      <c r="BZ29" s="207">
        <f t="shared" si="41"/>
        <v>3.5</v>
      </c>
      <c r="CA29" s="208">
        <f t="shared" si="42"/>
        <v>14.5</v>
      </c>
      <c r="CB29" s="205">
        <f t="shared" si="43"/>
        <v>5.1929062500000009</v>
      </c>
      <c r="CC29" s="206" t="str">
        <f t="shared" si="44"/>
        <v>(0.48)</v>
      </c>
      <c r="CD29" s="207">
        <v>2</v>
      </c>
      <c r="CE29" s="207">
        <f t="shared" si="45"/>
        <v>3.5</v>
      </c>
      <c r="CF29" s="207">
        <v>0</v>
      </c>
      <c r="CG29" s="207">
        <f t="shared" si="46"/>
        <v>0</v>
      </c>
      <c r="CH29" s="207">
        <v>0</v>
      </c>
      <c r="CI29" s="207">
        <f t="shared" si="47"/>
        <v>0</v>
      </c>
      <c r="CJ29" s="207">
        <f t="shared" si="48"/>
        <v>3.5</v>
      </c>
      <c r="CK29" s="208">
        <f t="shared" si="49"/>
        <v>20.5</v>
      </c>
      <c r="CL29" s="205">
        <f t="shared" si="50"/>
        <v>6.7127812500000008</v>
      </c>
      <c r="CM29" s="206" t="str">
        <f t="shared" si="51"/>
        <v>(0.62)</v>
      </c>
      <c r="CN29" s="207">
        <v>2</v>
      </c>
      <c r="CO29" s="207">
        <f t="shared" si="52"/>
        <v>3.5</v>
      </c>
      <c r="CP29" s="207">
        <v>0</v>
      </c>
      <c r="CQ29" s="207">
        <f t="shared" si="53"/>
        <v>0</v>
      </c>
      <c r="CR29" s="207">
        <v>0</v>
      </c>
      <c r="CS29" s="207">
        <f t="shared" si="54"/>
        <v>0</v>
      </c>
      <c r="CT29" s="207">
        <f t="shared" si="55"/>
        <v>3.5</v>
      </c>
      <c r="CU29" s="208">
        <f t="shared" si="56"/>
        <v>26.5</v>
      </c>
      <c r="CV29" s="205">
        <f t="shared" si="57"/>
        <v>8.2326562499999998</v>
      </c>
      <c r="CW29" s="206" t="str">
        <f t="shared" si="58"/>
        <v>(0.76)</v>
      </c>
      <c r="CX29" s="207">
        <v>2</v>
      </c>
      <c r="CY29" s="207">
        <f t="shared" si="59"/>
        <v>3.5</v>
      </c>
      <c r="CZ29" s="207">
        <v>0</v>
      </c>
      <c r="DA29" s="207">
        <f t="shared" si="60"/>
        <v>0</v>
      </c>
      <c r="DB29" s="207">
        <v>0</v>
      </c>
      <c r="DC29" s="207">
        <f t="shared" si="61"/>
        <v>0</v>
      </c>
      <c r="DD29" s="207">
        <f t="shared" si="62"/>
        <v>3.5</v>
      </c>
      <c r="DE29" s="208">
        <f t="shared" si="63"/>
        <v>32.5</v>
      </c>
      <c r="DF29" s="205">
        <f t="shared" si="64"/>
        <v>9.7525312500000005</v>
      </c>
      <c r="DG29" s="206" t="str">
        <f t="shared" si="65"/>
        <v>(0.91)</v>
      </c>
      <c r="DH29" s="207">
        <v>2</v>
      </c>
      <c r="DI29" s="207">
        <f t="shared" si="66"/>
        <v>3.5</v>
      </c>
      <c r="DJ29" s="207">
        <v>0</v>
      </c>
      <c r="DK29" s="207">
        <f t="shared" si="67"/>
        <v>0</v>
      </c>
      <c r="DL29" s="207">
        <v>0</v>
      </c>
      <c r="DM29" s="207">
        <f t="shared" si="68"/>
        <v>0</v>
      </c>
      <c r="DN29" s="207">
        <f t="shared" si="69"/>
        <v>3.5</v>
      </c>
      <c r="DO29" s="208">
        <f t="shared" si="70"/>
        <v>38.5</v>
      </c>
      <c r="DP29" s="205">
        <f t="shared" si="71"/>
        <v>11.272406250000001</v>
      </c>
      <c r="DQ29" s="206" t="str">
        <f t="shared" si="72"/>
        <v>(1.05)</v>
      </c>
      <c r="DR29" s="207">
        <v>2</v>
      </c>
      <c r="DS29" s="207">
        <f t="shared" si="73"/>
        <v>3.5</v>
      </c>
      <c r="DT29" s="207">
        <v>0</v>
      </c>
      <c r="DU29" s="207">
        <f t="shared" si="74"/>
        <v>0</v>
      </c>
      <c r="DV29" s="207">
        <v>0</v>
      </c>
      <c r="DW29" s="207">
        <f t="shared" si="75"/>
        <v>0</v>
      </c>
      <c r="DX29" s="207">
        <f t="shared" si="76"/>
        <v>3.5</v>
      </c>
      <c r="DY29" s="208">
        <f t="shared" si="77"/>
        <v>44.5</v>
      </c>
      <c r="DZ29" s="205">
        <f t="shared" si="78"/>
        <v>12.538968750000002</v>
      </c>
      <c r="EA29" s="206" t="str">
        <f t="shared" si="79"/>
        <v>(1.16)</v>
      </c>
      <c r="EB29" s="207">
        <v>2</v>
      </c>
      <c r="EC29" s="207">
        <f t="shared" si="80"/>
        <v>3.5</v>
      </c>
      <c r="ED29" s="207">
        <v>0</v>
      </c>
      <c r="EE29" s="207">
        <f t="shared" si="81"/>
        <v>0</v>
      </c>
      <c r="EF29" s="207">
        <v>1</v>
      </c>
      <c r="EG29" s="207">
        <f t="shared" si="82"/>
        <v>1</v>
      </c>
      <c r="EH29" s="207">
        <f t="shared" si="83"/>
        <v>4.5</v>
      </c>
      <c r="EI29" s="208">
        <f t="shared" si="84"/>
        <v>49.5</v>
      </c>
      <c r="EJ29" s="205">
        <f t="shared" si="85"/>
        <v>14.058843750000001</v>
      </c>
      <c r="EK29" s="206" t="str">
        <f t="shared" si="86"/>
        <v>(1.31)</v>
      </c>
      <c r="EL29" s="207">
        <v>2</v>
      </c>
      <c r="EM29" s="207">
        <f t="shared" si="87"/>
        <v>3.5</v>
      </c>
      <c r="EN29" s="207">
        <v>0</v>
      </c>
      <c r="EO29" s="207">
        <f t="shared" si="88"/>
        <v>0</v>
      </c>
      <c r="EP29" s="207">
        <v>1</v>
      </c>
      <c r="EQ29" s="207">
        <f t="shared" si="89"/>
        <v>1</v>
      </c>
      <c r="ER29" s="207">
        <f t="shared" si="90"/>
        <v>4.5</v>
      </c>
      <c r="ES29" s="208">
        <f t="shared" si="91"/>
        <v>55.5</v>
      </c>
      <c r="ET29" s="205">
        <f t="shared" si="92"/>
        <v>15.57871875</v>
      </c>
      <c r="EU29" s="206" t="str">
        <f t="shared" si="93"/>
        <v>(1.45)</v>
      </c>
      <c r="EV29" s="207">
        <v>2</v>
      </c>
      <c r="EW29" s="207">
        <f t="shared" si="94"/>
        <v>3.5</v>
      </c>
      <c r="EX29" s="207">
        <v>0</v>
      </c>
      <c r="EY29" s="207">
        <f t="shared" si="95"/>
        <v>0</v>
      </c>
      <c r="EZ29" s="207">
        <v>1</v>
      </c>
      <c r="FA29" s="207">
        <f t="shared" si="96"/>
        <v>1</v>
      </c>
      <c r="FB29" s="207">
        <f t="shared" si="97"/>
        <v>4.5</v>
      </c>
      <c r="FC29" s="208">
        <f t="shared" si="98"/>
        <v>61.5</v>
      </c>
      <c r="FD29" s="205">
        <f t="shared" si="99"/>
        <v>17.066929687500004</v>
      </c>
      <c r="FE29" s="206" t="str">
        <f t="shared" si="100"/>
        <v>(1.59)</v>
      </c>
      <c r="FF29" s="207">
        <v>2</v>
      </c>
      <c r="FG29" s="207">
        <f t="shared" si="101"/>
        <v>3.5</v>
      </c>
      <c r="FH29" s="207">
        <v>1</v>
      </c>
      <c r="FI29" s="207">
        <f t="shared" si="102"/>
        <v>1.125</v>
      </c>
      <c r="FJ29" s="207">
        <v>0</v>
      </c>
      <c r="FK29" s="207">
        <f t="shared" si="103"/>
        <v>0</v>
      </c>
      <c r="FL29" s="207">
        <f t="shared" si="104"/>
        <v>4.625</v>
      </c>
      <c r="FM29" s="208">
        <f t="shared" si="105"/>
        <v>67.375</v>
      </c>
      <c r="FN29" s="205">
        <f t="shared" si="106"/>
        <v>18.586804687500003</v>
      </c>
      <c r="FO29" s="206" t="str">
        <f t="shared" si="107"/>
        <v>(1.73)</v>
      </c>
      <c r="FP29" s="207">
        <v>2</v>
      </c>
      <c r="FQ29" s="207">
        <f t="shared" si="108"/>
        <v>3.5</v>
      </c>
      <c r="FR29" s="207">
        <v>1</v>
      </c>
      <c r="FS29" s="207">
        <f t="shared" si="109"/>
        <v>1.125</v>
      </c>
      <c r="FT29" s="207">
        <v>0</v>
      </c>
      <c r="FU29" s="207">
        <f t="shared" si="110"/>
        <v>0</v>
      </c>
      <c r="FV29" s="207">
        <f t="shared" si="111"/>
        <v>4.625</v>
      </c>
      <c r="FW29" s="208">
        <f t="shared" si="112"/>
        <v>73.375</v>
      </c>
      <c r="FX29" s="205">
        <f t="shared" si="113"/>
        <v>20.106679687500005</v>
      </c>
      <c r="FY29" s="206" t="str">
        <f t="shared" si="114"/>
        <v>(1.87)</v>
      </c>
      <c r="FZ29" s="207">
        <v>2</v>
      </c>
      <c r="GA29" s="207">
        <f t="shared" si="115"/>
        <v>3.5</v>
      </c>
      <c r="GB29" s="207">
        <v>1</v>
      </c>
      <c r="GC29" s="207">
        <f t="shared" si="116"/>
        <v>1.125</v>
      </c>
      <c r="GD29" s="207">
        <v>0</v>
      </c>
      <c r="GE29" s="207">
        <f t="shared" si="117"/>
        <v>0</v>
      </c>
      <c r="GF29" s="207">
        <f t="shared" si="118"/>
        <v>4.625</v>
      </c>
      <c r="GG29" s="208">
        <f t="shared" si="119"/>
        <v>79.375</v>
      </c>
      <c r="GH29" s="205">
        <f t="shared" si="120"/>
        <v>21.626554687500001</v>
      </c>
      <c r="GI29" s="206" t="str">
        <f t="shared" si="121"/>
        <v>(2.01)</v>
      </c>
      <c r="GJ29" s="207">
        <v>2</v>
      </c>
      <c r="GK29" s="207">
        <f t="shared" si="122"/>
        <v>3.5</v>
      </c>
      <c r="GL29" s="207">
        <v>1</v>
      </c>
      <c r="GM29" s="207">
        <f t="shared" si="123"/>
        <v>1.125</v>
      </c>
      <c r="GN29" s="207">
        <v>0</v>
      </c>
      <c r="GO29" s="207">
        <f t="shared" si="124"/>
        <v>0</v>
      </c>
      <c r="GP29" s="207">
        <f t="shared" si="125"/>
        <v>4.625</v>
      </c>
      <c r="GQ29" s="208">
        <f t="shared" si="126"/>
        <v>85.375</v>
      </c>
      <c r="GR29" s="205">
        <f t="shared" si="127"/>
        <v>23.146429687500003</v>
      </c>
      <c r="GS29" s="206" t="str">
        <f t="shared" si="128"/>
        <v>(2.15)</v>
      </c>
      <c r="GT29" s="207">
        <v>2</v>
      </c>
      <c r="GU29" s="207">
        <f t="shared" si="129"/>
        <v>3.5</v>
      </c>
      <c r="GV29" s="207">
        <v>1</v>
      </c>
      <c r="GW29" s="207">
        <f t="shared" si="130"/>
        <v>1.125</v>
      </c>
      <c r="GX29" s="207">
        <v>0</v>
      </c>
      <c r="GY29" s="207">
        <f t="shared" si="131"/>
        <v>0</v>
      </c>
      <c r="GZ29" s="207">
        <f t="shared" si="132"/>
        <v>4.625</v>
      </c>
      <c r="HA29" s="208">
        <f t="shared" si="133"/>
        <v>91.375</v>
      </c>
      <c r="HB29" s="205">
        <f t="shared" si="134"/>
        <v>24.666304687500002</v>
      </c>
      <c r="HC29" s="206" t="str">
        <f t="shared" si="135"/>
        <v>(2.29)</v>
      </c>
      <c r="HD29" s="207">
        <v>2</v>
      </c>
      <c r="HE29" s="207">
        <f t="shared" si="136"/>
        <v>3.5</v>
      </c>
      <c r="HF29" s="207">
        <v>1</v>
      </c>
      <c r="HG29" s="207">
        <f t="shared" si="137"/>
        <v>1.125</v>
      </c>
      <c r="HH29" s="207">
        <v>0</v>
      </c>
      <c r="HI29" s="207">
        <f t="shared" si="138"/>
        <v>0</v>
      </c>
      <c r="HJ29" s="207">
        <f t="shared" si="139"/>
        <v>4.625</v>
      </c>
      <c r="HK29" s="208">
        <f t="shared" si="140"/>
        <v>97.375</v>
      </c>
      <c r="HL29" s="205">
        <f t="shared" si="141"/>
        <v>25.679554687500001</v>
      </c>
      <c r="HM29" s="206" t="str">
        <f t="shared" si="142"/>
        <v>(2.39)</v>
      </c>
      <c r="HN29" s="207">
        <v>2</v>
      </c>
      <c r="HO29" s="207">
        <f t="shared" si="143"/>
        <v>3.5</v>
      </c>
      <c r="HP29" s="207">
        <v>1</v>
      </c>
      <c r="HQ29" s="207">
        <f t="shared" si="144"/>
        <v>1.125</v>
      </c>
      <c r="HR29" s="207">
        <v>2</v>
      </c>
      <c r="HS29" s="207">
        <f t="shared" si="145"/>
        <v>2</v>
      </c>
      <c r="HT29" s="207">
        <f t="shared" si="146"/>
        <v>6.625</v>
      </c>
      <c r="HU29" s="208">
        <f t="shared" si="147"/>
        <v>101.375</v>
      </c>
      <c r="HV29" s="205">
        <f t="shared" si="148"/>
        <v>27.1994296875</v>
      </c>
      <c r="HW29" s="206" t="str">
        <f t="shared" si="149"/>
        <v>(2.53)</v>
      </c>
      <c r="HX29" s="207">
        <v>2</v>
      </c>
      <c r="HY29" s="207">
        <f t="shared" si="150"/>
        <v>3.5</v>
      </c>
      <c r="HZ29" s="207">
        <v>1</v>
      </c>
      <c r="IA29" s="207">
        <f t="shared" si="151"/>
        <v>1.125</v>
      </c>
      <c r="IB29" s="207">
        <v>2</v>
      </c>
      <c r="IC29" s="207">
        <f t="shared" si="152"/>
        <v>2</v>
      </c>
      <c r="ID29" s="207">
        <f t="shared" si="153"/>
        <v>6.625</v>
      </c>
      <c r="IE29" s="208">
        <f t="shared" si="154"/>
        <v>107.375</v>
      </c>
      <c r="IF29" s="205">
        <f t="shared" si="155"/>
        <v>28.719304687500003</v>
      </c>
      <c r="IG29" s="206" t="str">
        <f t="shared" si="156"/>
        <v>(2.67)</v>
      </c>
      <c r="IH29" s="21">
        <v>2</v>
      </c>
      <c r="II29" s="21">
        <f t="shared" si="157"/>
        <v>3.5</v>
      </c>
      <c r="IJ29" s="29">
        <v>1</v>
      </c>
      <c r="IK29" s="21">
        <f t="shared" si="158"/>
        <v>1.125</v>
      </c>
      <c r="IL29" s="21">
        <v>2</v>
      </c>
      <c r="IM29" s="21">
        <f t="shared" si="159"/>
        <v>2</v>
      </c>
      <c r="IN29" s="21">
        <f t="shared" si="160"/>
        <v>6.625</v>
      </c>
      <c r="IO29" s="22">
        <f t="shared" si="161"/>
        <v>113.375</v>
      </c>
      <c r="IP29" s="23"/>
      <c r="IQ29" s="409">
        <v>13</v>
      </c>
      <c r="IR29" s="410">
        <v>2.645</v>
      </c>
      <c r="IS29" s="410">
        <v>2.645</v>
      </c>
      <c r="IT29" s="410">
        <v>2.0920000000000001</v>
      </c>
      <c r="IU29" s="410">
        <v>1.75</v>
      </c>
      <c r="IV29" s="410">
        <v>1</v>
      </c>
      <c r="IW29" s="410">
        <v>1.125</v>
      </c>
      <c r="IX29" s="7"/>
    </row>
    <row r="30" spans="2:258" ht="15.75" thickBot="1" x14ac:dyDescent="0.3">
      <c r="B30" s="258">
        <f t="shared" si="20"/>
        <v>84</v>
      </c>
      <c r="C30" s="253">
        <v>15</v>
      </c>
      <c r="D30" s="265">
        <f t="shared" si="0"/>
        <v>0.3808313492063492</v>
      </c>
      <c r="E30" s="262">
        <f t="shared" si="1"/>
        <v>0.44141815476190477</v>
      </c>
      <c r="F30" s="262">
        <f t="shared" si="2"/>
        <v>0.50200496031746034</v>
      </c>
      <c r="G30" s="262">
        <f t="shared" si="3"/>
        <v>0.53229836309523804</v>
      </c>
      <c r="H30" s="262">
        <f t="shared" si="4"/>
        <v>0.55047440476190479</v>
      </c>
      <c r="I30" s="262">
        <f t="shared" si="5"/>
        <v>0.56259176587301596</v>
      </c>
      <c r="J30" s="262">
        <f t="shared" si="6"/>
        <v>0.57124702380952375</v>
      </c>
      <c r="K30" s="262">
        <f t="shared" si="7"/>
        <v>0.5777384672619047</v>
      </c>
      <c r="L30" s="262">
        <f t="shared" si="8"/>
        <v>0.57124702380952386</v>
      </c>
      <c r="M30" s="262">
        <f t="shared" si="9"/>
        <v>0.57644017857142849</v>
      </c>
      <c r="N30" s="262">
        <f t="shared" si="10"/>
        <v>0.58068912337662348</v>
      </c>
      <c r="O30" s="262">
        <f t="shared" si="11"/>
        <v>0.58314800347222218</v>
      </c>
      <c r="P30" s="262"/>
      <c r="Q30" s="262"/>
      <c r="R30" s="262"/>
      <c r="S30" s="262"/>
      <c r="T30" s="262"/>
      <c r="U30" s="262"/>
      <c r="V30" s="262"/>
      <c r="W30" s="262"/>
      <c r="X30" s="262"/>
      <c r="Y30" s="251"/>
      <c r="Z30" s="221"/>
      <c r="AA30" s="221"/>
      <c r="AB30" s="221"/>
      <c r="AC30" s="221"/>
      <c r="AD30" s="221"/>
      <c r="AE30" s="221"/>
      <c r="AF30" s="221"/>
      <c r="AG30" s="221"/>
      <c r="AH30" s="221"/>
      <c r="AI30" s="221"/>
      <c r="AJ30" s="221"/>
      <c r="AK30" s="221"/>
      <c r="AL30" s="221"/>
      <c r="AM30" s="221"/>
      <c r="AN30" s="221"/>
      <c r="AO30" s="221"/>
      <c r="AP30" s="221"/>
      <c r="AQ30" s="221"/>
      <c r="AT30" s="3"/>
      <c r="AU30" s="13">
        <f t="shared" si="162"/>
        <v>66</v>
      </c>
      <c r="AV30" s="11" t="str">
        <f t="shared" si="21"/>
        <v>(1700)</v>
      </c>
      <c r="AW30" s="18"/>
      <c r="AX30" s="19">
        <f t="shared" si="22"/>
        <v>1.5490520833333334</v>
      </c>
      <c r="AY30" s="20" t="str">
        <f t="shared" si="23"/>
        <v>(0.14)</v>
      </c>
      <c r="AZ30" s="21">
        <v>2</v>
      </c>
      <c r="BA30" s="21">
        <f t="shared" si="24"/>
        <v>3.5</v>
      </c>
      <c r="BB30" s="21">
        <v>0</v>
      </c>
      <c r="BC30" s="21">
        <f t="shared" si="25"/>
        <v>0</v>
      </c>
      <c r="BD30" s="21">
        <v>0</v>
      </c>
      <c r="BE30" s="21">
        <f t="shared" si="26"/>
        <v>0</v>
      </c>
      <c r="BF30" s="21">
        <f t="shared" si="27"/>
        <v>3.5</v>
      </c>
      <c r="BG30" s="22">
        <f t="shared" si="28"/>
        <v>5.5</v>
      </c>
      <c r="BH30" s="205">
        <f t="shared" si="29"/>
        <v>2.3939895833333336</v>
      </c>
      <c r="BI30" s="206" t="str">
        <f t="shared" si="30"/>
        <v>(0.22)</v>
      </c>
      <c r="BJ30" s="207">
        <v>2</v>
      </c>
      <c r="BK30" s="207">
        <f t="shared" si="31"/>
        <v>3.5</v>
      </c>
      <c r="BL30" s="207">
        <v>0</v>
      </c>
      <c r="BM30" s="207">
        <f t="shared" si="32"/>
        <v>0</v>
      </c>
      <c r="BN30" s="207">
        <v>0</v>
      </c>
      <c r="BO30" s="207">
        <f t="shared" si="33"/>
        <v>0</v>
      </c>
      <c r="BP30" s="207">
        <f t="shared" si="34"/>
        <v>3.5</v>
      </c>
      <c r="BQ30" s="208">
        <f t="shared" si="35"/>
        <v>8.5</v>
      </c>
      <c r="BR30" s="205">
        <f t="shared" si="36"/>
        <v>4.0838645833333338</v>
      </c>
      <c r="BS30" s="206" t="str">
        <f t="shared" si="37"/>
        <v>(0.38)</v>
      </c>
      <c r="BT30" s="207">
        <v>2</v>
      </c>
      <c r="BU30" s="207">
        <f t="shared" si="38"/>
        <v>3.5</v>
      </c>
      <c r="BV30" s="207">
        <v>0</v>
      </c>
      <c r="BW30" s="207">
        <f t="shared" si="39"/>
        <v>0</v>
      </c>
      <c r="BX30" s="207">
        <v>0</v>
      </c>
      <c r="BY30" s="207">
        <f t="shared" si="40"/>
        <v>0</v>
      </c>
      <c r="BZ30" s="207">
        <f t="shared" si="41"/>
        <v>3.5</v>
      </c>
      <c r="CA30" s="208">
        <f t="shared" si="42"/>
        <v>14.5</v>
      </c>
      <c r="CB30" s="205">
        <f t="shared" si="43"/>
        <v>5.7737395833333336</v>
      </c>
      <c r="CC30" s="206" t="str">
        <f t="shared" si="44"/>
        <v>(0.54)</v>
      </c>
      <c r="CD30" s="207">
        <v>2</v>
      </c>
      <c r="CE30" s="207">
        <f t="shared" si="45"/>
        <v>3.5</v>
      </c>
      <c r="CF30" s="207">
        <v>0</v>
      </c>
      <c r="CG30" s="207">
        <f t="shared" si="46"/>
        <v>0</v>
      </c>
      <c r="CH30" s="207">
        <v>0</v>
      </c>
      <c r="CI30" s="207">
        <f t="shared" si="47"/>
        <v>0</v>
      </c>
      <c r="CJ30" s="207">
        <f t="shared" si="48"/>
        <v>3.5</v>
      </c>
      <c r="CK30" s="208">
        <f t="shared" si="49"/>
        <v>20.5</v>
      </c>
      <c r="CL30" s="205">
        <f t="shared" si="50"/>
        <v>7.4636145833333343</v>
      </c>
      <c r="CM30" s="206" t="str">
        <f t="shared" si="51"/>
        <v>(0.69)</v>
      </c>
      <c r="CN30" s="207">
        <v>2</v>
      </c>
      <c r="CO30" s="207">
        <f t="shared" si="52"/>
        <v>3.5</v>
      </c>
      <c r="CP30" s="207">
        <v>0</v>
      </c>
      <c r="CQ30" s="207">
        <f t="shared" si="53"/>
        <v>0</v>
      </c>
      <c r="CR30" s="207">
        <v>0</v>
      </c>
      <c r="CS30" s="207">
        <f t="shared" si="54"/>
        <v>0</v>
      </c>
      <c r="CT30" s="207">
        <f t="shared" si="55"/>
        <v>3.5</v>
      </c>
      <c r="CU30" s="208">
        <f t="shared" si="56"/>
        <v>26.5</v>
      </c>
      <c r="CV30" s="205">
        <f t="shared" si="57"/>
        <v>9.1534895833333323</v>
      </c>
      <c r="CW30" s="206" t="str">
        <f t="shared" si="58"/>
        <v>(0.85)</v>
      </c>
      <c r="CX30" s="207">
        <v>2</v>
      </c>
      <c r="CY30" s="207">
        <f t="shared" si="59"/>
        <v>3.5</v>
      </c>
      <c r="CZ30" s="207">
        <v>0</v>
      </c>
      <c r="DA30" s="207">
        <f t="shared" si="60"/>
        <v>0</v>
      </c>
      <c r="DB30" s="207">
        <v>0</v>
      </c>
      <c r="DC30" s="207">
        <f t="shared" si="61"/>
        <v>0</v>
      </c>
      <c r="DD30" s="207">
        <f t="shared" si="62"/>
        <v>3.5</v>
      </c>
      <c r="DE30" s="208">
        <f t="shared" si="63"/>
        <v>32.5</v>
      </c>
      <c r="DF30" s="205">
        <f t="shared" si="64"/>
        <v>10.843364583333333</v>
      </c>
      <c r="DG30" s="206" t="str">
        <f t="shared" si="65"/>
        <v>(1.01)</v>
      </c>
      <c r="DH30" s="207">
        <v>2</v>
      </c>
      <c r="DI30" s="207">
        <f t="shared" si="66"/>
        <v>3.5</v>
      </c>
      <c r="DJ30" s="207">
        <v>0</v>
      </c>
      <c r="DK30" s="207">
        <f t="shared" si="67"/>
        <v>0</v>
      </c>
      <c r="DL30" s="207">
        <v>0</v>
      </c>
      <c r="DM30" s="207">
        <f t="shared" si="68"/>
        <v>0</v>
      </c>
      <c r="DN30" s="207">
        <f t="shared" si="69"/>
        <v>3.5</v>
      </c>
      <c r="DO30" s="208">
        <f t="shared" si="70"/>
        <v>38.5</v>
      </c>
      <c r="DP30" s="205">
        <f t="shared" si="71"/>
        <v>12.533239583333334</v>
      </c>
      <c r="DQ30" s="206" t="str">
        <f t="shared" si="72"/>
        <v>(1.16)</v>
      </c>
      <c r="DR30" s="207">
        <v>2</v>
      </c>
      <c r="DS30" s="207">
        <f t="shared" si="73"/>
        <v>3.5</v>
      </c>
      <c r="DT30" s="207">
        <v>0</v>
      </c>
      <c r="DU30" s="207">
        <f t="shared" si="74"/>
        <v>0</v>
      </c>
      <c r="DV30" s="207">
        <v>0</v>
      </c>
      <c r="DW30" s="207">
        <f t="shared" si="75"/>
        <v>0</v>
      </c>
      <c r="DX30" s="207">
        <f t="shared" si="76"/>
        <v>3.5</v>
      </c>
      <c r="DY30" s="208">
        <f t="shared" si="77"/>
        <v>44.5</v>
      </c>
      <c r="DZ30" s="205">
        <f t="shared" si="78"/>
        <v>13.94146875</v>
      </c>
      <c r="EA30" s="206" t="str">
        <f t="shared" si="79"/>
        <v>(1.30)</v>
      </c>
      <c r="EB30" s="207">
        <v>2</v>
      </c>
      <c r="EC30" s="207">
        <f t="shared" si="80"/>
        <v>3.5</v>
      </c>
      <c r="ED30" s="207">
        <v>0</v>
      </c>
      <c r="EE30" s="207">
        <f t="shared" si="81"/>
        <v>0</v>
      </c>
      <c r="EF30" s="207">
        <v>1</v>
      </c>
      <c r="EG30" s="207">
        <f t="shared" si="82"/>
        <v>1</v>
      </c>
      <c r="EH30" s="207">
        <f t="shared" si="83"/>
        <v>4.5</v>
      </c>
      <c r="EI30" s="208">
        <f t="shared" si="84"/>
        <v>49.5</v>
      </c>
      <c r="EJ30" s="205">
        <f t="shared" si="85"/>
        <v>15.631343750000001</v>
      </c>
      <c r="EK30" s="206" t="str">
        <f t="shared" si="86"/>
        <v>(1.45)</v>
      </c>
      <c r="EL30" s="207">
        <v>2</v>
      </c>
      <c r="EM30" s="207">
        <f t="shared" si="87"/>
        <v>3.5</v>
      </c>
      <c r="EN30" s="207">
        <v>0</v>
      </c>
      <c r="EO30" s="207">
        <f t="shared" si="88"/>
        <v>0</v>
      </c>
      <c r="EP30" s="207">
        <v>1</v>
      </c>
      <c r="EQ30" s="207">
        <f t="shared" si="89"/>
        <v>1</v>
      </c>
      <c r="ER30" s="207">
        <f t="shared" si="90"/>
        <v>4.5</v>
      </c>
      <c r="ES30" s="208">
        <f t="shared" si="91"/>
        <v>55.5</v>
      </c>
      <c r="ET30" s="205">
        <f t="shared" si="92"/>
        <v>17.32121875</v>
      </c>
      <c r="EU30" s="206" t="str">
        <f t="shared" si="93"/>
        <v>(1.61)</v>
      </c>
      <c r="EV30" s="207">
        <v>2</v>
      </c>
      <c r="EW30" s="207">
        <f t="shared" si="94"/>
        <v>3.5</v>
      </c>
      <c r="EX30" s="207">
        <v>0</v>
      </c>
      <c r="EY30" s="207">
        <f t="shared" si="95"/>
        <v>0</v>
      </c>
      <c r="EZ30" s="207">
        <v>1</v>
      </c>
      <c r="FA30" s="207">
        <f t="shared" si="96"/>
        <v>1</v>
      </c>
      <c r="FB30" s="207">
        <f t="shared" si="97"/>
        <v>4.5</v>
      </c>
      <c r="FC30" s="208">
        <f t="shared" si="98"/>
        <v>61.5</v>
      </c>
      <c r="FD30" s="205">
        <f t="shared" si="99"/>
        <v>18.975888020833334</v>
      </c>
      <c r="FE30" s="206" t="str">
        <f t="shared" si="100"/>
        <v>(1.76)</v>
      </c>
      <c r="FF30" s="207">
        <v>2</v>
      </c>
      <c r="FG30" s="207">
        <f t="shared" si="101"/>
        <v>3.5</v>
      </c>
      <c r="FH30" s="207">
        <v>1</v>
      </c>
      <c r="FI30" s="207">
        <f t="shared" si="102"/>
        <v>1.125</v>
      </c>
      <c r="FJ30" s="207">
        <v>0</v>
      </c>
      <c r="FK30" s="207">
        <f t="shared" si="103"/>
        <v>0</v>
      </c>
      <c r="FL30" s="207">
        <f t="shared" si="104"/>
        <v>4.625</v>
      </c>
      <c r="FM30" s="208">
        <f t="shared" si="105"/>
        <v>67.375</v>
      </c>
      <c r="FN30" s="205">
        <f t="shared" si="106"/>
        <v>20.665763020833335</v>
      </c>
      <c r="FO30" s="206" t="str">
        <f t="shared" si="107"/>
        <v>(1.92)</v>
      </c>
      <c r="FP30" s="207">
        <v>2</v>
      </c>
      <c r="FQ30" s="207">
        <f t="shared" si="108"/>
        <v>3.5</v>
      </c>
      <c r="FR30" s="207">
        <v>1</v>
      </c>
      <c r="FS30" s="207">
        <f t="shared" si="109"/>
        <v>1.125</v>
      </c>
      <c r="FT30" s="207">
        <v>0</v>
      </c>
      <c r="FU30" s="207">
        <f t="shared" si="110"/>
        <v>0</v>
      </c>
      <c r="FV30" s="207">
        <f t="shared" si="111"/>
        <v>4.625</v>
      </c>
      <c r="FW30" s="208">
        <f t="shared" si="112"/>
        <v>73.375</v>
      </c>
      <c r="FX30" s="205">
        <f t="shared" si="113"/>
        <v>22.355638020833332</v>
      </c>
      <c r="FY30" s="206" t="str">
        <f t="shared" si="114"/>
        <v>(2.08)</v>
      </c>
      <c r="FZ30" s="207">
        <v>2</v>
      </c>
      <c r="GA30" s="207">
        <f t="shared" si="115"/>
        <v>3.5</v>
      </c>
      <c r="GB30" s="207">
        <v>1</v>
      </c>
      <c r="GC30" s="207">
        <f t="shared" si="116"/>
        <v>1.125</v>
      </c>
      <c r="GD30" s="207">
        <v>0</v>
      </c>
      <c r="GE30" s="207">
        <f t="shared" si="117"/>
        <v>0</v>
      </c>
      <c r="GF30" s="207">
        <f t="shared" si="118"/>
        <v>4.625</v>
      </c>
      <c r="GG30" s="208">
        <f t="shared" si="119"/>
        <v>79.375</v>
      </c>
      <c r="GH30" s="205">
        <f t="shared" si="120"/>
        <v>24.045513020833333</v>
      </c>
      <c r="GI30" s="206" t="str">
        <f t="shared" si="121"/>
        <v>(2.23)</v>
      </c>
      <c r="GJ30" s="207">
        <v>2</v>
      </c>
      <c r="GK30" s="207">
        <f t="shared" si="122"/>
        <v>3.5</v>
      </c>
      <c r="GL30" s="207">
        <v>1</v>
      </c>
      <c r="GM30" s="207">
        <f t="shared" si="123"/>
        <v>1.125</v>
      </c>
      <c r="GN30" s="207">
        <v>0</v>
      </c>
      <c r="GO30" s="207">
        <f t="shared" si="124"/>
        <v>0</v>
      </c>
      <c r="GP30" s="207">
        <f t="shared" si="125"/>
        <v>4.625</v>
      </c>
      <c r="GQ30" s="208">
        <f t="shared" si="126"/>
        <v>85.375</v>
      </c>
      <c r="GR30" s="205">
        <f t="shared" si="127"/>
        <v>25.735388020833334</v>
      </c>
      <c r="GS30" s="206" t="str">
        <f t="shared" si="128"/>
        <v>(2.39)</v>
      </c>
      <c r="GT30" s="207">
        <v>2</v>
      </c>
      <c r="GU30" s="207">
        <f t="shared" si="129"/>
        <v>3.5</v>
      </c>
      <c r="GV30" s="207">
        <v>1</v>
      </c>
      <c r="GW30" s="207">
        <f t="shared" si="130"/>
        <v>1.125</v>
      </c>
      <c r="GX30" s="207">
        <v>0</v>
      </c>
      <c r="GY30" s="207">
        <f t="shared" si="131"/>
        <v>0</v>
      </c>
      <c r="GZ30" s="207">
        <f t="shared" si="132"/>
        <v>4.625</v>
      </c>
      <c r="HA30" s="208">
        <f t="shared" si="133"/>
        <v>91.375</v>
      </c>
      <c r="HB30" s="205">
        <f t="shared" si="134"/>
        <v>27.425263020833334</v>
      </c>
      <c r="HC30" s="206" t="str">
        <f t="shared" si="135"/>
        <v>(2.55)</v>
      </c>
      <c r="HD30" s="207">
        <v>2</v>
      </c>
      <c r="HE30" s="207">
        <f t="shared" si="136"/>
        <v>3.5</v>
      </c>
      <c r="HF30" s="207">
        <v>1</v>
      </c>
      <c r="HG30" s="207">
        <f t="shared" si="137"/>
        <v>1.125</v>
      </c>
      <c r="HH30" s="207">
        <v>0</v>
      </c>
      <c r="HI30" s="207">
        <f t="shared" si="138"/>
        <v>0</v>
      </c>
      <c r="HJ30" s="207">
        <f t="shared" si="139"/>
        <v>4.625</v>
      </c>
      <c r="HK30" s="208">
        <f t="shared" si="140"/>
        <v>97.375</v>
      </c>
      <c r="HL30" s="205">
        <f t="shared" si="141"/>
        <v>28.551846354166667</v>
      </c>
      <c r="HM30" s="206" t="str">
        <f t="shared" si="142"/>
        <v>(2.65)</v>
      </c>
      <c r="HN30" s="207">
        <v>2</v>
      </c>
      <c r="HO30" s="207">
        <f t="shared" si="143"/>
        <v>3.5</v>
      </c>
      <c r="HP30" s="207">
        <v>1</v>
      </c>
      <c r="HQ30" s="207">
        <f t="shared" si="144"/>
        <v>1.125</v>
      </c>
      <c r="HR30" s="207">
        <v>2</v>
      </c>
      <c r="HS30" s="207">
        <f t="shared" si="145"/>
        <v>2</v>
      </c>
      <c r="HT30" s="207">
        <f t="shared" si="146"/>
        <v>6.625</v>
      </c>
      <c r="HU30" s="208">
        <f t="shared" si="147"/>
        <v>101.375</v>
      </c>
      <c r="HV30" s="205">
        <f t="shared" si="148"/>
        <v>30.241721354166671</v>
      </c>
      <c r="HW30" s="206" t="str">
        <f t="shared" si="149"/>
        <v>(2.81)</v>
      </c>
      <c r="HX30" s="207">
        <v>2</v>
      </c>
      <c r="HY30" s="207">
        <f t="shared" si="150"/>
        <v>3.5</v>
      </c>
      <c r="HZ30" s="207">
        <v>1</v>
      </c>
      <c r="IA30" s="207">
        <f t="shared" si="151"/>
        <v>1.125</v>
      </c>
      <c r="IB30" s="207">
        <v>2</v>
      </c>
      <c r="IC30" s="207">
        <f t="shared" si="152"/>
        <v>2</v>
      </c>
      <c r="ID30" s="207">
        <f t="shared" si="153"/>
        <v>6.625</v>
      </c>
      <c r="IE30" s="208">
        <f t="shared" si="154"/>
        <v>107.375</v>
      </c>
      <c r="IF30" s="205">
        <f t="shared" si="155"/>
        <v>31.931596354166668</v>
      </c>
      <c r="IG30" s="206" t="str">
        <f t="shared" si="156"/>
        <v>(2.97)</v>
      </c>
      <c r="IH30" s="21">
        <v>2</v>
      </c>
      <c r="II30" s="21">
        <f t="shared" si="157"/>
        <v>3.5</v>
      </c>
      <c r="IJ30" s="21">
        <v>1</v>
      </c>
      <c r="IK30" s="21">
        <f t="shared" si="158"/>
        <v>1.125</v>
      </c>
      <c r="IL30" s="21">
        <v>2</v>
      </c>
      <c r="IM30" s="21">
        <f t="shared" si="159"/>
        <v>2</v>
      </c>
      <c r="IN30" s="21">
        <f t="shared" si="160"/>
        <v>6.625</v>
      </c>
      <c r="IO30" s="22">
        <f t="shared" si="161"/>
        <v>113.375</v>
      </c>
      <c r="IP30" s="23"/>
      <c r="IQ30" s="409">
        <v>15</v>
      </c>
      <c r="IR30" s="410">
        <v>2.645</v>
      </c>
      <c r="IS30" s="410">
        <v>2.645</v>
      </c>
      <c r="IT30" s="410">
        <v>0.88200000000000001</v>
      </c>
      <c r="IU30" s="410">
        <v>1.75</v>
      </c>
      <c r="IV30" s="410">
        <v>1</v>
      </c>
      <c r="IW30" s="410">
        <v>1.125</v>
      </c>
      <c r="IX30" s="7"/>
    </row>
    <row r="31" spans="2:258" ht="15.75" thickBot="1" x14ac:dyDescent="0.3">
      <c r="B31" s="258">
        <f t="shared" si="20"/>
        <v>90</v>
      </c>
      <c r="C31" s="266">
        <v>16</v>
      </c>
      <c r="D31" s="265">
        <f t="shared" si="0"/>
        <v>0.38314629629629632</v>
      </c>
      <c r="E31" s="262">
        <f t="shared" si="1"/>
        <v>0.44410138888888889</v>
      </c>
      <c r="F31" s="262">
        <f t="shared" si="2"/>
        <v>0.50505648148148152</v>
      </c>
      <c r="G31" s="262">
        <f t="shared" si="3"/>
        <v>0.53553402777777781</v>
      </c>
      <c r="H31" s="262">
        <f t="shared" si="4"/>
        <v>0.55382055555555554</v>
      </c>
      <c r="I31" s="262">
        <f t="shared" si="5"/>
        <v>0.5660115740740741</v>
      </c>
      <c r="J31" s="262">
        <f t="shared" si="6"/>
        <v>0.57471944444444445</v>
      </c>
      <c r="K31" s="262">
        <f t="shared" si="7"/>
        <v>0.58125034722222213</v>
      </c>
      <c r="L31" s="262">
        <f t="shared" si="8"/>
        <v>0.57471944444444445</v>
      </c>
      <c r="M31" s="262">
        <f t="shared" si="9"/>
        <v>0.57994416666666671</v>
      </c>
      <c r="N31" s="262">
        <f t="shared" si="10"/>
        <v>0.58421893939393943</v>
      </c>
      <c r="O31" s="262">
        <f t="shared" si="11"/>
        <v>0.5866927662037037</v>
      </c>
      <c r="P31" s="262"/>
      <c r="Q31" s="262"/>
      <c r="R31" s="262"/>
      <c r="S31" s="262"/>
      <c r="T31" s="262"/>
      <c r="U31" s="262"/>
      <c r="V31" s="262"/>
      <c r="W31" s="262"/>
      <c r="X31" s="262"/>
      <c r="Y31" s="251"/>
      <c r="Z31" s="221"/>
      <c r="AA31" s="221"/>
      <c r="AB31" s="221"/>
      <c r="AC31" s="221"/>
      <c r="AD31" s="221"/>
      <c r="AE31" s="221"/>
      <c r="AF31" s="221"/>
      <c r="AG31" s="221"/>
      <c r="AH31" s="221"/>
      <c r="AI31" s="221"/>
      <c r="AJ31" s="221"/>
      <c r="AK31" s="221"/>
      <c r="AL31" s="221"/>
      <c r="AM31" s="221"/>
      <c r="AN31" s="221"/>
      <c r="AO31" s="221"/>
      <c r="AP31" s="221"/>
      <c r="AQ31" s="221"/>
      <c r="AT31" s="3"/>
      <c r="AU31" s="13">
        <f t="shared" si="162"/>
        <v>72</v>
      </c>
      <c r="AV31" s="11" t="str">
        <f t="shared" si="21"/>
        <v>(1850)</v>
      </c>
      <c r="AW31" s="18"/>
      <c r="AX31" s="19">
        <f t="shared" si="22"/>
        <v>1.6962916666666665</v>
      </c>
      <c r="AY31" s="20" t="str">
        <f t="shared" si="23"/>
        <v>(0.16)</v>
      </c>
      <c r="AZ31" s="21">
        <v>2</v>
      </c>
      <c r="BA31" s="21">
        <f t="shared" si="24"/>
        <v>3.5</v>
      </c>
      <c r="BB31" s="21">
        <v>0</v>
      </c>
      <c r="BC31" s="21">
        <f t="shared" si="25"/>
        <v>0</v>
      </c>
      <c r="BD31" s="21">
        <v>0</v>
      </c>
      <c r="BE31" s="21">
        <f t="shared" si="26"/>
        <v>0</v>
      </c>
      <c r="BF31" s="21">
        <f t="shared" si="27"/>
        <v>3.5</v>
      </c>
      <c r="BG31" s="22">
        <f t="shared" si="28"/>
        <v>5.5</v>
      </c>
      <c r="BH31" s="205">
        <f t="shared" si="29"/>
        <v>2.6215416666666669</v>
      </c>
      <c r="BI31" s="206" t="str">
        <f t="shared" si="30"/>
        <v>(0.24)</v>
      </c>
      <c r="BJ31" s="207">
        <v>2</v>
      </c>
      <c r="BK31" s="207">
        <f t="shared" si="31"/>
        <v>3.5</v>
      </c>
      <c r="BL31" s="207">
        <v>0</v>
      </c>
      <c r="BM31" s="207">
        <f t="shared" si="32"/>
        <v>0</v>
      </c>
      <c r="BN31" s="207">
        <v>0</v>
      </c>
      <c r="BO31" s="207">
        <f t="shared" si="33"/>
        <v>0</v>
      </c>
      <c r="BP31" s="207">
        <f t="shared" si="34"/>
        <v>3.5</v>
      </c>
      <c r="BQ31" s="208">
        <f t="shared" si="35"/>
        <v>8.5</v>
      </c>
      <c r="BR31" s="205">
        <f t="shared" si="36"/>
        <v>4.4720416666666658</v>
      </c>
      <c r="BS31" s="206" t="str">
        <f t="shared" si="37"/>
        <v>(0.42)</v>
      </c>
      <c r="BT31" s="207">
        <v>2</v>
      </c>
      <c r="BU31" s="207">
        <f t="shared" si="38"/>
        <v>3.5</v>
      </c>
      <c r="BV31" s="207">
        <v>0</v>
      </c>
      <c r="BW31" s="207">
        <f t="shared" si="39"/>
        <v>0</v>
      </c>
      <c r="BX31" s="207">
        <v>0</v>
      </c>
      <c r="BY31" s="207">
        <f t="shared" si="40"/>
        <v>0</v>
      </c>
      <c r="BZ31" s="207">
        <f t="shared" si="41"/>
        <v>3.5</v>
      </c>
      <c r="CA31" s="208">
        <f t="shared" si="42"/>
        <v>14.5</v>
      </c>
      <c r="CB31" s="205">
        <f t="shared" si="43"/>
        <v>6.3225416666666669</v>
      </c>
      <c r="CC31" s="206" t="str">
        <f t="shared" si="44"/>
        <v>(0.59)</v>
      </c>
      <c r="CD31" s="207">
        <v>2</v>
      </c>
      <c r="CE31" s="207">
        <f t="shared" si="45"/>
        <v>3.5</v>
      </c>
      <c r="CF31" s="207">
        <v>0</v>
      </c>
      <c r="CG31" s="207">
        <f t="shared" si="46"/>
        <v>0</v>
      </c>
      <c r="CH31" s="207">
        <v>0</v>
      </c>
      <c r="CI31" s="207">
        <f t="shared" si="47"/>
        <v>0</v>
      </c>
      <c r="CJ31" s="207">
        <f t="shared" si="48"/>
        <v>3.5</v>
      </c>
      <c r="CK31" s="208">
        <f t="shared" si="49"/>
        <v>20.5</v>
      </c>
      <c r="CL31" s="205">
        <f t="shared" si="50"/>
        <v>8.1730416666666663</v>
      </c>
      <c r="CM31" s="206" t="str">
        <f t="shared" si="51"/>
        <v>(0.76)</v>
      </c>
      <c r="CN31" s="207">
        <v>2</v>
      </c>
      <c r="CO31" s="207">
        <f t="shared" si="52"/>
        <v>3.5</v>
      </c>
      <c r="CP31" s="207">
        <v>0</v>
      </c>
      <c r="CQ31" s="207">
        <f t="shared" si="53"/>
        <v>0</v>
      </c>
      <c r="CR31" s="207">
        <v>0</v>
      </c>
      <c r="CS31" s="207">
        <f t="shared" si="54"/>
        <v>0</v>
      </c>
      <c r="CT31" s="207">
        <f t="shared" si="55"/>
        <v>3.5</v>
      </c>
      <c r="CU31" s="208">
        <f t="shared" si="56"/>
        <v>26.5</v>
      </c>
      <c r="CV31" s="205">
        <f t="shared" si="57"/>
        <v>10.023541666666667</v>
      </c>
      <c r="CW31" s="206" t="str">
        <f t="shared" si="58"/>
        <v>(0.93)</v>
      </c>
      <c r="CX31" s="207">
        <v>2</v>
      </c>
      <c r="CY31" s="207">
        <f t="shared" si="59"/>
        <v>3.5</v>
      </c>
      <c r="CZ31" s="207">
        <v>0</v>
      </c>
      <c r="DA31" s="207">
        <f t="shared" si="60"/>
        <v>0</v>
      </c>
      <c r="DB31" s="207">
        <v>0</v>
      </c>
      <c r="DC31" s="207">
        <f t="shared" si="61"/>
        <v>0</v>
      </c>
      <c r="DD31" s="207">
        <f t="shared" si="62"/>
        <v>3.5</v>
      </c>
      <c r="DE31" s="208">
        <f t="shared" si="63"/>
        <v>32.5</v>
      </c>
      <c r="DF31" s="205">
        <f t="shared" si="64"/>
        <v>11.874041666666665</v>
      </c>
      <c r="DG31" s="206" t="str">
        <f t="shared" si="65"/>
        <v>(1.1)</v>
      </c>
      <c r="DH31" s="207">
        <v>2</v>
      </c>
      <c r="DI31" s="207">
        <f t="shared" si="66"/>
        <v>3.5</v>
      </c>
      <c r="DJ31" s="207">
        <v>0</v>
      </c>
      <c r="DK31" s="207">
        <f t="shared" si="67"/>
        <v>0</v>
      </c>
      <c r="DL31" s="207">
        <v>0</v>
      </c>
      <c r="DM31" s="207">
        <f t="shared" si="68"/>
        <v>0</v>
      </c>
      <c r="DN31" s="207">
        <f t="shared" si="69"/>
        <v>3.5</v>
      </c>
      <c r="DO31" s="208">
        <f t="shared" si="70"/>
        <v>38.5</v>
      </c>
      <c r="DP31" s="205">
        <f t="shared" si="71"/>
        <v>13.724541666666667</v>
      </c>
      <c r="DQ31" s="206" t="str">
        <f t="shared" si="72"/>
        <v>(1.28)</v>
      </c>
      <c r="DR31" s="207">
        <v>2</v>
      </c>
      <c r="DS31" s="207">
        <f t="shared" si="73"/>
        <v>3.5</v>
      </c>
      <c r="DT31" s="207">
        <v>0</v>
      </c>
      <c r="DU31" s="207">
        <f t="shared" si="74"/>
        <v>0</v>
      </c>
      <c r="DV31" s="207">
        <v>0</v>
      </c>
      <c r="DW31" s="207">
        <f t="shared" si="75"/>
        <v>0</v>
      </c>
      <c r="DX31" s="207">
        <f t="shared" si="76"/>
        <v>3.5</v>
      </c>
      <c r="DY31" s="208">
        <f t="shared" si="77"/>
        <v>44.5</v>
      </c>
      <c r="DZ31" s="205">
        <f t="shared" si="78"/>
        <v>15.266624999999998</v>
      </c>
      <c r="EA31" s="206" t="str">
        <f t="shared" si="79"/>
        <v>(1.42)</v>
      </c>
      <c r="EB31" s="207">
        <v>2</v>
      </c>
      <c r="EC31" s="207">
        <f t="shared" si="80"/>
        <v>3.5</v>
      </c>
      <c r="ED31" s="207">
        <v>0</v>
      </c>
      <c r="EE31" s="207">
        <f t="shared" si="81"/>
        <v>0</v>
      </c>
      <c r="EF31" s="207">
        <v>1</v>
      </c>
      <c r="EG31" s="207">
        <f t="shared" si="82"/>
        <v>1</v>
      </c>
      <c r="EH31" s="207">
        <f t="shared" si="83"/>
        <v>4.5</v>
      </c>
      <c r="EI31" s="208">
        <f t="shared" si="84"/>
        <v>49.5</v>
      </c>
      <c r="EJ31" s="205">
        <f t="shared" si="85"/>
        <v>17.117125000000001</v>
      </c>
      <c r="EK31" s="206" t="str">
        <f t="shared" si="86"/>
        <v>(1.59)</v>
      </c>
      <c r="EL31" s="207">
        <v>2</v>
      </c>
      <c r="EM31" s="207">
        <f t="shared" si="87"/>
        <v>3.5</v>
      </c>
      <c r="EN31" s="207">
        <v>0</v>
      </c>
      <c r="EO31" s="207">
        <f t="shared" si="88"/>
        <v>0</v>
      </c>
      <c r="EP31" s="207">
        <v>1</v>
      </c>
      <c r="EQ31" s="207">
        <f t="shared" si="89"/>
        <v>1</v>
      </c>
      <c r="ER31" s="207">
        <f t="shared" si="90"/>
        <v>4.5</v>
      </c>
      <c r="ES31" s="208">
        <f t="shared" si="91"/>
        <v>55.5</v>
      </c>
      <c r="ET31" s="205">
        <f t="shared" si="92"/>
        <v>18.967624999999998</v>
      </c>
      <c r="EU31" s="206" t="str">
        <f t="shared" si="93"/>
        <v>(1.76)</v>
      </c>
      <c r="EV31" s="207">
        <v>2</v>
      </c>
      <c r="EW31" s="207">
        <f t="shared" si="94"/>
        <v>3.5</v>
      </c>
      <c r="EX31" s="207">
        <v>0</v>
      </c>
      <c r="EY31" s="207">
        <f t="shared" si="95"/>
        <v>0</v>
      </c>
      <c r="EZ31" s="207">
        <v>1</v>
      </c>
      <c r="FA31" s="207">
        <f t="shared" si="96"/>
        <v>1</v>
      </c>
      <c r="FB31" s="207">
        <f t="shared" si="97"/>
        <v>4.5</v>
      </c>
      <c r="FC31" s="208">
        <f t="shared" si="98"/>
        <v>61.5</v>
      </c>
      <c r="FD31" s="205">
        <f t="shared" si="99"/>
        <v>20.779572916666666</v>
      </c>
      <c r="FE31" s="206" t="str">
        <f t="shared" si="100"/>
        <v>(1.93)</v>
      </c>
      <c r="FF31" s="207">
        <v>2</v>
      </c>
      <c r="FG31" s="207">
        <f t="shared" si="101"/>
        <v>3.5</v>
      </c>
      <c r="FH31" s="207">
        <v>1</v>
      </c>
      <c r="FI31" s="207">
        <f t="shared" si="102"/>
        <v>1.125</v>
      </c>
      <c r="FJ31" s="207">
        <v>0</v>
      </c>
      <c r="FK31" s="207">
        <f t="shared" si="103"/>
        <v>0</v>
      </c>
      <c r="FL31" s="207">
        <f t="shared" si="104"/>
        <v>4.625</v>
      </c>
      <c r="FM31" s="208">
        <f t="shared" si="105"/>
        <v>67.375</v>
      </c>
      <c r="FN31" s="205">
        <f t="shared" si="106"/>
        <v>22.630072916666666</v>
      </c>
      <c r="FO31" s="206" t="str">
        <f t="shared" si="107"/>
        <v>(2.10)</v>
      </c>
      <c r="FP31" s="207">
        <v>2</v>
      </c>
      <c r="FQ31" s="207">
        <f t="shared" si="108"/>
        <v>3.5</v>
      </c>
      <c r="FR31" s="207">
        <v>1</v>
      </c>
      <c r="FS31" s="207">
        <f t="shared" si="109"/>
        <v>1.125</v>
      </c>
      <c r="FT31" s="207">
        <v>0</v>
      </c>
      <c r="FU31" s="207">
        <f t="shared" si="110"/>
        <v>0</v>
      </c>
      <c r="FV31" s="207">
        <f t="shared" si="111"/>
        <v>4.625</v>
      </c>
      <c r="FW31" s="208">
        <f t="shared" si="112"/>
        <v>73.375</v>
      </c>
      <c r="FX31" s="205">
        <f t="shared" si="113"/>
        <v>24.480572916666667</v>
      </c>
      <c r="FY31" s="206" t="str">
        <f t="shared" si="114"/>
        <v>(2.27)</v>
      </c>
      <c r="FZ31" s="207">
        <v>2</v>
      </c>
      <c r="GA31" s="207">
        <f t="shared" si="115"/>
        <v>3.5</v>
      </c>
      <c r="GB31" s="207">
        <v>1</v>
      </c>
      <c r="GC31" s="207">
        <f t="shared" si="116"/>
        <v>1.125</v>
      </c>
      <c r="GD31" s="207">
        <v>0</v>
      </c>
      <c r="GE31" s="207">
        <f t="shared" si="117"/>
        <v>0</v>
      </c>
      <c r="GF31" s="207">
        <f t="shared" si="118"/>
        <v>4.625</v>
      </c>
      <c r="GG31" s="208">
        <f t="shared" si="119"/>
        <v>79.375</v>
      </c>
      <c r="GH31" s="205">
        <f t="shared" si="120"/>
        <v>26.331072916666667</v>
      </c>
      <c r="GI31" s="206" t="str">
        <f t="shared" si="121"/>
        <v>(2.45)</v>
      </c>
      <c r="GJ31" s="207">
        <v>2</v>
      </c>
      <c r="GK31" s="207">
        <f t="shared" si="122"/>
        <v>3.5</v>
      </c>
      <c r="GL31" s="207">
        <v>1</v>
      </c>
      <c r="GM31" s="207">
        <f t="shared" si="123"/>
        <v>1.125</v>
      </c>
      <c r="GN31" s="207">
        <v>0</v>
      </c>
      <c r="GO31" s="207">
        <f t="shared" si="124"/>
        <v>0</v>
      </c>
      <c r="GP31" s="207">
        <f t="shared" si="125"/>
        <v>4.625</v>
      </c>
      <c r="GQ31" s="208">
        <f t="shared" si="126"/>
        <v>85.375</v>
      </c>
      <c r="GR31" s="205">
        <f t="shared" si="127"/>
        <v>28.181572916666667</v>
      </c>
      <c r="GS31" s="206" t="str">
        <f t="shared" si="128"/>
        <v>(2.62)</v>
      </c>
      <c r="GT31" s="207">
        <v>2</v>
      </c>
      <c r="GU31" s="207">
        <f t="shared" si="129"/>
        <v>3.5</v>
      </c>
      <c r="GV31" s="207">
        <v>1</v>
      </c>
      <c r="GW31" s="207">
        <f t="shared" si="130"/>
        <v>1.125</v>
      </c>
      <c r="GX31" s="207">
        <v>0</v>
      </c>
      <c r="GY31" s="207">
        <f t="shared" si="131"/>
        <v>0</v>
      </c>
      <c r="GZ31" s="207">
        <f t="shared" si="132"/>
        <v>4.625</v>
      </c>
      <c r="HA31" s="208">
        <f t="shared" si="133"/>
        <v>91.375</v>
      </c>
      <c r="HB31" s="205">
        <f t="shared" si="134"/>
        <v>30.032072916666664</v>
      </c>
      <c r="HC31" s="206" t="str">
        <f t="shared" si="135"/>
        <v>(2.79)</v>
      </c>
      <c r="HD31" s="207">
        <v>2</v>
      </c>
      <c r="HE31" s="207">
        <f t="shared" si="136"/>
        <v>3.5</v>
      </c>
      <c r="HF31" s="207">
        <v>1</v>
      </c>
      <c r="HG31" s="207">
        <f t="shared" si="137"/>
        <v>1.125</v>
      </c>
      <c r="HH31" s="207">
        <v>0</v>
      </c>
      <c r="HI31" s="207">
        <f t="shared" si="138"/>
        <v>0</v>
      </c>
      <c r="HJ31" s="207">
        <f t="shared" si="139"/>
        <v>4.625</v>
      </c>
      <c r="HK31" s="208">
        <f t="shared" si="140"/>
        <v>97.375</v>
      </c>
      <c r="HL31" s="205">
        <f t="shared" si="141"/>
        <v>31.265739583333332</v>
      </c>
      <c r="HM31" s="206" t="str">
        <f t="shared" si="142"/>
        <v>(2.90)</v>
      </c>
      <c r="HN31" s="207">
        <v>2</v>
      </c>
      <c r="HO31" s="207">
        <f t="shared" si="143"/>
        <v>3.5</v>
      </c>
      <c r="HP31" s="207">
        <v>1</v>
      </c>
      <c r="HQ31" s="207">
        <f t="shared" si="144"/>
        <v>1.125</v>
      </c>
      <c r="HR31" s="207">
        <v>2</v>
      </c>
      <c r="HS31" s="207">
        <f t="shared" si="145"/>
        <v>2</v>
      </c>
      <c r="HT31" s="207">
        <f t="shared" si="146"/>
        <v>6.625</v>
      </c>
      <c r="HU31" s="208">
        <f t="shared" si="147"/>
        <v>101.375</v>
      </c>
      <c r="HV31" s="205">
        <f t="shared" si="148"/>
        <v>33.116239583333332</v>
      </c>
      <c r="HW31" s="206" t="str">
        <f t="shared" si="149"/>
        <v>(3.08)</v>
      </c>
      <c r="HX31" s="207">
        <v>2</v>
      </c>
      <c r="HY31" s="207">
        <f t="shared" si="150"/>
        <v>3.5</v>
      </c>
      <c r="HZ31" s="207">
        <v>1</v>
      </c>
      <c r="IA31" s="207">
        <f t="shared" si="151"/>
        <v>1.125</v>
      </c>
      <c r="IB31" s="207">
        <v>2</v>
      </c>
      <c r="IC31" s="207">
        <f t="shared" si="152"/>
        <v>2</v>
      </c>
      <c r="ID31" s="207">
        <f t="shared" si="153"/>
        <v>6.625</v>
      </c>
      <c r="IE31" s="208">
        <f t="shared" si="154"/>
        <v>107.375</v>
      </c>
      <c r="IF31" s="205">
        <f t="shared" si="155"/>
        <v>34.966739583333336</v>
      </c>
      <c r="IG31" s="206" t="str">
        <f t="shared" si="156"/>
        <v>(3.25)</v>
      </c>
      <c r="IH31" s="21">
        <v>2</v>
      </c>
      <c r="II31" s="21">
        <f t="shared" si="157"/>
        <v>3.5</v>
      </c>
      <c r="IJ31" s="21">
        <v>1</v>
      </c>
      <c r="IK31" s="21">
        <f t="shared" si="158"/>
        <v>1.125</v>
      </c>
      <c r="IL31" s="21">
        <v>2</v>
      </c>
      <c r="IM31" s="21">
        <f t="shared" si="159"/>
        <v>2</v>
      </c>
      <c r="IN31" s="21">
        <f t="shared" si="160"/>
        <v>6.625</v>
      </c>
      <c r="IO31" s="22">
        <f t="shared" si="161"/>
        <v>113.375</v>
      </c>
      <c r="IP31" s="23"/>
      <c r="IQ31" s="409">
        <v>16</v>
      </c>
      <c r="IR31" s="410">
        <v>2.645</v>
      </c>
      <c r="IS31" s="410">
        <v>2.645</v>
      </c>
      <c r="IT31" s="410">
        <v>2.0920000000000001</v>
      </c>
      <c r="IU31" s="410">
        <v>1.75</v>
      </c>
      <c r="IV31" s="410">
        <v>1</v>
      </c>
      <c r="IW31" s="410">
        <v>1.125</v>
      </c>
      <c r="IX31" s="7"/>
    </row>
    <row r="32" spans="2:258" ht="15.75" thickBot="1" x14ac:dyDescent="0.3">
      <c r="B32" s="258">
        <f t="shared" si="20"/>
        <v>96</v>
      </c>
      <c r="C32" s="253">
        <v>17</v>
      </c>
      <c r="D32" s="265">
        <f t="shared" si="0"/>
        <v>0.38373958333333341</v>
      </c>
      <c r="E32" s="262">
        <f t="shared" si="1"/>
        <v>0.44478906250000005</v>
      </c>
      <c r="F32" s="262">
        <f t="shared" si="2"/>
        <v>0.50583854166666675</v>
      </c>
      <c r="G32" s="262">
        <f t="shared" si="3"/>
        <v>0.5363632812500001</v>
      </c>
      <c r="H32" s="262">
        <f t="shared" si="4"/>
        <v>0.55467812500000002</v>
      </c>
      <c r="I32" s="262">
        <f t="shared" si="5"/>
        <v>0.56688802083333345</v>
      </c>
      <c r="J32" s="262">
        <f t="shared" si="6"/>
        <v>0.57560937499999998</v>
      </c>
      <c r="K32" s="262">
        <f t="shared" si="7"/>
        <v>0.58215039062499996</v>
      </c>
      <c r="L32" s="262">
        <f t="shared" si="8"/>
        <v>0.57560937500000009</v>
      </c>
      <c r="M32" s="262">
        <f t="shared" si="9"/>
        <v>0.58084218750000005</v>
      </c>
      <c r="N32" s="262">
        <f t="shared" si="10"/>
        <v>0.58512357954545458</v>
      </c>
      <c r="O32" s="262">
        <f>FD35/((O$15*$B32)/144)</f>
        <v>0.58760123697916666</v>
      </c>
      <c r="P32" s="262"/>
      <c r="Q32" s="262"/>
      <c r="R32" s="262"/>
      <c r="S32" s="262"/>
      <c r="T32" s="262"/>
      <c r="U32" s="262"/>
      <c r="V32" s="262"/>
      <c r="W32" s="262"/>
      <c r="X32" s="262"/>
      <c r="Y32" s="251"/>
      <c r="Z32" s="221"/>
      <c r="AA32" s="221"/>
      <c r="AB32" s="221"/>
      <c r="AC32" s="221"/>
      <c r="AD32" s="221"/>
      <c r="AE32" s="221"/>
      <c r="AF32" s="221"/>
      <c r="AG32" s="221"/>
      <c r="AH32" s="221"/>
      <c r="AI32" s="221"/>
      <c r="AJ32" s="221"/>
      <c r="AK32" s="221"/>
      <c r="AL32" s="221"/>
      <c r="AM32" s="221"/>
      <c r="AN32" s="221"/>
      <c r="AO32" s="221"/>
      <c r="AP32" s="221"/>
      <c r="AQ32" s="221"/>
      <c r="AT32" s="3"/>
      <c r="AU32" s="13">
        <f t="shared" si="162"/>
        <v>78</v>
      </c>
      <c r="AV32" s="11" t="str">
        <f t="shared" si="21"/>
        <v>(2000)</v>
      </c>
      <c r="AW32" s="18"/>
      <c r="AX32" s="19">
        <f t="shared" si="22"/>
        <v>1.852125</v>
      </c>
      <c r="AY32" s="20" t="str">
        <f t="shared" si="23"/>
        <v>(0.17)</v>
      </c>
      <c r="AZ32" s="21">
        <v>2</v>
      </c>
      <c r="BA32" s="21">
        <f t="shared" si="24"/>
        <v>3.5</v>
      </c>
      <c r="BB32" s="21">
        <v>0</v>
      </c>
      <c r="BC32" s="21">
        <f t="shared" si="25"/>
        <v>0</v>
      </c>
      <c r="BD32" s="21">
        <v>0</v>
      </c>
      <c r="BE32" s="21">
        <f t="shared" si="26"/>
        <v>0</v>
      </c>
      <c r="BF32" s="21">
        <f t="shared" si="27"/>
        <v>3.5</v>
      </c>
      <c r="BG32" s="22">
        <f t="shared" si="28"/>
        <v>5.5</v>
      </c>
      <c r="BH32" s="205">
        <f t="shared" si="29"/>
        <v>2.8623750000000001</v>
      </c>
      <c r="BI32" s="206" t="str">
        <f t="shared" si="30"/>
        <v>(0.27)</v>
      </c>
      <c r="BJ32" s="207">
        <v>2</v>
      </c>
      <c r="BK32" s="207">
        <f t="shared" si="31"/>
        <v>3.5</v>
      </c>
      <c r="BL32" s="207">
        <v>0</v>
      </c>
      <c r="BM32" s="207">
        <f t="shared" si="32"/>
        <v>0</v>
      </c>
      <c r="BN32" s="207">
        <v>0</v>
      </c>
      <c r="BO32" s="207">
        <f t="shared" si="33"/>
        <v>0</v>
      </c>
      <c r="BP32" s="207">
        <f t="shared" si="34"/>
        <v>3.5</v>
      </c>
      <c r="BQ32" s="208">
        <f t="shared" si="35"/>
        <v>8.5</v>
      </c>
      <c r="BR32" s="205">
        <f t="shared" si="36"/>
        <v>4.8828750000000003</v>
      </c>
      <c r="BS32" s="206" t="str">
        <f t="shared" si="37"/>
        <v>(0.45)</v>
      </c>
      <c r="BT32" s="207">
        <v>2</v>
      </c>
      <c r="BU32" s="207">
        <f t="shared" si="38"/>
        <v>3.5</v>
      </c>
      <c r="BV32" s="207">
        <v>0</v>
      </c>
      <c r="BW32" s="207">
        <f t="shared" si="39"/>
        <v>0</v>
      </c>
      <c r="BX32" s="207">
        <v>0</v>
      </c>
      <c r="BY32" s="207">
        <f t="shared" si="40"/>
        <v>0</v>
      </c>
      <c r="BZ32" s="207">
        <f t="shared" si="41"/>
        <v>3.5</v>
      </c>
      <c r="CA32" s="208">
        <f t="shared" si="42"/>
        <v>14.5</v>
      </c>
      <c r="CB32" s="205">
        <f t="shared" si="43"/>
        <v>6.9033750000000005</v>
      </c>
      <c r="CC32" s="206" t="str">
        <f t="shared" si="44"/>
        <v>(0.64)</v>
      </c>
      <c r="CD32" s="207">
        <v>2</v>
      </c>
      <c r="CE32" s="207">
        <f t="shared" si="45"/>
        <v>3.5</v>
      </c>
      <c r="CF32" s="207">
        <v>0</v>
      </c>
      <c r="CG32" s="207">
        <f t="shared" si="46"/>
        <v>0</v>
      </c>
      <c r="CH32" s="207">
        <v>0</v>
      </c>
      <c r="CI32" s="207">
        <f t="shared" si="47"/>
        <v>0</v>
      </c>
      <c r="CJ32" s="207">
        <f t="shared" si="48"/>
        <v>3.5</v>
      </c>
      <c r="CK32" s="208">
        <f t="shared" si="49"/>
        <v>20.5</v>
      </c>
      <c r="CL32" s="205">
        <f t="shared" si="50"/>
        <v>8.9238750000000007</v>
      </c>
      <c r="CM32" s="206" t="str">
        <f t="shared" si="51"/>
        <v>(0.83)</v>
      </c>
      <c r="CN32" s="207">
        <v>2</v>
      </c>
      <c r="CO32" s="207">
        <f t="shared" si="52"/>
        <v>3.5</v>
      </c>
      <c r="CP32" s="207">
        <v>0</v>
      </c>
      <c r="CQ32" s="207">
        <f t="shared" si="53"/>
        <v>0</v>
      </c>
      <c r="CR32" s="207">
        <v>0</v>
      </c>
      <c r="CS32" s="207">
        <f t="shared" si="54"/>
        <v>0</v>
      </c>
      <c r="CT32" s="207">
        <f t="shared" si="55"/>
        <v>3.5</v>
      </c>
      <c r="CU32" s="208">
        <f t="shared" si="56"/>
        <v>26.5</v>
      </c>
      <c r="CV32" s="205">
        <f t="shared" si="57"/>
        <v>10.944375000000001</v>
      </c>
      <c r="CW32" s="206" t="str">
        <f t="shared" si="58"/>
        <v>(1.02)</v>
      </c>
      <c r="CX32" s="207">
        <v>2</v>
      </c>
      <c r="CY32" s="207">
        <f t="shared" si="59"/>
        <v>3.5</v>
      </c>
      <c r="CZ32" s="207">
        <v>0</v>
      </c>
      <c r="DA32" s="207">
        <f t="shared" si="60"/>
        <v>0</v>
      </c>
      <c r="DB32" s="207">
        <v>0</v>
      </c>
      <c r="DC32" s="207">
        <f t="shared" si="61"/>
        <v>0</v>
      </c>
      <c r="DD32" s="207">
        <f t="shared" si="62"/>
        <v>3.5</v>
      </c>
      <c r="DE32" s="208">
        <f t="shared" si="63"/>
        <v>32.5</v>
      </c>
      <c r="DF32" s="205">
        <f t="shared" si="64"/>
        <v>12.964875000000001</v>
      </c>
      <c r="DG32" s="206" t="str">
        <f t="shared" si="65"/>
        <v>(1.2)</v>
      </c>
      <c r="DH32" s="207">
        <v>2</v>
      </c>
      <c r="DI32" s="207">
        <f t="shared" si="66"/>
        <v>3.5</v>
      </c>
      <c r="DJ32" s="207">
        <v>0</v>
      </c>
      <c r="DK32" s="207">
        <f t="shared" si="67"/>
        <v>0</v>
      </c>
      <c r="DL32" s="207">
        <v>0</v>
      </c>
      <c r="DM32" s="207">
        <f t="shared" si="68"/>
        <v>0</v>
      </c>
      <c r="DN32" s="207">
        <f t="shared" si="69"/>
        <v>3.5</v>
      </c>
      <c r="DO32" s="208">
        <f t="shared" si="70"/>
        <v>38.5</v>
      </c>
      <c r="DP32" s="205">
        <f t="shared" si="71"/>
        <v>14.985375000000001</v>
      </c>
      <c r="DQ32" s="206" t="str">
        <f t="shared" si="72"/>
        <v>(1.39)</v>
      </c>
      <c r="DR32" s="207">
        <v>2</v>
      </c>
      <c r="DS32" s="207">
        <f t="shared" si="73"/>
        <v>3.5</v>
      </c>
      <c r="DT32" s="207">
        <v>0</v>
      </c>
      <c r="DU32" s="207">
        <f t="shared" si="74"/>
        <v>0</v>
      </c>
      <c r="DV32" s="207">
        <v>0</v>
      </c>
      <c r="DW32" s="207">
        <f t="shared" si="75"/>
        <v>0</v>
      </c>
      <c r="DX32" s="207">
        <f t="shared" si="76"/>
        <v>3.5</v>
      </c>
      <c r="DY32" s="208">
        <f t="shared" si="77"/>
        <v>44.5</v>
      </c>
      <c r="DZ32" s="205">
        <f t="shared" si="78"/>
        <v>16.669125000000001</v>
      </c>
      <c r="EA32" s="206" t="str">
        <f t="shared" si="79"/>
        <v>(1.55)</v>
      </c>
      <c r="EB32" s="207">
        <v>2</v>
      </c>
      <c r="EC32" s="207">
        <f t="shared" si="80"/>
        <v>3.5</v>
      </c>
      <c r="ED32" s="207">
        <v>0</v>
      </c>
      <c r="EE32" s="207">
        <f t="shared" si="81"/>
        <v>0</v>
      </c>
      <c r="EF32" s="207">
        <v>1</v>
      </c>
      <c r="EG32" s="207">
        <f t="shared" si="82"/>
        <v>1</v>
      </c>
      <c r="EH32" s="207">
        <f t="shared" si="83"/>
        <v>4.5</v>
      </c>
      <c r="EI32" s="208">
        <f t="shared" si="84"/>
        <v>49.5</v>
      </c>
      <c r="EJ32" s="205">
        <f t="shared" si="85"/>
        <v>18.689624999999999</v>
      </c>
      <c r="EK32" s="206" t="str">
        <f t="shared" si="86"/>
        <v>(1.74)</v>
      </c>
      <c r="EL32" s="207">
        <v>2</v>
      </c>
      <c r="EM32" s="207">
        <f t="shared" si="87"/>
        <v>3.5</v>
      </c>
      <c r="EN32" s="207">
        <v>0</v>
      </c>
      <c r="EO32" s="207">
        <f t="shared" si="88"/>
        <v>0</v>
      </c>
      <c r="EP32" s="207">
        <v>1</v>
      </c>
      <c r="EQ32" s="207">
        <f t="shared" si="89"/>
        <v>1</v>
      </c>
      <c r="ER32" s="207">
        <f t="shared" si="90"/>
        <v>4.5</v>
      </c>
      <c r="ES32" s="208">
        <f t="shared" si="91"/>
        <v>55.5</v>
      </c>
      <c r="ET32" s="205">
        <f t="shared" si="92"/>
        <v>20.710125000000001</v>
      </c>
      <c r="EU32" s="206" t="str">
        <f t="shared" si="93"/>
        <v>(1.92)</v>
      </c>
      <c r="EV32" s="207">
        <v>2</v>
      </c>
      <c r="EW32" s="207">
        <f t="shared" si="94"/>
        <v>3.5</v>
      </c>
      <c r="EX32" s="207">
        <v>0</v>
      </c>
      <c r="EY32" s="207">
        <f t="shared" si="95"/>
        <v>0</v>
      </c>
      <c r="EZ32" s="207">
        <v>1</v>
      </c>
      <c r="FA32" s="207">
        <f t="shared" si="96"/>
        <v>1</v>
      </c>
      <c r="FB32" s="207">
        <f t="shared" si="97"/>
        <v>4.5</v>
      </c>
      <c r="FC32" s="208">
        <f t="shared" si="98"/>
        <v>61.5</v>
      </c>
      <c r="FD32" s="205">
        <f t="shared" si="99"/>
        <v>22.68853125</v>
      </c>
      <c r="FE32" s="206" t="str">
        <f t="shared" si="100"/>
        <v>(2.11)</v>
      </c>
      <c r="FF32" s="207">
        <v>2</v>
      </c>
      <c r="FG32" s="207">
        <f t="shared" si="101"/>
        <v>3.5</v>
      </c>
      <c r="FH32" s="207">
        <v>1</v>
      </c>
      <c r="FI32" s="207">
        <f t="shared" si="102"/>
        <v>1.125</v>
      </c>
      <c r="FJ32" s="207">
        <v>0</v>
      </c>
      <c r="FK32" s="207">
        <f t="shared" si="103"/>
        <v>0</v>
      </c>
      <c r="FL32" s="207">
        <f t="shared" si="104"/>
        <v>4.625</v>
      </c>
      <c r="FM32" s="208">
        <f t="shared" si="105"/>
        <v>67.375</v>
      </c>
      <c r="FN32" s="30"/>
      <c r="FO32" s="30"/>
      <c r="FP32" s="31"/>
      <c r="FQ32" s="31"/>
      <c r="FR32" s="31"/>
      <c r="FS32" s="31"/>
      <c r="FT32" s="31"/>
      <c r="FU32" s="31"/>
      <c r="FV32" s="31"/>
      <c r="FW32" s="31"/>
      <c r="FX32" s="30"/>
      <c r="FY32" s="30"/>
      <c r="FZ32" s="31"/>
      <c r="GA32" s="31"/>
      <c r="GB32" s="31"/>
      <c r="GC32" s="31"/>
      <c r="GD32" s="31"/>
      <c r="GE32" s="31"/>
      <c r="GF32" s="31"/>
      <c r="GG32" s="31"/>
      <c r="GH32" s="30"/>
      <c r="GI32" s="30"/>
      <c r="GJ32" s="31"/>
      <c r="GK32" s="31"/>
      <c r="GL32" s="31"/>
      <c r="GM32" s="31"/>
      <c r="GN32" s="31"/>
      <c r="GO32" s="31"/>
      <c r="GP32" s="31"/>
      <c r="GQ32" s="31"/>
      <c r="GR32" s="30"/>
      <c r="GS32" s="30"/>
      <c r="GT32" s="31"/>
      <c r="GU32" s="31"/>
      <c r="GV32" s="31"/>
      <c r="GW32" s="31"/>
      <c r="GX32" s="31"/>
      <c r="GY32" s="31"/>
      <c r="GZ32" s="31"/>
      <c r="HA32" s="31"/>
      <c r="HB32" s="30"/>
      <c r="HC32" s="30"/>
      <c r="HD32" s="31"/>
      <c r="HE32" s="31"/>
      <c r="HF32" s="31"/>
      <c r="HG32" s="31"/>
      <c r="HH32" s="31"/>
      <c r="HI32" s="31"/>
      <c r="HJ32" s="31"/>
      <c r="HK32" s="31"/>
      <c r="HL32" s="30"/>
      <c r="HM32" s="30"/>
      <c r="HN32" s="31"/>
      <c r="HO32" s="31"/>
      <c r="HP32" s="31"/>
      <c r="HQ32" s="31"/>
      <c r="HR32" s="31"/>
      <c r="HS32" s="31"/>
      <c r="HT32" s="31"/>
      <c r="HU32" s="31"/>
      <c r="HV32" s="30"/>
      <c r="HW32" s="30"/>
      <c r="HX32" s="31"/>
      <c r="HY32" s="31"/>
      <c r="HZ32" s="31"/>
      <c r="IA32" s="31"/>
      <c r="IB32" s="31"/>
      <c r="IC32" s="31"/>
      <c r="ID32" s="31"/>
      <c r="IE32" s="31"/>
      <c r="IF32" s="30"/>
      <c r="IG32" s="30"/>
      <c r="IH32" s="31"/>
      <c r="II32" s="31"/>
      <c r="IJ32" s="31"/>
      <c r="IK32" s="31"/>
      <c r="IL32" s="31"/>
      <c r="IM32" s="31"/>
      <c r="IN32" s="32"/>
      <c r="IO32" s="32"/>
      <c r="IP32" s="32"/>
      <c r="IQ32" s="409">
        <v>18</v>
      </c>
      <c r="IR32" s="410">
        <v>2.645</v>
      </c>
      <c r="IS32" s="410">
        <v>2.645</v>
      </c>
      <c r="IT32" s="410">
        <v>0.88200000000000001</v>
      </c>
      <c r="IU32" s="410">
        <v>1.75</v>
      </c>
      <c r="IV32" s="410">
        <v>1</v>
      </c>
      <c r="IW32" s="410">
        <v>1.125</v>
      </c>
      <c r="IX32" s="7"/>
    </row>
    <row r="33" spans="2:258" ht="15.75" thickBot="1" x14ac:dyDescent="0.3">
      <c r="B33" s="258">
        <f t="shared" si="20"/>
        <v>102</v>
      </c>
      <c r="C33" s="266">
        <v>18</v>
      </c>
      <c r="D33" s="265">
        <f t="shared" si="0"/>
        <v>0.38561111111111118</v>
      </c>
      <c r="E33" s="262">
        <f t="shared" si="1"/>
        <v>0.4469583333333334</v>
      </c>
      <c r="F33" s="262">
        <f t="shared" si="2"/>
        <v>0.50830555555555568</v>
      </c>
      <c r="G33" s="262">
        <f t="shared" si="3"/>
        <v>0.53897916666666679</v>
      </c>
      <c r="H33" s="262">
        <f t="shared" si="4"/>
        <v>0.55738333333333345</v>
      </c>
      <c r="I33" s="262">
        <f t="shared" si="5"/>
        <v>0.5696527777777779</v>
      </c>
      <c r="J33" s="262">
        <f t="shared" si="6"/>
        <v>0.57841666666666669</v>
      </c>
      <c r="K33" s="262">
        <f t="shared" si="7"/>
        <v>0.5849895833333334</v>
      </c>
      <c r="L33" s="262">
        <f t="shared" si="8"/>
        <v>0.57841666666666669</v>
      </c>
      <c r="M33" s="262">
        <f t="shared" si="9"/>
        <v>0.58367500000000005</v>
      </c>
      <c r="N33" s="262">
        <f t="shared" si="10"/>
        <v>0.58797727272727274</v>
      </c>
      <c r="O33" s="262">
        <f t="shared" si="11"/>
        <v>0.59046701388888889</v>
      </c>
      <c r="P33" s="262"/>
      <c r="Q33" s="262"/>
      <c r="R33" s="262"/>
      <c r="S33" s="262"/>
      <c r="T33" s="262"/>
      <c r="U33" s="262"/>
      <c r="V33" s="262"/>
      <c r="W33" s="262"/>
      <c r="X33" s="262"/>
      <c r="Y33" s="251"/>
      <c r="Z33" s="221"/>
      <c r="AA33" s="221"/>
      <c r="AB33" s="221"/>
      <c r="AC33" s="221"/>
      <c r="AD33" s="221"/>
      <c r="AE33" s="221"/>
      <c r="AF33" s="221"/>
      <c r="AG33" s="221"/>
      <c r="AH33" s="221"/>
      <c r="AI33" s="221"/>
      <c r="AJ33" s="221"/>
      <c r="AK33" s="221"/>
      <c r="AL33" s="221"/>
      <c r="AM33" s="221"/>
      <c r="AN33" s="221"/>
      <c r="AO33" s="221"/>
      <c r="AP33" s="221"/>
      <c r="AQ33" s="221"/>
      <c r="AT33" s="3"/>
      <c r="AU33" s="13">
        <f t="shared" si="162"/>
        <v>84</v>
      </c>
      <c r="AV33" s="11" t="str">
        <f t="shared" si="21"/>
        <v>(2150)</v>
      </c>
      <c r="AW33" s="18"/>
      <c r="AX33" s="19">
        <f t="shared" si="22"/>
        <v>1.9993645833333333</v>
      </c>
      <c r="AY33" s="20" t="str">
        <f t="shared" si="23"/>
        <v>(0.19)</v>
      </c>
      <c r="AZ33" s="21">
        <v>2</v>
      </c>
      <c r="BA33" s="21">
        <f t="shared" si="24"/>
        <v>3.5</v>
      </c>
      <c r="BB33" s="21">
        <v>0</v>
      </c>
      <c r="BC33" s="21">
        <f t="shared" si="25"/>
        <v>0</v>
      </c>
      <c r="BD33" s="21">
        <v>0</v>
      </c>
      <c r="BE33" s="21">
        <f t="shared" si="26"/>
        <v>0</v>
      </c>
      <c r="BF33" s="21">
        <f t="shared" si="27"/>
        <v>3.5</v>
      </c>
      <c r="BG33" s="22">
        <f t="shared" si="28"/>
        <v>5.5</v>
      </c>
      <c r="BH33" s="205">
        <f t="shared" si="29"/>
        <v>3.0899270833333334</v>
      </c>
      <c r="BI33" s="206" t="str">
        <f t="shared" si="30"/>
        <v>(0.29)</v>
      </c>
      <c r="BJ33" s="207">
        <v>2</v>
      </c>
      <c r="BK33" s="207">
        <f t="shared" si="31"/>
        <v>3.5</v>
      </c>
      <c r="BL33" s="207">
        <v>0</v>
      </c>
      <c r="BM33" s="207">
        <f t="shared" si="32"/>
        <v>0</v>
      </c>
      <c r="BN33" s="207">
        <v>0</v>
      </c>
      <c r="BO33" s="207">
        <f t="shared" si="33"/>
        <v>0</v>
      </c>
      <c r="BP33" s="207">
        <f t="shared" si="34"/>
        <v>3.5</v>
      </c>
      <c r="BQ33" s="208">
        <f t="shared" si="35"/>
        <v>8.5</v>
      </c>
      <c r="BR33" s="205">
        <f t="shared" si="36"/>
        <v>5.2710520833333341</v>
      </c>
      <c r="BS33" s="206" t="str">
        <f t="shared" si="37"/>
        <v>(0.49)</v>
      </c>
      <c r="BT33" s="207">
        <v>2</v>
      </c>
      <c r="BU33" s="207">
        <f t="shared" si="38"/>
        <v>3.5</v>
      </c>
      <c r="BV33" s="207">
        <v>0</v>
      </c>
      <c r="BW33" s="207">
        <f t="shared" si="39"/>
        <v>0</v>
      </c>
      <c r="BX33" s="207">
        <v>0</v>
      </c>
      <c r="BY33" s="207">
        <f t="shared" si="40"/>
        <v>0</v>
      </c>
      <c r="BZ33" s="207">
        <f t="shared" si="41"/>
        <v>3.5</v>
      </c>
      <c r="CA33" s="208">
        <f t="shared" si="42"/>
        <v>14.5</v>
      </c>
      <c r="CB33" s="205">
        <f t="shared" si="43"/>
        <v>7.452177083333333</v>
      </c>
      <c r="CC33" s="206" t="str">
        <f t="shared" si="44"/>
        <v>(0.69)</v>
      </c>
      <c r="CD33" s="207">
        <v>2</v>
      </c>
      <c r="CE33" s="207">
        <f t="shared" si="45"/>
        <v>3.5</v>
      </c>
      <c r="CF33" s="207">
        <v>0</v>
      </c>
      <c r="CG33" s="207">
        <f t="shared" si="46"/>
        <v>0</v>
      </c>
      <c r="CH33" s="207">
        <v>0</v>
      </c>
      <c r="CI33" s="207">
        <f t="shared" si="47"/>
        <v>0</v>
      </c>
      <c r="CJ33" s="207">
        <f t="shared" si="48"/>
        <v>3.5</v>
      </c>
      <c r="CK33" s="208">
        <f t="shared" si="49"/>
        <v>20.5</v>
      </c>
      <c r="CL33" s="205">
        <f t="shared" si="50"/>
        <v>9.6333020833333336</v>
      </c>
      <c r="CM33" s="206" t="str">
        <f t="shared" si="51"/>
        <v>(0.89)</v>
      </c>
      <c r="CN33" s="207">
        <v>2</v>
      </c>
      <c r="CO33" s="207">
        <f t="shared" si="52"/>
        <v>3.5</v>
      </c>
      <c r="CP33" s="207">
        <v>0</v>
      </c>
      <c r="CQ33" s="207">
        <f t="shared" si="53"/>
        <v>0</v>
      </c>
      <c r="CR33" s="207">
        <v>0</v>
      </c>
      <c r="CS33" s="207">
        <f t="shared" si="54"/>
        <v>0</v>
      </c>
      <c r="CT33" s="207">
        <f t="shared" si="55"/>
        <v>3.5</v>
      </c>
      <c r="CU33" s="208">
        <f t="shared" si="56"/>
        <v>26.5</v>
      </c>
      <c r="CV33" s="205">
        <f t="shared" si="57"/>
        <v>11.814427083333335</v>
      </c>
      <c r="CW33" s="206" t="str">
        <f t="shared" si="58"/>
        <v>(1.1)</v>
      </c>
      <c r="CX33" s="207">
        <v>2</v>
      </c>
      <c r="CY33" s="207">
        <f t="shared" si="59"/>
        <v>3.5</v>
      </c>
      <c r="CZ33" s="207">
        <v>0</v>
      </c>
      <c r="DA33" s="207">
        <f t="shared" si="60"/>
        <v>0</v>
      </c>
      <c r="DB33" s="207">
        <v>0</v>
      </c>
      <c r="DC33" s="207">
        <f t="shared" si="61"/>
        <v>0</v>
      </c>
      <c r="DD33" s="207">
        <f t="shared" si="62"/>
        <v>3.5</v>
      </c>
      <c r="DE33" s="208">
        <f t="shared" si="63"/>
        <v>32.5</v>
      </c>
      <c r="DF33" s="205">
        <f t="shared" si="64"/>
        <v>13.995552083333333</v>
      </c>
      <c r="DG33" s="206" t="str">
        <f t="shared" si="65"/>
        <v>(1.3)</v>
      </c>
      <c r="DH33" s="207">
        <v>2</v>
      </c>
      <c r="DI33" s="207">
        <f t="shared" si="66"/>
        <v>3.5</v>
      </c>
      <c r="DJ33" s="207">
        <v>0</v>
      </c>
      <c r="DK33" s="207">
        <f t="shared" si="67"/>
        <v>0</v>
      </c>
      <c r="DL33" s="207">
        <v>0</v>
      </c>
      <c r="DM33" s="207">
        <f t="shared" si="68"/>
        <v>0</v>
      </c>
      <c r="DN33" s="207">
        <f t="shared" si="69"/>
        <v>3.5</v>
      </c>
      <c r="DO33" s="208">
        <f t="shared" si="70"/>
        <v>38.5</v>
      </c>
      <c r="DP33" s="205">
        <f t="shared" si="71"/>
        <v>16.176677083333331</v>
      </c>
      <c r="DQ33" s="206" t="str">
        <f t="shared" si="72"/>
        <v>(1.5)</v>
      </c>
      <c r="DR33" s="207">
        <v>2</v>
      </c>
      <c r="DS33" s="207">
        <f t="shared" si="73"/>
        <v>3.5</v>
      </c>
      <c r="DT33" s="207">
        <v>0</v>
      </c>
      <c r="DU33" s="207">
        <f t="shared" si="74"/>
        <v>0</v>
      </c>
      <c r="DV33" s="207">
        <v>0</v>
      </c>
      <c r="DW33" s="207">
        <f t="shared" si="75"/>
        <v>0</v>
      </c>
      <c r="DX33" s="207">
        <f t="shared" si="76"/>
        <v>3.5</v>
      </c>
      <c r="DY33" s="208">
        <f t="shared" si="77"/>
        <v>44.5</v>
      </c>
      <c r="DZ33" s="205">
        <f t="shared" si="78"/>
        <v>17.99428125</v>
      </c>
      <c r="EA33" s="206" t="str">
        <f t="shared" si="79"/>
        <v>(1.67)</v>
      </c>
      <c r="EB33" s="207">
        <v>2</v>
      </c>
      <c r="EC33" s="207">
        <f t="shared" si="80"/>
        <v>3.5</v>
      </c>
      <c r="ED33" s="207">
        <v>0</v>
      </c>
      <c r="EE33" s="207">
        <f t="shared" si="81"/>
        <v>0</v>
      </c>
      <c r="EF33" s="207">
        <v>1</v>
      </c>
      <c r="EG33" s="207">
        <f t="shared" si="82"/>
        <v>1</v>
      </c>
      <c r="EH33" s="207">
        <f t="shared" si="83"/>
        <v>4.5</v>
      </c>
      <c r="EI33" s="208">
        <f t="shared" si="84"/>
        <v>49.5</v>
      </c>
      <c r="EJ33" s="205">
        <f t="shared" si="85"/>
        <v>20.175406249999998</v>
      </c>
      <c r="EK33" s="206" t="str">
        <f t="shared" si="86"/>
        <v>(1.87)</v>
      </c>
      <c r="EL33" s="207">
        <v>2</v>
      </c>
      <c r="EM33" s="207">
        <f t="shared" si="87"/>
        <v>3.5</v>
      </c>
      <c r="EN33" s="207">
        <v>0</v>
      </c>
      <c r="EO33" s="207">
        <f t="shared" si="88"/>
        <v>0</v>
      </c>
      <c r="EP33" s="207">
        <v>1</v>
      </c>
      <c r="EQ33" s="207">
        <f t="shared" si="89"/>
        <v>1</v>
      </c>
      <c r="ER33" s="207">
        <f t="shared" si="90"/>
        <v>4.5</v>
      </c>
      <c r="ES33" s="208">
        <f t="shared" si="91"/>
        <v>55.5</v>
      </c>
      <c r="ET33" s="205">
        <f t="shared" si="92"/>
        <v>22.356531250000003</v>
      </c>
      <c r="EU33" s="206" t="str">
        <f t="shared" si="93"/>
        <v>(2.08)</v>
      </c>
      <c r="EV33" s="207">
        <v>2</v>
      </c>
      <c r="EW33" s="207">
        <f t="shared" si="94"/>
        <v>3.5</v>
      </c>
      <c r="EX33" s="207">
        <v>0</v>
      </c>
      <c r="EY33" s="207">
        <f t="shared" si="95"/>
        <v>0</v>
      </c>
      <c r="EZ33" s="207">
        <v>1</v>
      </c>
      <c r="FA33" s="207">
        <f t="shared" si="96"/>
        <v>1</v>
      </c>
      <c r="FB33" s="207">
        <f t="shared" si="97"/>
        <v>4.5</v>
      </c>
      <c r="FC33" s="208">
        <f t="shared" si="98"/>
        <v>61.5</v>
      </c>
      <c r="FD33" s="205">
        <f t="shared" si="99"/>
        <v>24.492216145833332</v>
      </c>
      <c r="FE33" s="206" t="str">
        <f t="shared" si="100"/>
        <v>(2.28)</v>
      </c>
      <c r="FF33" s="207">
        <v>2</v>
      </c>
      <c r="FG33" s="207">
        <f t="shared" si="101"/>
        <v>3.5</v>
      </c>
      <c r="FH33" s="207">
        <v>1</v>
      </c>
      <c r="FI33" s="207">
        <f t="shared" si="102"/>
        <v>1.125</v>
      </c>
      <c r="FJ33" s="207">
        <v>0</v>
      </c>
      <c r="FK33" s="207">
        <f t="shared" si="103"/>
        <v>0</v>
      </c>
      <c r="FL33" s="207">
        <f t="shared" si="104"/>
        <v>4.625</v>
      </c>
      <c r="FM33" s="208">
        <f t="shared" si="105"/>
        <v>67.375</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1"/>
      <c r="HO33" s="31"/>
      <c r="HP33" s="31"/>
      <c r="HQ33" s="31"/>
      <c r="HR33" s="31"/>
      <c r="HS33" s="31"/>
      <c r="HT33" s="31"/>
      <c r="HU33" s="31"/>
      <c r="HV33" s="31"/>
      <c r="HW33" s="31"/>
      <c r="HX33" s="31"/>
      <c r="HY33" s="31"/>
      <c r="HZ33" s="31"/>
      <c r="IA33" s="31"/>
      <c r="IB33" s="31"/>
      <c r="IC33" s="31"/>
      <c r="ID33" s="31"/>
      <c r="IE33" s="31"/>
      <c r="IF33" s="30"/>
      <c r="IG33" s="30"/>
      <c r="IH33" s="31"/>
      <c r="II33" s="31"/>
      <c r="IJ33" s="31"/>
      <c r="IK33" s="31"/>
      <c r="IL33" s="31"/>
      <c r="IM33" s="31"/>
      <c r="IN33" s="32"/>
      <c r="IO33" s="32"/>
      <c r="IP33" s="32"/>
      <c r="IQ33" s="409">
        <v>19</v>
      </c>
      <c r="IR33" s="410">
        <v>2.645</v>
      </c>
      <c r="IS33" s="410">
        <v>2.645</v>
      </c>
      <c r="IT33" s="410">
        <v>2.0920000000000001</v>
      </c>
      <c r="IU33" s="410">
        <v>1.75</v>
      </c>
      <c r="IV33" s="410">
        <v>1</v>
      </c>
      <c r="IW33" s="410">
        <v>1.125</v>
      </c>
      <c r="IX33" s="7"/>
    </row>
    <row r="34" spans="2:258" ht="15.75" thickBot="1" x14ac:dyDescent="0.3">
      <c r="B34" s="258">
        <f t="shared" si="20"/>
        <v>108</v>
      </c>
      <c r="C34" s="253">
        <v>19</v>
      </c>
      <c r="D34" s="265">
        <f t="shared" si="0"/>
        <v>0.38600154320987651</v>
      </c>
      <c r="E34" s="262">
        <f t="shared" si="1"/>
        <v>0.44741087962962961</v>
      </c>
      <c r="F34" s="262">
        <f t="shared" si="2"/>
        <v>0.50882021604938266</v>
      </c>
      <c r="G34" s="262">
        <f t="shared" si="3"/>
        <v>0.53952488425925926</v>
      </c>
      <c r="H34" s="262">
        <f t="shared" si="4"/>
        <v>0.55794768518518523</v>
      </c>
      <c r="I34" s="262">
        <f t="shared" si="5"/>
        <v>0.57022955246913576</v>
      </c>
      <c r="J34" s="262">
        <f t="shared" si="6"/>
        <v>0.57900231481481479</v>
      </c>
      <c r="K34" s="262">
        <f t="shared" si="7"/>
        <v>0.58558188657407406</v>
      </c>
      <c r="L34" s="262">
        <f t="shared" si="8"/>
        <v>0.5790023148148149</v>
      </c>
      <c r="M34" s="262">
        <f t="shared" si="9"/>
        <v>0.58426597222222221</v>
      </c>
      <c r="N34" s="262">
        <f t="shared" si="10"/>
        <v>0.58857260101010112</v>
      </c>
      <c r="O34" s="262">
        <f t="shared" si="11"/>
        <v>0.5910648630401234</v>
      </c>
      <c r="P34" s="262"/>
      <c r="Q34" s="262"/>
      <c r="R34" s="262"/>
      <c r="S34" s="262"/>
      <c r="T34" s="262"/>
      <c r="U34" s="262"/>
      <c r="V34" s="262"/>
      <c r="W34" s="262"/>
      <c r="X34" s="262"/>
      <c r="Y34" s="251"/>
      <c r="Z34" s="221"/>
      <c r="AA34" s="221"/>
      <c r="AB34" s="221"/>
      <c r="AC34" s="221"/>
      <c r="AD34" s="221"/>
      <c r="AE34" s="221"/>
      <c r="AF34" s="221"/>
      <c r="AG34" s="221"/>
      <c r="AH34" s="221"/>
      <c r="AI34" s="221"/>
      <c r="AJ34" s="221"/>
      <c r="AK34" s="221"/>
      <c r="AL34" s="221"/>
      <c r="AM34" s="221"/>
      <c r="AN34" s="221"/>
      <c r="AO34" s="221"/>
      <c r="AP34" s="221"/>
      <c r="AQ34" s="221"/>
      <c r="AT34" s="3"/>
      <c r="AU34" s="26">
        <f t="shared" si="162"/>
        <v>90</v>
      </c>
      <c r="AV34" s="27" t="str">
        <f t="shared" si="21"/>
        <v>(2300)</v>
      </c>
      <c r="AW34" s="18"/>
      <c r="AX34" s="19">
        <f t="shared" si="22"/>
        <v>2.1551979166666668</v>
      </c>
      <c r="AY34" s="28" t="str">
        <f t="shared" si="23"/>
        <v>(0.20)</v>
      </c>
      <c r="AZ34" s="21">
        <v>2</v>
      </c>
      <c r="BA34" s="21">
        <f t="shared" si="24"/>
        <v>3.5</v>
      </c>
      <c r="BB34" s="29">
        <v>0</v>
      </c>
      <c r="BC34" s="21">
        <f t="shared" si="25"/>
        <v>0</v>
      </c>
      <c r="BD34" s="29">
        <v>0</v>
      </c>
      <c r="BE34" s="21">
        <f t="shared" si="26"/>
        <v>0</v>
      </c>
      <c r="BF34" s="21">
        <f t="shared" si="27"/>
        <v>3.5</v>
      </c>
      <c r="BG34" s="22">
        <f t="shared" si="28"/>
        <v>5.5</v>
      </c>
      <c r="BH34" s="205">
        <f t="shared" si="29"/>
        <v>3.3307604166666667</v>
      </c>
      <c r="BI34" s="206" t="str">
        <f t="shared" si="30"/>
        <v>(0.31)</v>
      </c>
      <c r="BJ34" s="207">
        <v>2</v>
      </c>
      <c r="BK34" s="207">
        <f t="shared" si="31"/>
        <v>3.5</v>
      </c>
      <c r="BL34" s="207">
        <v>0</v>
      </c>
      <c r="BM34" s="207">
        <f t="shared" si="32"/>
        <v>0</v>
      </c>
      <c r="BN34" s="207">
        <v>0</v>
      </c>
      <c r="BO34" s="207">
        <f t="shared" si="33"/>
        <v>0</v>
      </c>
      <c r="BP34" s="207">
        <f t="shared" si="34"/>
        <v>3.5</v>
      </c>
      <c r="BQ34" s="208">
        <f t="shared" si="35"/>
        <v>8.5</v>
      </c>
      <c r="BR34" s="205">
        <f t="shared" si="36"/>
        <v>5.6818854166666668</v>
      </c>
      <c r="BS34" s="206" t="str">
        <f t="shared" si="37"/>
        <v>(0.53)</v>
      </c>
      <c r="BT34" s="207">
        <v>2</v>
      </c>
      <c r="BU34" s="207">
        <f t="shared" si="38"/>
        <v>3.5</v>
      </c>
      <c r="BV34" s="207">
        <v>0</v>
      </c>
      <c r="BW34" s="207">
        <f t="shared" si="39"/>
        <v>0</v>
      </c>
      <c r="BX34" s="207">
        <v>0</v>
      </c>
      <c r="BY34" s="207">
        <f t="shared" si="40"/>
        <v>0</v>
      </c>
      <c r="BZ34" s="207">
        <f t="shared" si="41"/>
        <v>3.5</v>
      </c>
      <c r="CA34" s="208">
        <f t="shared" si="42"/>
        <v>14.5</v>
      </c>
      <c r="CB34" s="205">
        <f t="shared" si="43"/>
        <v>8.0330104166666665</v>
      </c>
      <c r="CC34" s="206" t="str">
        <f t="shared" si="44"/>
        <v>(0.75)</v>
      </c>
      <c r="CD34" s="207">
        <v>2</v>
      </c>
      <c r="CE34" s="207">
        <f t="shared" si="45"/>
        <v>3.5</v>
      </c>
      <c r="CF34" s="207">
        <v>0</v>
      </c>
      <c r="CG34" s="207">
        <f t="shared" si="46"/>
        <v>0</v>
      </c>
      <c r="CH34" s="207">
        <v>0</v>
      </c>
      <c r="CI34" s="207">
        <f t="shared" si="47"/>
        <v>0</v>
      </c>
      <c r="CJ34" s="207">
        <f t="shared" si="48"/>
        <v>3.5</v>
      </c>
      <c r="CK34" s="208">
        <f t="shared" si="49"/>
        <v>20.5</v>
      </c>
      <c r="CL34" s="205">
        <f t="shared" si="50"/>
        <v>10.384135416666666</v>
      </c>
      <c r="CM34" s="206" t="str">
        <f t="shared" si="51"/>
        <v>(0.96)</v>
      </c>
      <c r="CN34" s="207">
        <v>2</v>
      </c>
      <c r="CO34" s="207">
        <f t="shared" si="52"/>
        <v>3.5</v>
      </c>
      <c r="CP34" s="207">
        <v>0</v>
      </c>
      <c r="CQ34" s="207">
        <f t="shared" si="53"/>
        <v>0</v>
      </c>
      <c r="CR34" s="207">
        <v>0</v>
      </c>
      <c r="CS34" s="207">
        <f t="shared" si="54"/>
        <v>0</v>
      </c>
      <c r="CT34" s="207">
        <f t="shared" si="55"/>
        <v>3.5</v>
      </c>
      <c r="CU34" s="208">
        <f t="shared" si="56"/>
        <v>26.5</v>
      </c>
      <c r="CV34" s="205">
        <f t="shared" si="57"/>
        <v>12.735260416666668</v>
      </c>
      <c r="CW34" s="206" t="str">
        <f t="shared" si="58"/>
        <v>(1.18)</v>
      </c>
      <c r="CX34" s="207">
        <v>2</v>
      </c>
      <c r="CY34" s="207">
        <f t="shared" si="59"/>
        <v>3.5</v>
      </c>
      <c r="CZ34" s="207">
        <v>0</v>
      </c>
      <c r="DA34" s="207">
        <f t="shared" si="60"/>
        <v>0</v>
      </c>
      <c r="DB34" s="207">
        <v>0</v>
      </c>
      <c r="DC34" s="207">
        <f t="shared" si="61"/>
        <v>0</v>
      </c>
      <c r="DD34" s="207">
        <f t="shared" si="62"/>
        <v>3.5</v>
      </c>
      <c r="DE34" s="208">
        <f t="shared" si="63"/>
        <v>32.5</v>
      </c>
      <c r="DF34" s="205">
        <f t="shared" si="64"/>
        <v>15.086385416666666</v>
      </c>
      <c r="DG34" s="206" t="str">
        <f t="shared" si="65"/>
        <v>(1.4)</v>
      </c>
      <c r="DH34" s="207">
        <v>2</v>
      </c>
      <c r="DI34" s="207">
        <f t="shared" si="66"/>
        <v>3.5</v>
      </c>
      <c r="DJ34" s="207">
        <v>0</v>
      </c>
      <c r="DK34" s="207">
        <f t="shared" si="67"/>
        <v>0</v>
      </c>
      <c r="DL34" s="207">
        <v>0</v>
      </c>
      <c r="DM34" s="207">
        <f t="shared" si="68"/>
        <v>0</v>
      </c>
      <c r="DN34" s="207">
        <f t="shared" si="69"/>
        <v>3.5</v>
      </c>
      <c r="DO34" s="208">
        <f t="shared" si="70"/>
        <v>38.5</v>
      </c>
      <c r="DP34" s="205">
        <f t="shared" si="71"/>
        <v>17.437510416666665</v>
      </c>
      <c r="DQ34" s="206" t="str">
        <f t="shared" si="72"/>
        <v>(1.62)</v>
      </c>
      <c r="DR34" s="207">
        <v>2</v>
      </c>
      <c r="DS34" s="207">
        <f t="shared" si="73"/>
        <v>3.5</v>
      </c>
      <c r="DT34" s="207">
        <v>0</v>
      </c>
      <c r="DU34" s="207">
        <f t="shared" si="74"/>
        <v>0</v>
      </c>
      <c r="DV34" s="207">
        <v>0</v>
      </c>
      <c r="DW34" s="207">
        <f t="shared" si="75"/>
        <v>0</v>
      </c>
      <c r="DX34" s="207">
        <f t="shared" si="76"/>
        <v>3.5</v>
      </c>
      <c r="DY34" s="208">
        <f t="shared" si="77"/>
        <v>44.5</v>
      </c>
      <c r="DZ34" s="205">
        <f t="shared" si="78"/>
        <v>19.39678125</v>
      </c>
      <c r="EA34" s="206" t="str">
        <f t="shared" si="79"/>
        <v>(1.80)</v>
      </c>
      <c r="EB34" s="207">
        <v>2</v>
      </c>
      <c r="EC34" s="207">
        <f t="shared" si="80"/>
        <v>3.5</v>
      </c>
      <c r="ED34" s="207">
        <v>0</v>
      </c>
      <c r="EE34" s="207">
        <f t="shared" si="81"/>
        <v>0</v>
      </c>
      <c r="EF34" s="207">
        <v>1</v>
      </c>
      <c r="EG34" s="207">
        <f t="shared" si="82"/>
        <v>1</v>
      </c>
      <c r="EH34" s="207">
        <f t="shared" si="83"/>
        <v>4.5</v>
      </c>
      <c r="EI34" s="208">
        <f t="shared" si="84"/>
        <v>49.5</v>
      </c>
      <c r="EJ34" s="205">
        <f t="shared" si="85"/>
        <v>21.74790625</v>
      </c>
      <c r="EK34" s="206" t="str">
        <f t="shared" si="86"/>
        <v>(2.02)</v>
      </c>
      <c r="EL34" s="207">
        <v>2</v>
      </c>
      <c r="EM34" s="207">
        <f t="shared" si="87"/>
        <v>3.5</v>
      </c>
      <c r="EN34" s="207">
        <v>0</v>
      </c>
      <c r="EO34" s="207">
        <f t="shared" si="88"/>
        <v>0</v>
      </c>
      <c r="EP34" s="207">
        <v>1</v>
      </c>
      <c r="EQ34" s="207">
        <f t="shared" si="89"/>
        <v>1</v>
      </c>
      <c r="ER34" s="207">
        <f t="shared" si="90"/>
        <v>4.5</v>
      </c>
      <c r="ES34" s="208">
        <f t="shared" si="91"/>
        <v>55.5</v>
      </c>
      <c r="ET34" s="205">
        <f t="shared" si="92"/>
        <v>24.099031249999999</v>
      </c>
      <c r="EU34" s="206" t="str">
        <f t="shared" si="93"/>
        <v>(2.24)</v>
      </c>
      <c r="EV34" s="207">
        <v>2</v>
      </c>
      <c r="EW34" s="207">
        <f t="shared" si="94"/>
        <v>3.5</v>
      </c>
      <c r="EX34" s="207">
        <v>0</v>
      </c>
      <c r="EY34" s="207">
        <f t="shared" si="95"/>
        <v>0</v>
      </c>
      <c r="EZ34" s="207">
        <v>1</v>
      </c>
      <c r="FA34" s="207">
        <f t="shared" si="96"/>
        <v>1</v>
      </c>
      <c r="FB34" s="207">
        <f t="shared" si="97"/>
        <v>4.5</v>
      </c>
      <c r="FC34" s="208">
        <f t="shared" si="98"/>
        <v>61.5</v>
      </c>
      <c r="FD34" s="205">
        <f t="shared" si="99"/>
        <v>26.401174479166666</v>
      </c>
      <c r="FE34" s="206" t="str">
        <f t="shared" si="100"/>
        <v>(2.45)</v>
      </c>
      <c r="FF34" s="207">
        <v>2</v>
      </c>
      <c r="FG34" s="207">
        <f t="shared" si="101"/>
        <v>3.5</v>
      </c>
      <c r="FH34" s="207">
        <v>1</v>
      </c>
      <c r="FI34" s="207">
        <f t="shared" si="102"/>
        <v>1.125</v>
      </c>
      <c r="FJ34" s="207">
        <v>0</v>
      </c>
      <c r="FK34" s="207">
        <f t="shared" si="103"/>
        <v>0</v>
      </c>
      <c r="FL34" s="207">
        <f t="shared" si="104"/>
        <v>4.625</v>
      </c>
      <c r="FM34" s="208">
        <f t="shared" si="105"/>
        <v>67.375</v>
      </c>
      <c r="FN34" s="30"/>
      <c r="FO34" s="30"/>
      <c r="FP34" s="31"/>
      <c r="FQ34" s="31"/>
      <c r="FR34" s="31"/>
      <c r="FS34" s="31"/>
      <c r="FT34" s="31"/>
      <c r="FU34" s="31"/>
      <c r="FV34" s="30"/>
      <c r="FW34" s="30"/>
      <c r="FX34" s="30"/>
      <c r="FY34" s="30"/>
      <c r="FZ34" s="30"/>
      <c r="GA34" s="30"/>
      <c r="GB34" s="30"/>
      <c r="GC34" s="30"/>
      <c r="GD34" s="30"/>
      <c r="GE34" s="30"/>
      <c r="GF34" s="30"/>
      <c r="GG34" s="30"/>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3"/>
      <c r="IK34" s="31"/>
      <c r="IL34" s="31"/>
      <c r="IM34" s="31"/>
      <c r="IN34" s="32"/>
      <c r="IO34" s="32"/>
      <c r="IP34" s="32"/>
      <c r="IQ34" s="409">
        <v>21</v>
      </c>
      <c r="IR34" s="410">
        <v>2.645</v>
      </c>
      <c r="IS34" s="410">
        <v>2.645</v>
      </c>
      <c r="IT34" s="410">
        <v>0.88200000000000001</v>
      </c>
      <c r="IU34" s="410">
        <v>1.75</v>
      </c>
      <c r="IV34" s="410">
        <v>1</v>
      </c>
      <c r="IW34" s="410">
        <v>1.125</v>
      </c>
      <c r="IX34" s="7"/>
    </row>
    <row r="35" spans="2:258" ht="15.75" thickBot="1" x14ac:dyDescent="0.3">
      <c r="B35" s="258">
        <f>B34+6</f>
        <v>114</v>
      </c>
      <c r="C35" s="266">
        <v>20</v>
      </c>
      <c r="D35" s="265">
        <f t="shared" si="0"/>
        <v>0.38755701754385963</v>
      </c>
      <c r="E35" s="262">
        <f t="shared" si="1"/>
        <v>0.44921381578947372</v>
      </c>
      <c r="F35" s="262">
        <f t="shared" si="2"/>
        <v>0.51087061403508771</v>
      </c>
      <c r="G35" s="262">
        <f t="shared" si="3"/>
        <v>0.5416990131578947</v>
      </c>
      <c r="H35" s="262">
        <f t="shared" si="4"/>
        <v>0.56019605263157901</v>
      </c>
      <c r="I35" s="262">
        <f t="shared" si="5"/>
        <v>0.5725274122807017</v>
      </c>
      <c r="J35" s="262">
        <f t="shared" si="6"/>
        <v>0.58133552631578944</v>
      </c>
      <c r="K35" s="262">
        <f t="shared" si="7"/>
        <v>0.58794161184210525</v>
      </c>
      <c r="L35" s="262">
        <f t="shared" si="8"/>
        <v>0.58133552631578944</v>
      </c>
      <c r="M35" s="262">
        <f t="shared" si="9"/>
        <v>0.58662039473684213</v>
      </c>
      <c r="N35" s="262">
        <f t="shared" si="10"/>
        <v>0.59094437799043054</v>
      </c>
      <c r="O35" s="262">
        <f t="shared" si="11"/>
        <v>0.59344668311403515</v>
      </c>
      <c r="P35" s="262"/>
      <c r="Q35" s="262"/>
      <c r="R35" s="262"/>
      <c r="S35" s="262"/>
      <c r="T35" s="262"/>
      <c r="U35" s="262"/>
      <c r="V35" s="262"/>
      <c r="W35" s="262"/>
      <c r="X35" s="262"/>
      <c r="Y35" s="251"/>
      <c r="Z35" s="221"/>
      <c r="AA35" s="221"/>
      <c r="AB35" s="221"/>
      <c r="AC35" s="221"/>
      <c r="AD35" s="221"/>
      <c r="AE35" s="221"/>
      <c r="AF35" s="221"/>
      <c r="AG35" s="221"/>
      <c r="AH35" s="221"/>
      <c r="AI35" s="221"/>
      <c r="AJ35" s="221"/>
      <c r="AK35" s="221"/>
      <c r="AL35" s="221"/>
      <c r="AM35" s="221"/>
      <c r="AN35" s="221"/>
      <c r="AO35" s="221"/>
      <c r="AP35" s="221"/>
      <c r="AQ35" s="221"/>
      <c r="AT35" s="3"/>
      <c r="AU35" s="26">
        <f t="shared" si="162"/>
        <v>96</v>
      </c>
      <c r="AV35" s="27" t="str">
        <f t="shared" si="21"/>
        <v>(2450)</v>
      </c>
      <c r="AW35" s="18"/>
      <c r="AX35" s="19">
        <f t="shared" si="22"/>
        <v>2.3024375000000004</v>
      </c>
      <c r="AY35" s="20" t="str">
        <f t="shared" si="23"/>
        <v>(0.21)</v>
      </c>
      <c r="AZ35" s="21">
        <v>2</v>
      </c>
      <c r="BA35" s="21">
        <f t="shared" si="24"/>
        <v>3.5</v>
      </c>
      <c r="BB35" s="21">
        <v>0</v>
      </c>
      <c r="BC35" s="21">
        <f t="shared" si="25"/>
        <v>0</v>
      </c>
      <c r="BD35" s="21">
        <v>0</v>
      </c>
      <c r="BE35" s="21">
        <f t="shared" si="26"/>
        <v>0</v>
      </c>
      <c r="BF35" s="21">
        <f t="shared" si="27"/>
        <v>3.5</v>
      </c>
      <c r="BG35" s="22">
        <f t="shared" si="28"/>
        <v>5.5</v>
      </c>
      <c r="BH35" s="205">
        <f t="shared" si="29"/>
        <v>3.5583125000000004</v>
      </c>
      <c r="BI35" s="206" t="str">
        <f t="shared" si="30"/>
        <v>(0.33)</v>
      </c>
      <c r="BJ35" s="207">
        <v>2</v>
      </c>
      <c r="BK35" s="207">
        <f t="shared" si="31"/>
        <v>3.5</v>
      </c>
      <c r="BL35" s="207">
        <v>0</v>
      </c>
      <c r="BM35" s="207">
        <f t="shared" si="32"/>
        <v>0</v>
      </c>
      <c r="BN35" s="207">
        <v>0</v>
      </c>
      <c r="BO35" s="207">
        <f t="shared" si="33"/>
        <v>0</v>
      </c>
      <c r="BP35" s="207">
        <f t="shared" si="34"/>
        <v>3.5</v>
      </c>
      <c r="BQ35" s="208">
        <f t="shared" si="35"/>
        <v>8.5</v>
      </c>
      <c r="BR35" s="205">
        <f t="shared" si="36"/>
        <v>6.0700625000000006</v>
      </c>
      <c r="BS35" s="206" t="str">
        <f t="shared" si="37"/>
        <v>(0.56)</v>
      </c>
      <c r="BT35" s="207">
        <v>2</v>
      </c>
      <c r="BU35" s="207">
        <f t="shared" si="38"/>
        <v>3.5</v>
      </c>
      <c r="BV35" s="207">
        <v>0</v>
      </c>
      <c r="BW35" s="207">
        <f t="shared" si="39"/>
        <v>0</v>
      </c>
      <c r="BX35" s="207">
        <v>0</v>
      </c>
      <c r="BY35" s="207">
        <f t="shared" si="40"/>
        <v>0</v>
      </c>
      <c r="BZ35" s="207">
        <f t="shared" si="41"/>
        <v>3.5</v>
      </c>
      <c r="CA35" s="208">
        <f t="shared" si="42"/>
        <v>14.5</v>
      </c>
      <c r="CB35" s="205">
        <f t="shared" si="43"/>
        <v>8.5818125000000016</v>
      </c>
      <c r="CC35" s="206" t="str">
        <f t="shared" si="44"/>
        <v>(0.8)</v>
      </c>
      <c r="CD35" s="207">
        <v>2</v>
      </c>
      <c r="CE35" s="207">
        <f t="shared" si="45"/>
        <v>3.5</v>
      </c>
      <c r="CF35" s="207">
        <v>0</v>
      </c>
      <c r="CG35" s="207">
        <f t="shared" si="46"/>
        <v>0</v>
      </c>
      <c r="CH35" s="207">
        <v>0</v>
      </c>
      <c r="CI35" s="207">
        <f t="shared" si="47"/>
        <v>0</v>
      </c>
      <c r="CJ35" s="207">
        <f t="shared" si="48"/>
        <v>3.5</v>
      </c>
      <c r="CK35" s="208">
        <f t="shared" si="49"/>
        <v>20.5</v>
      </c>
      <c r="CL35" s="205">
        <f t="shared" si="50"/>
        <v>11.093562500000001</v>
      </c>
      <c r="CM35" s="206" t="str">
        <f t="shared" si="51"/>
        <v>(1.03)</v>
      </c>
      <c r="CN35" s="207">
        <v>2</v>
      </c>
      <c r="CO35" s="207">
        <f t="shared" si="52"/>
        <v>3.5</v>
      </c>
      <c r="CP35" s="207">
        <v>0</v>
      </c>
      <c r="CQ35" s="207">
        <f t="shared" si="53"/>
        <v>0</v>
      </c>
      <c r="CR35" s="207">
        <v>0</v>
      </c>
      <c r="CS35" s="207">
        <f t="shared" si="54"/>
        <v>0</v>
      </c>
      <c r="CT35" s="207">
        <f t="shared" si="55"/>
        <v>3.5</v>
      </c>
      <c r="CU35" s="208">
        <f t="shared" si="56"/>
        <v>26.5</v>
      </c>
      <c r="CV35" s="205">
        <f t="shared" si="57"/>
        <v>13.605312500000002</v>
      </c>
      <c r="CW35" s="206" t="str">
        <f t="shared" si="58"/>
        <v>(1.26)</v>
      </c>
      <c r="CX35" s="207">
        <v>2</v>
      </c>
      <c r="CY35" s="207">
        <f t="shared" si="59"/>
        <v>3.5</v>
      </c>
      <c r="CZ35" s="207">
        <v>0</v>
      </c>
      <c r="DA35" s="207">
        <f t="shared" si="60"/>
        <v>0</v>
      </c>
      <c r="DB35" s="207">
        <v>0</v>
      </c>
      <c r="DC35" s="207">
        <f t="shared" si="61"/>
        <v>0</v>
      </c>
      <c r="DD35" s="207">
        <f t="shared" si="62"/>
        <v>3.5</v>
      </c>
      <c r="DE35" s="208">
        <f t="shared" si="63"/>
        <v>32.5</v>
      </c>
      <c r="DF35" s="205">
        <f t="shared" si="64"/>
        <v>16.117062499999999</v>
      </c>
      <c r="DG35" s="206" t="str">
        <f t="shared" si="65"/>
        <v>(1.5)</v>
      </c>
      <c r="DH35" s="207">
        <v>2</v>
      </c>
      <c r="DI35" s="207">
        <f t="shared" si="66"/>
        <v>3.5</v>
      </c>
      <c r="DJ35" s="207">
        <v>0</v>
      </c>
      <c r="DK35" s="207">
        <f t="shared" si="67"/>
        <v>0</v>
      </c>
      <c r="DL35" s="207">
        <v>0</v>
      </c>
      <c r="DM35" s="207">
        <f t="shared" si="68"/>
        <v>0</v>
      </c>
      <c r="DN35" s="207">
        <f t="shared" si="69"/>
        <v>3.5</v>
      </c>
      <c r="DO35" s="208">
        <f t="shared" si="70"/>
        <v>38.5</v>
      </c>
      <c r="DP35" s="205">
        <f t="shared" si="71"/>
        <v>18.628812499999999</v>
      </c>
      <c r="DQ35" s="206" t="str">
        <f t="shared" si="72"/>
        <v>(1.73)</v>
      </c>
      <c r="DR35" s="207">
        <v>2</v>
      </c>
      <c r="DS35" s="207">
        <f t="shared" si="73"/>
        <v>3.5</v>
      </c>
      <c r="DT35" s="207">
        <v>0</v>
      </c>
      <c r="DU35" s="207">
        <f t="shared" si="74"/>
        <v>0</v>
      </c>
      <c r="DV35" s="207">
        <v>0</v>
      </c>
      <c r="DW35" s="207">
        <f t="shared" si="75"/>
        <v>0</v>
      </c>
      <c r="DX35" s="207">
        <f t="shared" si="76"/>
        <v>3.5</v>
      </c>
      <c r="DY35" s="208">
        <f t="shared" si="77"/>
        <v>44.5</v>
      </c>
      <c r="DZ35" s="205">
        <f t="shared" si="78"/>
        <v>20.721937500000003</v>
      </c>
      <c r="EA35" s="206" t="str">
        <f t="shared" si="79"/>
        <v>(1.93)</v>
      </c>
      <c r="EB35" s="207">
        <v>2</v>
      </c>
      <c r="EC35" s="207">
        <f t="shared" si="80"/>
        <v>3.5</v>
      </c>
      <c r="ED35" s="207">
        <v>0</v>
      </c>
      <c r="EE35" s="207">
        <f t="shared" si="81"/>
        <v>0</v>
      </c>
      <c r="EF35" s="207">
        <v>1</v>
      </c>
      <c r="EG35" s="207">
        <f t="shared" si="82"/>
        <v>1</v>
      </c>
      <c r="EH35" s="207">
        <f t="shared" si="83"/>
        <v>4.5</v>
      </c>
      <c r="EI35" s="208">
        <f t="shared" si="84"/>
        <v>49.5</v>
      </c>
      <c r="EJ35" s="205">
        <f t="shared" si="85"/>
        <v>23.233687500000002</v>
      </c>
      <c r="EK35" s="206" t="str">
        <f t="shared" si="86"/>
        <v>(2.16)</v>
      </c>
      <c r="EL35" s="207">
        <v>2</v>
      </c>
      <c r="EM35" s="207">
        <f t="shared" si="87"/>
        <v>3.5</v>
      </c>
      <c r="EN35" s="207">
        <v>0</v>
      </c>
      <c r="EO35" s="207">
        <f t="shared" si="88"/>
        <v>0</v>
      </c>
      <c r="EP35" s="207">
        <v>1</v>
      </c>
      <c r="EQ35" s="207">
        <f t="shared" si="89"/>
        <v>1</v>
      </c>
      <c r="ER35" s="207">
        <f t="shared" si="90"/>
        <v>4.5</v>
      </c>
      <c r="ES35" s="208">
        <f t="shared" si="91"/>
        <v>55.5</v>
      </c>
      <c r="ET35" s="205">
        <f t="shared" si="92"/>
        <v>25.745437500000001</v>
      </c>
      <c r="EU35" s="206" t="str">
        <f t="shared" si="93"/>
        <v>(2.39)</v>
      </c>
      <c r="EV35" s="207">
        <v>2</v>
      </c>
      <c r="EW35" s="207">
        <f t="shared" si="94"/>
        <v>3.5</v>
      </c>
      <c r="EX35" s="207">
        <v>0</v>
      </c>
      <c r="EY35" s="207">
        <f t="shared" si="95"/>
        <v>0</v>
      </c>
      <c r="EZ35" s="207">
        <v>1</v>
      </c>
      <c r="FA35" s="207">
        <f t="shared" si="96"/>
        <v>1</v>
      </c>
      <c r="FB35" s="207">
        <f t="shared" si="97"/>
        <v>4.5</v>
      </c>
      <c r="FC35" s="208">
        <f t="shared" si="98"/>
        <v>61.5</v>
      </c>
      <c r="FD35" s="205">
        <f t="shared" si="99"/>
        <v>28.204859375000002</v>
      </c>
      <c r="FE35" s="206" t="str">
        <f t="shared" si="100"/>
        <v>(2.62)</v>
      </c>
      <c r="FF35" s="207">
        <v>2</v>
      </c>
      <c r="FG35" s="207">
        <f t="shared" si="101"/>
        <v>3.5</v>
      </c>
      <c r="FH35" s="207">
        <v>1</v>
      </c>
      <c r="FI35" s="207">
        <f t="shared" si="102"/>
        <v>1.125</v>
      </c>
      <c r="FJ35" s="207">
        <v>0</v>
      </c>
      <c r="FK35" s="207">
        <f t="shared" si="103"/>
        <v>0</v>
      </c>
      <c r="FL35" s="207">
        <f t="shared" si="104"/>
        <v>4.625</v>
      </c>
      <c r="FM35" s="208">
        <f t="shared" si="105"/>
        <v>67.375</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1"/>
      <c r="IK35" s="31"/>
      <c r="IL35" s="31"/>
      <c r="IM35" s="31"/>
      <c r="IN35" s="32"/>
      <c r="IO35" s="32"/>
      <c r="IP35" s="32"/>
      <c r="IQ35" s="409">
        <v>22</v>
      </c>
      <c r="IR35" s="410">
        <v>2.645</v>
      </c>
      <c r="IS35" s="410">
        <v>2.645</v>
      </c>
      <c r="IT35" s="410">
        <v>2.0920000000000001</v>
      </c>
      <c r="IU35" s="410">
        <v>1.75</v>
      </c>
      <c r="IV35" s="410">
        <v>1</v>
      </c>
      <c r="IW35" s="410">
        <v>1.125</v>
      </c>
      <c r="IX35" s="7"/>
    </row>
    <row r="36" spans="2:258" ht="15.75" thickBot="1" x14ac:dyDescent="0.3">
      <c r="B36" s="258">
        <f t="shared" si="20"/>
        <v>120</v>
      </c>
      <c r="C36" s="259">
        <v>21</v>
      </c>
      <c r="D36" s="265">
        <f t="shared" si="0"/>
        <v>0.38781111111111116</v>
      </c>
      <c r="E36" s="262">
        <f t="shared" si="1"/>
        <v>0.44950833333333334</v>
      </c>
      <c r="F36" s="262">
        <f t="shared" si="2"/>
        <v>0.51120555555555547</v>
      </c>
      <c r="G36" s="262">
        <f t="shared" si="3"/>
        <v>0.54205416666666673</v>
      </c>
      <c r="H36" s="262">
        <f t="shared" si="4"/>
        <v>0.5605633333333333</v>
      </c>
      <c r="I36" s="262">
        <f t="shared" si="5"/>
        <v>0.57290277777777776</v>
      </c>
      <c r="J36" s="262">
        <f t="shared" si="6"/>
        <v>0.58171666666666666</v>
      </c>
      <c r="K36" s="262">
        <f t="shared" si="7"/>
        <v>0.58832708333333339</v>
      </c>
      <c r="L36" s="262">
        <f t="shared" si="8"/>
        <v>0.58171666666666666</v>
      </c>
      <c r="M36" s="262">
        <f t="shared" si="9"/>
        <v>0.587005</v>
      </c>
      <c r="N36" s="262">
        <f t="shared" si="10"/>
        <v>0.59133181818181813</v>
      </c>
      <c r="O36" s="262">
        <f t="shared" si="11"/>
        <v>0.59383576388888881</v>
      </c>
      <c r="P36" s="262"/>
      <c r="Q36" s="262"/>
      <c r="R36" s="262"/>
      <c r="S36" s="262"/>
      <c r="T36" s="262"/>
      <c r="U36" s="262"/>
      <c r="V36" s="262"/>
      <c r="W36" s="262"/>
      <c r="X36" s="262"/>
      <c r="Y36" s="251"/>
      <c r="Z36" s="221"/>
      <c r="AA36" s="221"/>
      <c r="AB36" s="221"/>
      <c r="AC36" s="221"/>
      <c r="AD36" s="221"/>
      <c r="AE36" s="221"/>
      <c r="AF36" s="221"/>
      <c r="AG36" s="221"/>
      <c r="AH36" s="221"/>
      <c r="AI36" s="221"/>
      <c r="AJ36" s="221"/>
      <c r="AK36" s="221"/>
      <c r="AL36" s="221"/>
      <c r="AM36" s="221"/>
      <c r="AN36" s="221"/>
      <c r="AO36" s="221"/>
      <c r="AP36" s="221"/>
      <c r="AQ36" s="221"/>
      <c r="AT36" s="3"/>
      <c r="AU36" s="26">
        <f t="shared" si="162"/>
        <v>102</v>
      </c>
      <c r="AV36" s="27" t="str">
        <f t="shared" si="21"/>
        <v>(2600)</v>
      </c>
      <c r="AW36" s="18"/>
      <c r="AX36" s="19">
        <f t="shared" si="22"/>
        <v>2.4582708333333336</v>
      </c>
      <c r="AY36" s="20" t="str">
        <f t="shared" si="23"/>
        <v>(0.23)</v>
      </c>
      <c r="AZ36" s="21">
        <v>2</v>
      </c>
      <c r="BA36" s="21">
        <f t="shared" si="24"/>
        <v>3.5</v>
      </c>
      <c r="BB36" s="21">
        <v>0</v>
      </c>
      <c r="BC36" s="21">
        <f t="shared" si="25"/>
        <v>0</v>
      </c>
      <c r="BD36" s="21">
        <v>0</v>
      </c>
      <c r="BE36" s="21">
        <f t="shared" si="26"/>
        <v>0</v>
      </c>
      <c r="BF36" s="21">
        <f t="shared" si="27"/>
        <v>3.5</v>
      </c>
      <c r="BG36" s="22">
        <f t="shared" si="28"/>
        <v>5.5</v>
      </c>
      <c r="BH36" s="205">
        <f t="shared" si="29"/>
        <v>3.7991458333333341</v>
      </c>
      <c r="BI36" s="206" t="str">
        <f t="shared" si="30"/>
        <v>(0.35)</v>
      </c>
      <c r="BJ36" s="207">
        <v>2</v>
      </c>
      <c r="BK36" s="207">
        <f t="shared" si="31"/>
        <v>3.5</v>
      </c>
      <c r="BL36" s="207">
        <v>0</v>
      </c>
      <c r="BM36" s="207">
        <f t="shared" si="32"/>
        <v>0</v>
      </c>
      <c r="BN36" s="207">
        <v>0</v>
      </c>
      <c r="BO36" s="207">
        <f t="shared" si="33"/>
        <v>0</v>
      </c>
      <c r="BP36" s="207">
        <f t="shared" si="34"/>
        <v>3.5</v>
      </c>
      <c r="BQ36" s="208">
        <f t="shared" si="35"/>
        <v>8.5</v>
      </c>
      <c r="BR36" s="205">
        <f t="shared" si="36"/>
        <v>6.4808958333333342</v>
      </c>
      <c r="BS36" s="206" t="str">
        <f t="shared" si="37"/>
        <v>(0.6)</v>
      </c>
      <c r="BT36" s="207">
        <v>2</v>
      </c>
      <c r="BU36" s="207">
        <f t="shared" si="38"/>
        <v>3.5</v>
      </c>
      <c r="BV36" s="207">
        <v>0</v>
      </c>
      <c r="BW36" s="207">
        <f t="shared" si="39"/>
        <v>0</v>
      </c>
      <c r="BX36" s="207">
        <v>0</v>
      </c>
      <c r="BY36" s="207">
        <f t="shared" si="40"/>
        <v>0</v>
      </c>
      <c r="BZ36" s="207">
        <f t="shared" si="41"/>
        <v>3.5</v>
      </c>
      <c r="CA36" s="208">
        <f t="shared" si="42"/>
        <v>14.5</v>
      </c>
      <c r="CB36" s="205">
        <f t="shared" si="43"/>
        <v>9.162645833333336</v>
      </c>
      <c r="CC36" s="206" t="str">
        <f t="shared" si="44"/>
        <v>(0.85)</v>
      </c>
      <c r="CD36" s="207">
        <v>2</v>
      </c>
      <c r="CE36" s="207">
        <f t="shared" si="45"/>
        <v>3.5</v>
      </c>
      <c r="CF36" s="207">
        <v>0</v>
      </c>
      <c r="CG36" s="207">
        <f t="shared" si="46"/>
        <v>0</v>
      </c>
      <c r="CH36" s="207">
        <v>0</v>
      </c>
      <c r="CI36" s="207">
        <f t="shared" si="47"/>
        <v>0</v>
      </c>
      <c r="CJ36" s="207">
        <f t="shared" si="48"/>
        <v>3.5</v>
      </c>
      <c r="CK36" s="208">
        <f t="shared" si="49"/>
        <v>20.5</v>
      </c>
      <c r="CL36" s="205">
        <f t="shared" si="50"/>
        <v>11.844395833333335</v>
      </c>
      <c r="CM36" s="206" t="str">
        <f t="shared" si="51"/>
        <v>(1.1)</v>
      </c>
      <c r="CN36" s="207">
        <v>2</v>
      </c>
      <c r="CO36" s="207">
        <f t="shared" si="52"/>
        <v>3.5</v>
      </c>
      <c r="CP36" s="207">
        <v>0</v>
      </c>
      <c r="CQ36" s="207">
        <f t="shared" si="53"/>
        <v>0</v>
      </c>
      <c r="CR36" s="207">
        <v>0</v>
      </c>
      <c r="CS36" s="207">
        <f t="shared" si="54"/>
        <v>0</v>
      </c>
      <c r="CT36" s="207">
        <f t="shared" si="55"/>
        <v>3.5</v>
      </c>
      <c r="CU36" s="208">
        <f t="shared" si="56"/>
        <v>26.5</v>
      </c>
      <c r="CV36" s="205">
        <f t="shared" si="57"/>
        <v>14.526145833333336</v>
      </c>
      <c r="CW36" s="206" t="str">
        <f t="shared" si="58"/>
        <v>(1.35)</v>
      </c>
      <c r="CX36" s="207">
        <v>2</v>
      </c>
      <c r="CY36" s="207">
        <f t="shared" si="59"/>
        <v>3.5</v>
      </c>
      <c r="CZ36" s="207">
        <v>0</v>
      </c>
      <c r="DA36" s="207">
        <f t="shared" si="60"/>
        <v>0</v>
      </c>
      <c r="DB36" s="207">
        <v>0</v>
      </c>
      <c r="DC36" s="207">
        <f t="shared" si="61"/>
        <v>0</v>
      </c>
      <c r="DD36" s="207">
        <f t="shared" si="62"/>
        <v>3.5</v>
      </c>
      <c r="DE36" s="208">
        <f t="shared" si="63"/>
        <v>32.5</v>
      </c>
      <c r="DF36" s="205">
        <f t="shared" si="64"/>
        <v>17.207895833333335</v>
      </c>
      <c r="DG36" s="206" t="str">
        <f t="shared" si="65"/>
        <v>(1.6)</v>
      </c>
      <c r="DH36" s="207">
        <v>2</v>
      </c>
      <c r="DI36" s="207">
        <f t="shared" si="66"/>
        <v>3.5</v>
      </c>
      <c r="DJ36" s="207">
        <v>0</v>
      </c>
      <c r="DK36" s="207">
        <f t="shared" si="67"/>
        <v>0</v>
      </c>
      <c r="DL36" s="207">
        <v>0</v>
      </c>
      <c r="DM36" s="207">
        <f t="shared" si="68"/>
        <v>0</v>
      </c>
      <c r="DN36" s="207">
        <f t="shared" si="69"/>
        <v>3.5</v>
      </c>
      <c r="DO36" s="208">
        <f t="shared" si="70"/>
        <v>38.5</v>
      </c>
      <c r="DP36" s="205">
        <f t="shared" si="71"/>
        <v>19.889645833333336</v>
      </c>
      <c r="DQ36" s="206" t="str">
        <f t="shared" si="72"/>
        <v>(1.85)</v>
      </c>
      <c r="DR36" s="207">
        <v>2</v>
      </c>
      <c r="DS36" s="207">
        <f t="shared" si="73"/>
        <v>3.5</v>
      </c>
      <c r="DT36" s="207">
        <v>0</v>
      </c>
      <c r="DU36" s="207">
        <f t="shared" si="74"/>
        <v>0</v>
      </c>
      <c r="DV36" s="207">
        <v>0</v>
      </c>
      <c r="DW36" s="207">
        <f t="shared" si="75"/>
        <v>0</v>
      </c>
      <c r="DX36" s="207">
        <f t="shared" si="76"/>
        <v>3.5</v>
      </c>
      <c r="DY36" s="208">
        <f t="shared" si="77"/>
        <v>44.5</v>
      </c>
      <c r="DZ36" s="205">
        <f t="shared" si="78"/>
        <v>22.124437500000003</v>
      </c>
      <c r="EA36" s="206" t="str">
        <f t="shared" si="79"/>
        <v>(2.06)</v>
      </c>
      <c r="EB36" s="207">
        <v>2</v>
      </c>
      <c r="EC36" s="207">
        <f t="shared" si="80"/>
        <v>3.5</v>
      </c>
      <c r="ED36" s="207">
        <v>0</v>
      </c>
      <c r="EE36" s="207">
        <f t="shared" si="81"/>
        <v>0</v>
      </c>
      <c r="EF36" s="207">
        <v>1</v>
      </c>
      <c r="EG36" s="207">
        <f t="shared" si="82"/>
        <v>1</v>
      </c>
      <c r="EH36" s="207">
        <f t="shared" si="83"/>
        <v>4.5</v>
      </c>
      <c r="EI36" s="208">
        <f t="shared" si="84"/>
        <v>49.5</v>
      </c>
      <c r="EJ36" s="205">
        <f t="shared" si="85"/>
        <v>24.806187500000004</v>
      </c>
      <c r="EK36" s="206" t="str">
        <f t="shared" si="86"/>
        <v>(2.30)</v>
      </c>
      <c r="EL36" s="207">
        <v>2</v>
      </c>
      <c r="EM36" s="207">
        <f t="shared" si="87"/>
        <v>3.5</v>
      </c>
      <c r="EN36" s="207">
        <v>0</v>
      </c>
      <c r="EO36" s="207">
        <f t="shared" si="88"/>
        <v>0</v>
      </c>
      <c r="EP36" s="207">
        <v>1</v>
      </c>
      <c r="EQ36" s="207">
        <f t="shared" si="89"/>
        <v>1</v>
      </c>
      <c r="ER36" s="207">
        <f t="shared" si="90"/>
        <v>4.5</v>
      </c>
      <c r="ES36" s="208">
        <f t="shared" si="91"/>
        <v>55.5</v>
      </c>
      <c r="ET36" s="205">
        <f t="shared" si="92"/>
        <v>27.487937500000001</v>
      </c>
      <c r="EU36" s="206" t="str">
        <f t="shared" si="93"/>
        <v>(2.55)</v>
      </c>
      <c r="EV36" s="207">
        <v>2</v>
      </c>
      <c r="EW36" s="207">
        <f t="shared" si="94"/>
        <v>3.5</v>
      </c>
      <c r="EX36" s="207">
        <v>0</v>
      </c>
      <c r="EY36" s="207">
        <f t="shared" si="95"/>
        <v>0</v>
      </c>
      <c r="EZ36" s="207">
        <v>1</v>
      </c>
      <c r="FA36" s="207">
        <f t="shared" si="96"/>
        <v>1</v>
      </c>
      <c r="FB36" s="207">
        <f t="shared" si="97"/>
        <v>4.5</v>
      </c>
      <c r="FC36" s="208">
        <f t="shared" si="98"/>
        <v>61.5</v>
      </c>
      <c r="FD36" s="205">
        <f t="shared" si="99"/>
        <v>30.113817708333336</v>
      </c>
      <c r="FE36" s="206" t="str">
        <f t="shared" si="100"/>
        <v>(2.80)</v>
      </c>
      <c r="FF36" s="207">
        <v>2</v>
      </c>
      <c r="FG36" s="207">
        <f t="shared" si="101"/>
        <v>3.5</v>
      </c>
      <c r="FH36" s="207">
        <v>1</v>
      </c>
      <c r="FI36" s="207">
        <f t="shared" si="102"/>
        <v>1.125</v>
      </c>
      <c r="FJ36" s="207">
        <v>0</v>
      </c>
      <c r="FK36" s="207">
        <f t="shared" si="103"/>
        <v>0</v>
      </c>
      <c r="FL36" s="207">
        <f t="shared" si="104"/>
        <v>4.625</v>
      </c>
      <c r="FM36" s="208">
        <f t="shared" si="105"/>
        <v>67.375</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409">
        <v>24</v>
      </c>
      <c r="IR36" s="410">
        <v>2.645</v>
      </c>
      <c r="IS36" s="410">
        <v>2.645</v>
      </c>
      <c r="IT36" s="410">
        <v>0.88200000000000001</v>
      </c>
      <c r="IU36" s="410">
        <v>1.75</v>
      </c>
      <c r="IV36" s="410">
        <v>1</v>
      </c>
      <c r="IW36" s="410">
        <v>1.125</v>
      </c>
      <c r="IX36" s="7"/>
    </row>
    <row r="37" spans="2:258" ht="15.75" thickBot="1" x14ac:dyDescent="0.3">
      <c r="B37" s="248"/>
      <c r="C37" s="262"/>
      <c r="D37" s="262"/>
      <c r="E37" s="262"/>
      <c r="F37" s="262"/>
      <c r="G37" s="262"/>
      <c r="H37" s="262"/>
      <c r="I37" s="262"/>
      <c r="J37" s="262"/>
      <c r="K37" s="262"/>
      <c r="L37" s="262"/>
      <c r="M37" s="262"/>
      <c r="N37" s="262"/>
      <c r="O37" s="262"/>
      <c r="P37" s="262"/>
      <c r="Q37" s="262"/>
      <c r="R37" s="262"/>
      <c r="S37" s="262"/>
      <c r="T37" s="262"/>
      <c r="U37" s="262"/>
      <c r="V37" s="262"/>
      <c r="W37" s="262"/>
      <c r="X37" s="262"/>
      <c r="Y37" s="251"/>
      <c r="Z37" s="221"/>
      <c r="AA37" s="221"/>
      <c r="AB37" s="221"/>
      <c r="AC37" s="221"/>
      <c r="AD37" s="221"/>
      <c r="AE37" s="221"/>
      <c r="AF37" s="221"/>
      <c r="AG37" s="221"/>
      <c r="AH37" s="221"/>
      <c r="AI37" s="221"/>
      <c r="AJ37" s="221"/>
      <c r="AK37" s="221"/>
      <c r="AL37" s="221"/>
      <c r="AM37" s="221"/>
      <c r="AN37" s="221"/>
      <c r="AO37" s="221"/>
      <c r="AP37" s="221"/>
      <c r="AQ37" s="221"/>
      <c r="AT37" s="3"/>
      <c r="AU37" s="26">
        <f t="shared" si="162"/>
        <v>108</v>
      </c>
      <c r="AV37" s="27" t="str">
        <f t="shared" si="21"/>
        <v>(2750)</v>
      </c>
      <c r="AW37" s="18"/>
      <c r="AX37" s="19">
        <f t="shared" si="22"/>
        <v>2.6055104166666663</v>
      </c>
      <c r="AY37" s="20" t="str">
        <f t="shared" si="23"/>
        <v>(0.24)</v>
      </c>
      <c r="AZ37" s="21">
        <v>2</v>
      </c>
      <c r="BA37" s="21">
        <f t="shared" si="24"/>
        <v>3.5</v>
      </c>
      <c r="BB37" s="21">
        <v>0</v>
      </c>
      <c r="BC37" s="21">
        <f t="shared" si="25"/>
        <v>0</v>
      </c>
      <c r="BD37" s="21">
        <v>0</v>
      </c>
      <c r="BE37" s="21">
        <f t="shared" si="26"/>
        <v>0</v>
      </c>
      <c r="BF37" s="21">
        <f t="shared" si="27"/>
        <v>3.5</v>
      </c>
      <c r="BG37" s="22">
        <f t="shared" si="28"/>
        <v>5.5</v>
      </c>
      <c r="BH37" s="205">
        <f t="shared" si="29"/>
        <v>4.0266979166666665</v>
      </c>
      <c r="BI37" s="206" t="str">
        <f t="shared" si="30"/>
        <v>(0.37)</v>
      </c>
      <c r="BJ37" s="207">
        <v>2</v>
      </c>
      <c r="BK37" s="207">
        <f t="shared" si="31"/>
        <v>3.5</v>
      </c>
      <c r="BL37" s="207">
        <v>0</v>
      </c>
      <c r="BM37" s="207">
        <f t="shared" si="32"/>
        <v>0</v>
      </c>
      <c r="BN37" s="207">
        <v>0</v>
      </c>
      <c r="BO37" s="207">
        <f t="shared" si="33"/>
        <v>0</v>
      </c>
      <c r="BP37" s="207">
        <f t="shared" si="34"/>
        <v>3.5</v>
      </c>
      <c r="BQ37" s="208">
        <f t="shared" si="35"/>
        <v>8.5</v>
      </c>
      <c r="BR37" s="205">
        <f t="shared" si="36"/>
        <v>6.8690729166666662</v>
      </c>
      <c r="BS37" s="206" t="str">
        <f t="shared" si="37"/>
        <v>(0.64)</v>
      </c>
      <c r="BT37" s="207">
        <v>2</v>
      </c>
      <c r="BU37" s="207">
        <f t="shared" si="38"/>
        <v>3.5</v>
      </c>
      <c r="BV37" s="207">
        <v>0</v>
      </c>
      <c r="BW37" s="207">
        <f t="shared" si="39"/>
        <v>0</v>
      </c>
      <c r="BX37" s="207">
        <v>0</v>
      </c>
      <c r="BY37" s="207">
        <f t="shared" si="40"/>
        <v>0</v>
      </c>
      <c r="BZ37" s="207">
        <f t="shared" si="41"/>
        <v>3.5</v>
      </c>
      <c r="CA37" s="208">
        <f t="shared" si="42"/>
        <v>14.5</v>
      </c>
      <c r="CB37" s="205">
        <f t="shared" si="43"/>
        <v>9.7114479166666658</v>
      </c>
      <c r="CC37" s="206" t="str">
        <f t="shared" si="44"/>
        <v>(0.9)</v>
      </c>
      <c r="CD37" s="207">
        <v>2</v>
      </c>
      <c r="CE37" s="207">
        <f t="shared" si="45"/>
        <v>3.5</v>
      </c>
      <c r="CF37" s="207">
        <v>0</v>
      </c>
      <c r="CG37" s="207">
        <f t="shared" si="46"/>
        <v>0</v>
      </c>
      <c r="CH37" s="207">
        <v>0</v>
      </c>
      <c r="CI37" s="207">
        <f t="shared" si="47"/>
        <v>0</v>
      </c>
      <c r="CJ37" s="207">
        <f t="shared" si="48"/>
        <v>3.5</v>
      </c>
      <c r="CK37" s="208">
        <f t="shared" si="49"/>
        <v>20.5</v>
      </c>
      <c r="CL37" s="205">
        <f t="shared" si="50"/>
        <v>12.553822916666666</v>
      </c>
      <c r="CM37" s="206" t="str">
        <f t="shared" si="51"/>
        <v>(1.17)</v>
      </c>
      <c r="CN37" s="207">
        <v>2</v>
      </c>
      <c r="CO37" s="207">
        <f t="shared" si="52"/>
        <v>3.5</v>
      </c>
      <c r="CP37" s="207">
        <v>0</v>
      </c>
      <c r="CQ37" s="207">
        <f t="shared" si="53"/>
        <v>0</v>
      </c>
      <c r="CR37" s="207">
        <v>0</v>
      </c>
      <c r="CS37" s="207">
        <f t="shared" si="54"/>
        <v>0</v>
      </c>
      <c r="CT37" s="207">
        <f t="shared" si="55"/>
        <v>3.5</v>
      </c>
      <c r="CU37" s="208">
        <f t="shared" si="56"/>
        <v>26.5</v>
      </c>
      <c r="CV37" s="205">
        <f t="shared" si="57"/>
        <v>15.396197916666665</v>
      </c>
      <c r="CW37" s="206" t="str">
        <f t="shared" si="58"/>
        <v>(1.43)</v>
      </c>
      <c r="CX37" s="207">
        <v>2</v>
      </c>
      <c r="CY37" s="207">
        <f t="shared" si="59"/>
        <v>3.5</v>
      </c>
      <c r="CZ37" s="207">
        <v>0</v>
      </c>
      <c r="DA37" s="207">
        <f t="shared" si="60"/>
        <v>0</v>
      </c>
      <c r="DB37" s="207">
        <v>0</v>
      </c>
      <c r="DC37" s="207">
        <f t="shared" si="61"/>
        <v>0</v>
      </c>
      <c r="DD37" s="207">
        <f t="shared" si="62"/>
        <v>3.5</v>
      </c>
      <c r="DE37" s="208">
        <f t="shared" si="63"/>
        <v>32.5</v>
      </c>
      <c r="DF37" s="205">
        <f t="shared" si="64"/>
        <v>18.238572916666666</v>
      </c>
      <c r="DG37" s="206" t="str">
        <f t="shared" si="65"/>
        <v>(1.69)</v>
      </c>
      <c r="DH37" s="207">
        <v>2</v>
      </c>
      <c r="DI37" s="207">
        <f t="shared" si="66"/>
        <v>3.5</v>
      </c>
      <c r="DJ37" s="207">
        <v>0</v>
      </c>
      <c r="DK37" s="207">
        <f t="shared" si="67"/>
        <v>0</v>
      </c>
      <c r="DL37" s="207">
        <v>0</v>
      </c>
      <c r="DM37" s="207">
        <f t="shared" si="68"/>
        <v>0</v>
      </c>
      <c r="DN37" s="207">
        <f t="shared" si="69"/>
        <v>3.5</v>
      </c>
      <c r="DO37" s="208">
        <f t="shared" si="70"/>
        <v>38.5</v>
      </c>
      <c r="DP37" s="205">
        <f t="shared" si="71"/>
        <v>21.080947916666666</v>
      </c>
      <c r="DQ37" s="206" t="str">
        <f t="shared" si="72"/>
        <v>(1.96)</v>
      </c>
      <c r="DR37" s="207">
        <v>2</v>
      </c>
      <c r="DS37" s="207">
        <f t="shared" si="73"/>
        <v>3.5</v>
      </c>
      <c r="DT37" s="207">
        <v>0</v>
      </c>
      <c r="DU37" s="207">
        <f t="shared" si="74"/>
        <v>0</v>
      </c>
      <c r="DV37" s="207">
        <v>0</v>
      </c>
      <c r="DW37" s="207">
        <f t="shared" si="75"/>
        <v>0</v>
      </c>
      <c r="DX37" s="207">
        <f t="shared" si="76"/>
        <v>3.5</v>
      </c>
      <c r="DY37" s="208">
        <f t="shared" si="77"/>
        <v>44.5</v>
      </c>
      <c r="DZ37" s="205">
        <f t="shared" si="78"/>
        <v>23.449593750000002</v>
      </c>
      <c r="EA37" s="206" t="str">
        <f t="shared" si="79"/>
        <v>(2.18)</v>
      </c>
      <c r="EB37" s="207">
        <v>2</v>
      </c>
      <c r="EC37" s="207">
        <f t="shared" si="80"/>
        <v>3.5</v>
      </c>
      <c r="ED37" s="207">
        <v>0</v>
      </c>
      <c r="EE37" s="207">
        <f t="shared" si="81"/>
        <v>0</v>
      </c>
      <c r="EF37" s="207">
        <v>1</v>
      </c>
      <c r="EG37" s="207">
        <f t="shared" si="82"/>
        <v>1</v>
      </c>
      <c r="EH37" s="207">
        <f t="shared" si="83"/>
        <v>4.5</v>
      </c>
      <c r="EI37" s="208">
        <f t="shared" si="84"/>
        <v>49.5</v>
      </c>
      <c r="EJ37" s="205">
        <f t="shared" si="85"/>
        <v>26.291968749999999</v>
      </c>
      <c r="EK37" s="206" t="str">
        <f t="shared" si="86"/>
        <v>(2.44)</v>
      </c>
      <c r="EL37" s="207">
        <v>2</v>
      </c>
      <c r="EM37" s="207">
        <f t="shared" si="87"/>
        <v>3.5</v>
      </c>
      <c r="EN37" s="207">
        <v>0</v>
      </c>
      <c r="EO37" s="207">
        <f t="shared" si="88"/>
        <v>0</v>
      </c>
      <c r="EP37" s="207">
        <v>1</v>
      </c>
      <c r="EQ37" s="207">
        <f t="shared" si="89"/>
        <v>1</v>
      </c>
      <c r="ER37" s="207">
        <f t="shared" si="90"/>
        <v>4.5</v>
      </c>
      <c r="ES37" s="208">
        <f t="shared" si="91"/>
        <v>55.5</v>
      </c>
      <c r="ET37" s="205">
        <f t="shared" si="92"/>
        <v>29.134343750000003</v>
      </c>
      <c r="EU37" s="206" t="str">
        <f t="shared" si="93"/>
        <v>(2.71)</v>
      </c>
      <c r="EV37" s="207">
        <v>2</v>
      </c>
      <c r="EW37" s="207">
        <f t="shared" si="94"/>
        <v>3.5</v>
      </c>
      <c r="EX37" s="207">
        <v>0</v>
      </c>
      <c r="EY37" s="207">
        <f t="shared" si="95"/>
        <v>0</v>
      </c>
      <c r="EZ37" s="207">
        <v>1</v>
      </c>
      <c r="FA37" s="207">
        <f t="shared" si="96"/>
        <v>1</v>
      </c>
      <c r="FB37" s="207">
        <f t="shared" si="97"/>
        <v>4.5</v>
      </c>
      <c r="FC37" s="208">
        <f t="shared" si="98"/>
        <v>61.5</v>
      </c>
      <c r="FD37" s="205">
        <f t="shared" si="99"/>
        <v>31.917502604166664</v>
      </c>
      <c r="FE37" s="206" t="str">
        <f t="shared" si="100"/>
        <v>(2.97)</v>
      </c>
      <c r="FF37" s="207">
        <v>2</v>
      </c>
      <c r="FG37" s="207">
        <f t="shared" si="101"/>
        <v>3.5</v>
      </c>
      <c r="FH37" s="207">
        <v>1</v>
      </c>
      <c r="FI37" s="207">
        <f t="shared" si="102"/>
        <v>1.125</v>
      </c>
      <c r="FJ37" s="207">
        <v>0</v>
      </c>
      <c r="FK37" s="207">
        <f t="shared" si="103"/>
        <v>0</v>
      </c>
      <c r="FL37" s="207">
        <f t="shared" si="104"/>
        <v>4.625</v>
      </c>
      <c r="FM37" s="208">
        <f t="shared" si="105"/>
        <v>67.375</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409">
        <v>25</v>
      </c>
      <c r="IR37" s="410">
        <v>2.645</v>
      </c>
      <c r="IS37" s="410">
        <v>2.645</v>
      </c>
      <c r="IT37" s="410">
        <v>2.0920000000000001</v>
      </c>
      <c r="IU37" s="410">
        <v>1.75</v>
      </c>
      <c r="IV37" s="410">
        <v>1</v>
      </c>
      <c r="IW37" s="410">
        <v>1.125</v>
      </c>
      <c r="IX37" s="7"/>
    </row>
    <row r="38" spans="2:258" ht="15.75" thickBot="1" x14ac:dyDescent="0.3">
      <c r="B38" s="248"/>
      <c r="C38" s="250"/>
      <c r="D38" s="250"/>
      <c r="E38" s="250"/>
      <c r="F38" s="250"/>
      <c r="G38" s="250"/>
      <c r="H38" s="250"/>
      <c r="I38" s="250"/>
      <c r="J38" s="250"/>
      <c r="K38" s="250"/>
      <c r="L38" s="250"/>
      <c r="M38" s="250"/>
      <c r="N38" s="250"/>
      <c r="O38" s="250"/>
      <c r="P38" s="250"/>
      <c r="Q38" s="250"/>
      <c r="R38" s="250"/>
      <c r="S38" s="250"/>
      <c r="T38" s="250"/>
      <c r="U38" s="250"/>
      <c r="V38" s="250"/>
      <c r="W38" s="250"/>
      <c r="X38" s="262"/>
      <c r="Y38" s="251"/>
      <c r="Z38" s="221"/>
      <c r="AA38" s="221"/>
      <c r="AB38" s="221"/>
      <c r="AC38" s="221"/>
      <c r="AD38" s="221"/>
      <c r="AE38" s="221"/>
      <c r="AF38" s="221"/>
      <c r="AG38" s="221"/>
      <c r="AH38" s="221"/>
      <c r="AI38" s="221"/>
      <c r="AJ38" s="221"/>
      <c r="AK38" s="221"/>
      <c r="AL38" s="221"/>
      <c r="AM38" s="221"/>
      <c r="AN38" s="221"/>
      <c r="AO38" s="221"/>
      <c r="AP38" s="221"/>
      <c r="AQ38" s="221"/>
      <c r="AT38" s="3"/>
      <c r="AU38" s="26">
        <f t="shared" si="162"/>
        <v>114</v>
      </c>
      <c r="AV38" s="27" t="str">
        <f t="shared" si="21"/>
        <v>(2900)</v>
      </c>
      <c r="AW38" s="18"/>
      <c r="AX38" s="19">
        <f t="shared" si="22"/>
        <v>2.76134375</v>
      </c>
      <c r="AY38" s="20" t="str">
        <f t="shared" si="23"/>
        <v>(0.26)</v>
      </c>
      <c r="AZ38" s="21">
        <v>2</v>
      </c>
      <c r="BA38" s="21">
        <f t="shared" si="24"/>
        <v>3.5</v>
      </c>
      <c r="BB38" s="21">
        <v>0</v>
      </c>
      <c r="BC38" s="21">
        <f t="shared" si="25"/>
        <v>0</v>
      </c>
      <c r="BD38" s="21">
        <v>0</v>
      </c>
      <c r="BE38" s="21">
        <f t="shared" si="26"/>
        <v>0</v>
      </c>
      <c r="BF38" s="21">
        <f t="shared" si="27"/>
        <v>3.5</v>
      </c>
      <c r="BG38" s="22">
        <f t="shared" si="28"/>
        <v>5.5</v>
      </c>
      <c r="BH38" s="205">
        <f t="shared" si="29"/>
        <v>4.2675312500000002</v>
      </c>
      <c r="BI38" s="206" t="str">
        <f t="shared" si="30"/>
        <v>(0.40)</v>
      </c>
      <c r="BJ38" s="207">
        <v>2</v>
      </c>
      <c r="BK38" s="207">
        <f t="shared" si="31"/>
        <v>3.5</v>
      </c>
      <c r="BL38" s="207">
        <v>0</v>
      </c>
      <c r="BM38" s="207">
        <f t="shared" si="32"/>
        <v>0</v>
      </c>
      <c r="BN38" s="207">
        <v>0</v>
      </c>
      <c r="BO38" s="207">
        <f t="shared" si="33"/>
        <v>0</v>
      </c>
      <c r="BP38" s="207">
        <f t="shared" si="34"/>
        <v>3.5</v>
      </c>
      <c r="BQ38" s="208">
        <f t="shared" si="35"/>
        <v>8.5</v>
      </c>
      <c r="BR38" s="205">
        <f t="shared" si="36"/>
        <v>7.2799062499999998</v>
      </c>
      <c r="BS38" s="206" t="str">
        <f t="shared" si="37"/>
        <v>(0.68)</v>
      </c>
      <c r="BT38" s="207">
        <v>2</v>
      </c>
      <c r="BU38" s="207">
        <f t="shared" si="38"/>
        <v>3.5</v>
      </c>
      <c r="BV38" s="207">
        <v>0</v>
      </c>
      <c r="BW38" s="207">
        <f t="shared" si="39"/>
        <v>0</v>
      </c>
      <c r="BX38" s="207">
        <v>0</v>
      </c>
      <c r="BY38" s="207">
        <f t="shared" si="40"/>
        <v>0</v>
      </c>
      <c r="BZ38" s="207">
        <f t="shared" si="41"/>
        <v>3.5</v>
      </c>
      <c r="CA38" s="208">
        <f t="shared" si="42"/>
        <v>14.5</v>
      </c>
      <c r="CB38" s="205">
        <f t="shared" si="43"/>
        <v>10.292281249999998</v>
      </c>
      <c r="CC38" s="206" t="str">
        <f t="shared" si="44"/>
        <v>(0.96)</v>
      </c>
      <c r="CD38" s="207">
        <v>2</v>
      </c>
      <c r="CE38" s="207">
        <f t="shared" si="45"/>
        <v>3.5</v>
      </c>
      <c r="CF38" s="207">
        <v>0</v>
      </c>
      <c r="CG38" s="207">
        <f t="shared" si="46"/>
        <v>0</v>
      </c>
      <c r="CH38" s="207">
        <v>0</v>
      </c>
      <c r="CI38" s="207">
        <f t="shared" si="47"/>
        <v>0</v>
      </c>
      <c r="CJ38" s="207">
        <f t="shared" si="48"/>
        <v>3.5</v>
      </c>
      <c r="CK38" s="208">
        <f t="shared" si="49"/>
        <v>20.5</v>
      </c>
      <c r="CL38" s="205">
        <f t="shared" si="50"/>
        <v>13.304656250000001</v>
      </c>
      <c r="CM38" s="206" t="str">
        <f t="shared" si="51"/>
        <v>(1.24)</v>
      </c>
      <c r="CN38" s="207">
        <v>2</v>
      </c>
      <c r="CO38" s="207">
        <f t="shared" si="52"/>
        <v>3.5</v>
      </c>
      <c r="CP38" s="207">
        <v>0</v>
      </c>
      <c r="CQ38" s="207">
        <f t="shared" si="53"/>
        <v>0</v>
      </c>
      <c r="CR38" s="207">
        <v>0</v>
      </c>
      <c r="CS38" s="207">
        <f t="shared" si="54"/>
        <v>0</v>
      </c>
      <c r="CT38" s="207">
        <f t="shared" si="55"/>
        <v>3.5</v>
      </c>
      <c r="CU38" s="208">
        <f t="shared" si="56"/>
        <v>26.5</v>
      </c>
      <c r="CV38" s="205">
        <f t="shared" si="57"/>
        <v>16.317031249999999</v>
      </c>
      <c r="CW38" s="206" t="str">
        <f t="shared" si="58"/>
        <v>(1.52)</v>
      </c>
      <c r="CX38" s="207">
        <v>2</v>
      </c>
      <c r="CY38" s="207">
        <f t="shared" si="59"/>
        <v>3.5</v>
      </c>
      <c r="CZ38" s="207">
        <v>0</v>
      </c>
      <c r="DA38" s="207">
        <f t="shared" si="60"/>
        <v>0</v>
      </c>
      <c r="DB38" s="207">
        <v>0</v>
      </c>
      <c r="DC38" s="207">
        <f t="shared" si="61"/>
        <v>0</v>
      </c>
      <c r="DD38" s="207">
        <f t="shared" si="62"/>
        <v>3.5</v>
      </c>
      <c r="DE38" s="208">
        <f t="shared" si="63"/>
        <v>32.5</v>
      </c>
      <c r="DF38" s="205">
        <f t="shared" si="64"/>
        <v>19.329406249999998</v>
      </c>
      <c r="DG38" s="206" t="str">
        <f t="shared" si="65"/>
        <v>(1.8)</v>
      </c>
      <c r="DH38" s="207">
        <v>2</v>
      </c>
      <c r="DI38" s="207">
        <f t="shared" si="66"/>
        <v>3.5</v>
      </c>
      <c r="DJ38" s="207">
        <v>0</v>
      </c>
      <c r="DK38" s="207">
        <f t="shared" si="67"/>
        <v>0</v>
      </c>
      <c r="DL38" s="207">
        <v>0</v>
      </c>
      <c r="DM38" s="207">
        <f t="shared" si="68"/>
        <v>0</v>
      </c>
      <c r="DN38" s="207">
        <f t="shared" si="69"/>
        <v>3.5</v>
      </c>
      <c r="DO38" s="208">
        <f t="shared" si="70"/>
        <v>38.5</v>
      </c>
      <c r="DP38" s="205">
        <f t="shared" si="71"/>
        <v>22.34178125</v>
      </c>
      <c r="DQ38" s="206" t="str">
        <f t="shared" si="72"/>
        <v>(2.08)</v>
      </c>
      <c r="DR38" s="207">
        <v>2</v>
      </c>
      <c r="DS38" s="207">
        <f t="shared" si="73"/>
        <v>3.5</v>
      </c>
      <c r="DT38" s="207">
        <v>0</v>
      </c>
      <c r="DU38" s="207">
        <f t="shared" si="74"/>
        <v>0</v>
      </c>
      <c r="DV38" s="207">
        <v>0</v>
      </c>
      <c r="DW38" s="207">
        <f t="shared" si="75"/>
        <v>0</v>
      </c>
      <c r="DX38" s="207">
        <f t="shared" si="76"/>
        <v>3.5</v>
      </c>
      <c r="DY38" s="208">
        <f t="shared" si="77"/>
        <v>44.5</v>
      </c>
      <c r="DZ38" s="205">
        <f t="shared" si="78"/>
        <v>24.852093749999998</v>
      </c>
      <c r="EA38" s="206" t="str">
        <f t="shared" si="79"/>
        <v>(2.31)</v>
      </c>
      <c r="EB38" s="207">
        <v>2</v>
      </c>
      <c r="EC38" s="207">
        <f t="shared" si="80"/>
        <v>3.5</v>
      </c>
      <c r="ED38" s="207">
        <v>0</v>
      </c>
      <c r="EE38" s="207">
        <f t="shared" si="81"/>
        <v>0</v>
      </c>
      <c r="EF38" s="207">
        <v>1</v>
      </c>
      <c r="EG38" s="207">
        <f t="shared" si="82"/>
        <v>1</v>
      </c>
      <c r="EH38" s="207">
        <f t="shared" si="83"/>
        <v>4.5</v>
      </c>
      <c r="EI38" s="208">
        <f t="shared" si="84"/>
        <v>49.5</v>
      </c>
      <c r="EJ38" s="205">
        <f t="shared" si="85"/>
        <v>27.86446875</v>
      </c>
      <c r="EK38" s="206" t="str">
        <f t="shared" si="86"/>
        <v>(2.59)</v>
      </c>
      <c r="EL38" s="207">
        <v>2</v>
      </c>
      <c r="EM38" s="207">
        <f t="shared" si="87"/>
        <v>3.5</v>
      </c>
      <c r="EN38" s="207">
        <v>0</v>
      </c>
      <c r="EO38" s="207">
        <f t="shared" si="88"/>
        <v>0</v>
      </c>
      <c r="EP38" s="207">
        <v>1</v>
      </c>
      <c r="EQ38" s="207">
        <f t="shared" si="89"/>
        <v>1</v>
      </c>
      <c r="ER38" s="207">
        <f t="shared" si="90"/>
        <v>4.5</v>
      </c>
      <c r="ES38" s="208">
        <f t="shared" si="91"/>
        <v>55.5</v>
      </c>
      <c r="ET38" s="205">
        <f t="shared" si="92"/>
        <v>30.876843749999995</v>
      </c>
      <c r="EU38" s="206" t="str">
        <f t="shared" si="93"/>
        <v>(2.87)</v>
      </c>
      <c r="EV38" s="207">
        <v>2</v>
      </c>
      <c r="EW38" s="207">
        <f t="shared" si="94"/>
        <v>3.5</v>
      </c>
      <c r="EX38" s="207">
        <v>0</v>
      </c>
      <c r="EY38" s="207">
        <f t="shared" si="95"/>
        <v>0</v>
      </c>
      <c r="EZ38" s="207">
        <v>1</v>
      </c>
      <c r="FA38" s="207">
        <f t="shared" si="96"/>
        <v>1</v>
      </c>
      <c r="FB38" s="207">
        <f t="shared" si="97"/>
        <v>4.5</v>
      </c>
      <c r="FC38" s="208">
        <f t="shared" si="98"/>
        <v>61.5</v>
      </c>
      <c r="FD38" s="205">
        <f t="shared" si="99"/>
        <v>33.826460937500002</v>
      </c>
      <c r="FE38" s="206" t="str">
        <f t="shared" si="100"/>
        <v>(3.14)</v>
      </c>
      <c r="FF38" s="207">
        <v>2</v>
      </c>
      <c r="FG38" s="207">
        <f t="shared" si="101"/>
        <v>3.5</v>
      </c>
      <c r="FH38" s="207">
        <v>1</v>
      </c>
      <c r="FI38" s="207">
        <f t="shared" si="102"/>
        <v>1.125</v>
      </c>
      <c r="FJ38" s="207">
        <v>0</v>
      </c>
      <c r="FK38" s="207">
        <f t="shared" si="103"/>
        <v>0</v>
      </c>
      <c r="FL38" s="207">
        <f t="shared" si="104"/>
        <v>4.625</v>
      </c>
      <c r="FM38" s="208">
        <f t="shared" si="105"/>
        <v>67.375</v>
      </c>
      <c r="FN38" s="30"/>
      <c r="FO38" s="30"/>
      <c r="FP38" s="31"/>
      <c r="FQ38" s="31"/>
      <c r="FR38" s="31"/>
      <c r="FS38" s="31"/>
      <c r="FT38" s="31"/>
      <c r="FU38" s="31"/>
      <c r="FV38" s="5"/>
      <c r="FW38" s="5"/>
      <c r="FX38" s="5"/>
      <c r="FY38" s="5"/>
      <c r="FZ38" s="5"/>
      <c r="GA38" s="5"/>
      <c r="GB38" s="5"/>
      <c r="GC38" s="5"/>
      <c r="GD38" s="5"/>
      <c r="GE38" s="5"/>
      <c r="GF38" s="5"/>
      <c r="GG38" s="5"/>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409">
        <v>27</v>
      </c>
      <c r="IR38" s="410">
        <v>2.645</v>
      </c>
      <c r="IS38" s="410">
        <v>2.645</v>
      </c>
      <c r="IT38" s="410">
        <v>0.88200000000000001</v>
      </c>
      <c r="IU38" s="410">
        <v>1.75</v>
      </c>
      <c r="IV38" s="410">
        <v>1</v>
      </c>
      <c r="IW38" s="410">
        <v>1.125</v>
      </c>
      <c r="IX38" s="7"/>
    </row>
    <row r="39" spans="2:258" ht="15.75" thickBot="1" x14ac:dyDescent="0.3">
      <c r="B39" s="268"/>
      <c r="C39" s="249"/>
      <c r="D39" s="249"/>
      <c r="E39" s="249"/>
      <c r="F39" s="249"/>
      <c r="G39" s="249"/>
      <c r="H39" s="249"/>
      <c r="I39" s="249"/>
      <c r="J39" s="249"/>
      <c r="K39" s="249"/>
      <c r="L39" s="249"/>
      <c r="M39" s="249"/>
      <c r="N39" s="249"/>
      <c r="O39" s="249"/>
      <c r="P39" s="249"/>
      <c r="Q39" s="249"/>
      <c r="R39" s="249"/>
      <c r="S39" s="249"/>
      <c r="T39" s="249"/>
      <c r="U39" s="249"/>
      <c r="V39" s="249"/>
      <c r="W39" s="249"/>
      <c r="X39" s="249"/>
      <c r="Y39" s="269"/>
      <c r="Z39" s="221"/>
      <c r="AA39" s="221"/>
      <c r="AB39" s="221"/>
      <c r="AC39" s="221"/>
      <c r="AD39" s="221"/>
      <c r="AE39" s="221"/>
      <c r="AF39" s="221"/>
      <c r="AG39" s="221"/>
      <c r="AH39" s="221"/>
      <c r="AI39" s="221"/>
      <c r="AJ39" s="221"/>
      <c r="AK39" s="221"/>
      <c r="AL39" s="221"/>
      <c r="AM39" s="221"/>
      <c r="AN39" s="221"/>
      <c r="AO39" s="221"/>
      <c r="AP39" s="221"/>
      <c r="AQ39" s="221"/>
      <c r="AT39" s="3"/>
      <c r="AU39" s="26">
        <f t="shared" si="162"/>
        <v>120</v>
      </c>
      <c r="AV39" s="27" t="str">
        <f t="shared" si="21"/>
        <v>(3050)</v>
      </c>
      <c r="AW39" s="18"/>
      <c r="AX39" s="19">
        <f t="shared" si="22"/>
        <v>2.9085833333333335</v>
      </c>
      <c r="AY39" s="28" t="str">
        <f t="shared" si="23"/>
        <v>(0.27)</v>
      </c>
      <c r="AZ39" s="21">
        <v>2</v>
      </c>
      <c r="BA39" s="21">
        <f t="shared" si="24"/>
        <v>3.5</v>
      </c>
      <c r="BB39" s="29">
        <v>0</v>
      </c>
      <c r="BC39" s="21">
        <f t="shared" si="25"/>
        <v>0</v>
      </c>
      <c r="BD39" s="29">
        <v>0</v>
      </c>
      <c r="BE39" s="21">
        <f t="shared" si="26"/>
        <v>0</v>
      </c>
      <c r="BF39" s="21">
        <f t="shared" si="27"/>
        <v>3.5</v>
      </c>
      <c r="BG39" s="22">
        <f t="shared" si="28"/>
        <v>5.5</v>
      </c>
      <c r="BH39" s="205">
        <f t="shared" si="29"/>
        <v>4.4950833333333335</v>
      </c>
      <c r="BI39" s="206" t="str">
        <f t="shared" si="30"/>
        <v>(0.42)</v>
      </c>
      <c r="BJ39" s="207">
        <v>2</v>
      </c>
      <c r="BK39" s="207">
        <f t="shared" si="31"/>
        <v>3.5</v>
      </c>
      <c r="BL39" s="207">
        <v>0</v>
      </c>
      <c r="BM39" s="207">
        <f t="shared" si="32"/>
        <v>0</v>
      </c>
      <c r="BN39" s="207">
        <v>0</v>
      </c>
      <c r="BO39" s="207">
        <f t="shared" si="33"/>
        <v>0</v>
      </c>
      <c r="BP39" s="207">
        <f t="shared" si="34"/>
        <v>3.5</v>
      </c>
      <c r="BQ39" s="208">
        <f t="shared" si="35"/>
        <v>8.5</v>
      </c>
      <c r="BR39" s="205">
        <f t="shared" si="36"/>
        <v>7.6680833333333327</v>
      </c>
      <c r="BS39" s="206" t="str">
        <f t="shared" si="37"/>
        <v>(0.71)</v>
      </c>
      <c r="BT39" s="207">
        <v>2</v>
      </c>
      <c r="BU39" s="207">
        <f t="shared" si="38"/>
        <v>3.5</v>
      </c>
      <c r="BV39" s="207">
        <v>0</v>
      </c>
      <c r="BW39" s="207">
        <f t="shared" si="39"/>
        <v>0</v>
      </c>
      <c r="BX39" s="207">
        <v>0</v>
      </c>
      <c r="BY39" s="207">
        <f t="shared" si="40"/>
        <v>0</v>
      </c>
      <c r="BZ39" s="207">
        <f t="shared" si="41"/>
        <v>3.5</v>
      </c>
      <c r="CA39" s="208">
        <f t="shared" si="42"/>
        <v>14.5</v>
      </c>
      <c r="CB39" s="205">
        <f t="shared" si="43"/>
        <v>10.841083333333334</v>
      </c>
      <c r="CC39" s="206" t="str">
        <f t="shared" si="44"/>
        <v>(1.01)</v>
      </c>
      <c r="CD39" s="207">
        <v>2</v>
      </c>
      <c r="CE39" s="207">
        <f t="shared" si="45"/>
        <v>3.5</v>
      </c>
      <c r="CF39" s="207">
        <v>0</v>
      </c>
      <c r="CG39" s="207">
        <f t="shared" si="46"/>
        <v>0</v>
      </c>
      <c r="CH39" s="207">
        <v>0</v>
      </c>
      <c r="CI39" s="207">
        <f t="shared" si="47"/>
        <v>0</v>
      </c>
      <c r="CJ39" s="207">
        <f t="shared" si="48"/>
        <v>3.5</v>
      </c>
      <c r="CK39" s="208">
        <f t="shared" si="49"/>
        <v>20.5</v>
      </c>
      <c r="CL39" s="205">
        <f t="shared" si="50"/>
        <v>14.014083333333334</v>
      </c>
      <c r="CM39" s="206" t="str">
        <f t="shared" si="51"/>
        <v>(1.3)</v>
      </c>
      <c r="CN39" s="207">
        <v>2</v>
      </c>
      <c r="CO39" s="207">
        <f t="shared" si="52"/>
        <v>3.5</v>
      </c>
      <c r="CP39" s="207">
        <v>0</v>
      </c>
      <c r="CQ39" s="207">
        <f t="shared" si="53"/>
        <v>0</v>
      </c>
      <c r="CR39" s="207">
        <v>0</v>
      </c>
      <c r="CS39" s="207">
        <f t="shared" si="54"/>
        <v>0</v>
      </c>
      <c r="CT39" s="207">
        <f t="shared" si="55"/>
        <v>3.5</v>
      </c>
      <c r="CU39" s="208">
        <f t="shared" si="56"/>
        <v>26.5</v>
      </c>
      <c r="CV39" s="205">
        <f t="shared" si="57"/>
        <v>17.187083333333334</v>
      </c>
      <c r="CW39" s="206" t="str">
        <f t="shared" si="58"/>
        <v>(1.6)</v>
      </c>
      <c r="CX39" s="207">
        <v>2</v>
      </c>
      <c r="CY39" s="207">
        <f t="shared" si="59"/>
        <v>3.5</v>
      </c>
      <c r="CZ39" s="207">
        <v>0</v>
      </c>
      <c r="DA39" s="207">
        <f t="shared" si="60"/>
        <v>0</v>
      </c>
      <c r="DB39" s="207">
        <v>0</v>
      </c>
      <c r="DC39" s="207">
        <f t="shared" si="61"/>
        <v>0</v>
      </c>
      <c r="DD39" s="207">
        <f t="shared" si="62"/>
        <v>3.5</v>
      </c>
      <c r="DE39" s="208">
        <f t="shared" si="63"/>
        <v>32.5</v>
      </c>
      <c r="DF39" s="205">
        <f t="shared" si="64"/>
        <v>20.360083333333332</v>
      </c>
      <c r="DG39" s="206" t="str">
        <f t="shared" si="65"/>
        <v>(1.89)</v>
      </c>
      <c r="DH39" s="207">
        <v>2</v>
      </c>
      <c r="DI39" s="207">
        <f t="shared" si="66"/>
        <v>3.5</v>
      </c>
      <c r="DJ39" s="207">
        <v>0</v>
      </c>
      <c r="DK39" s="207">
        <f t="shared" si="67"/>
        <v>0</v>
      </c>
      <c r="DL39" s="207">
        <v>0</v>
      </c>
      <c r="DM39" s="207">
        <f t="shared" si="68"/>
        <v>0</v>
      </c>
      <c r="DN39" s="207">
        <f t="shared" si="69"/>
        <v>3.5</v>
      </c>
      <c r="DO39" s="208">
        <f t="shared" si="70"/>
        <v>38.5</v>
      </c>
      <c r="DP39" s="205">
        <f t="shared" si="71"/>
        <v>23.533083333333334</v>
      </c>
      <c r="DQ39" s="206" t="str">
        <f t="shared" si="72"/>
        <v>(2.19)</v>
      </c>
      <c r="DR39" s="207">
        <v>2</v>
      </c>
      <c r="DS39" s="207">
        <f t="shared" si="73"/>
        <v>3.5</v>
      </c>
      <c r="DT39" s="207">
        <v>0</v>
      </c>
      <c r="DU39" s="207">
        <f t="shared" si="74"/>
        <v>0</v>
      </c>
      <c r="DV39" s="207">
        <v>0</v>
      </c>
      <c r="DW39" s="207">
        <f t="shared" si="75"/>
        <v>0</v>
      </c>
      <c r="DX39" s="207">
        <f t="shared" si="76"/>
        <v>3.5</v>
      </c>
      <c r="DY39" s="208">
        <f t="shared" si="77"/>
        <v>44.5</v>
      </c>
      <c r="DZ39" s="205">
        <f t="shared" si="78"/>
        <v>26.177250000000001</v>
      </c>
      <c r="EA39" s="206" t="str">
        <f t="shared" si="79"/>
        <v>(2.43)</v>
      </c>
      <c r="EB39" s="207">
        <v>2</v>
      </c>
      <c r="EC39" s="207">
        <f t="shared" si="80"/>
        <v>3.5</v>
      </c>
      <c r="ED39" s="207">
        <v>0</v>
      </c>
      <c r="EE39" s="207">
        <f t="shared" si="81"/>
        <v>0</v>
      </c>
      <c r="EF39" s="207">
        <v>1</v>
      </c>
      <c r="EG39" s="207">
        <f t="shared" si="82"/>
        <v>1</v>
      </c>
      <c r="EH39" s="207">
        <f t="shared" si="83"/>
        <v>4.5</v>
      </c>
      <c r="EI39" s="208">
        <f t="shared" si="84"/>
        <v>49.5</v>
      </c>
      <c r="EJ39" s="205">
        <f t="shared" si="85"/>
        <v>29.350249999999999</v>
      </c>
      <c r="EK39" s="206" t="str">
        <f t="shared" si="86"/>
        <v>(2.73)</v>
      </c>
      <c r="EL39" s="207">
        <v>2</v>
      </c>
      <c r="EM39" s="207">
        <f t="shared" si="87"/>
        <v>3.5</v>
      </c>
      <c r="EN39" s="207">
        <v>0</v>
      </c>
      <c r="EO39" s="207">
        <f t="shared" si="88"/>
        <v>0</v>
      </c>
      <c r="EP39" s="207">
        <v>1</v>
      </c>
      <c r="EQ39" s="207">
        <f t="shared" si="89"/>
        <v>1</v>
      </c>
      <c r="ER39" s="207">
        <f t="shared" si="90"/>
        <v>4.5</v>
      </c>
      <c r="ES39" s="208">
        <f t="shared" si="91"/>
        <v>55.5</v>
      </c>
      <c r="ET39" s="205">
        <f t="shared" si="92"/>
        <v>32.523249999999997</v>
      </c>
      <c r="EU39" s="206" t="str">
        <f t="shared" si="93"/>
        <v>(3.02)</v>
      </c>
      <c r="EV39" s="207">
        <v>2</v>
      </c>
      <c r="EW39" s="207">
        <f t="shared" si="94"/>
        <v>3.5</v>
      </c>
      <c r="EX39" s="207">
        <v>0</v>
      </c>
      <c r="EY39" s="207">
        <f t="shared" si="95"/>
        <v>0</v>
      </c>
      <c r="EZ39" s="207">
        <v>1</v>
      </c>
      <c r="FA39" s="207">
        <f t="shared" si="96"/>
        <v>1</v>
      </c>
      <c r="FB39" s="207">
        <f t="shared" si="97"/>
        <v>4.5</v>
      </c>
      <c r="FC39" s="208">
        <f t="shared" si="98"/>
        <v>61.5</v>
      </c>
      <c r="FD39" s="205">
        <f t="shared" si="99"/>
        <v>35.63014583333333</v>
      </c>
      <c r="FE39" s="206" t="str">
        <f t="shared" si="100"/>
        <v>(3.31)</v>
      </c>
      <c r="FF39" s="207">
        <v>2</v>
      </c>
      <c r="FG39" s="207">
        <f t="shared" si="101"/>
        <v>3.5</v>
      </c>
      <c r="FH39" s="207">
        <v>1</v>
      </c>
      <c r="FI39" s="207">
        <f t="shared" si="102"/>
        <v>1.125</v>
      </c>
      <c r="FJ39" s="207">
        <v>0</v>
      </c>
      <c r="FK39" s="207">
        <f t="shared" si="103"/>
        <v>0</v>
      </c>
      <c r="FL39" s="207">
        <f t="shared" si="104"/>
        <v>4.625</v>
      </c>
      <c r="FM39" s="208">
        <f t="shared" si="105"/>
        <v>67.375</v>
      </c>
      <c r="FN39" s="30"/>
      <c r="FO39" s="30"/>
      <c r="FP39" s="31"/>
      <c r="FQ39" s="31"/>
      <c r="FR39" s="31"/>
      <c r="FS39" s="31"/>
      <c r="FT39" s="31"/>
      <c r="FU39" s="31"/>
      <c r="FV39" s="30"/>
      <c r="FW39" s="30"/>
      <c r="FX39" s="30"/>
      <c r="FY39" s="30"/>
      <c r="FZ39" s="30"/>
      <c r="GA39" s="30"/>
      <c r="GB39" s="30"/>
      <c r="GC39" s="30"/>
      <c r="GD39" s="30"/>
      <c r="GE39" s="30"/>
      <c r="GF39" s="30"/>
      <c r="GG39" s="30"/>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3"/>
      <c r="IK39" s="31"/>
      <c r="IL39" s="31"/>
      <c r="IM39" s="31"/>
      <c r="IN39" s="32"/>
      <c r="IO39" s="32"/>
      <c r="IP39" s="32"/>
      <c r="IQ39" s="409">
        <v>28</v>
      </c>
      <c r="IR39" s="410">
        <v>2.645</v>
      </c>
      <c r="IS39" s="410">
        <v>2.645</v>
      </c>
      <c r="IT39" s="410">
        <v>2.0920000000000001</v>
      </c>
      <c r="IU39" s="410">
        <v>1.75</v>
      </c>
      <c r="IV39" s="410">
        <v>1</v>
      </c>
      <c r="IW39" s="410">
        <v>1.125</v>
      </c>
      <c r="IX39" s="7"/>
    </row>
    <row r="40" spans="2:258" ht="15.75" thickBot="1" x14ac:dyDescent="0.3">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21"/>
      <c r="Z40" s="221"/>
      <c r="AA40" s="221"/>
      <c r="AB40" s="221"/>
      <c r="AC40" s="221"/>
      <c r="AD40" s="221"/>
      <c r="AE40" s="221"/>
      <c r="AF40" s="221"/>
      <c r="AG40" s="221"/>
      <c r="AH40" s="221"/>
      <c r="AI40" s="221"/>
      <c r="AJ40" s="221"/>
      <c r="AK40" s="221"/>
      <c r="AL40" s="221"/>
      <c r="AM40" s="221"/>
      <c r="AN40" s="221"/>
      <c r="AO40" s="221"/>
      <c r="AP40" s="221"/>
      <c r="AQ40" s="221"/>
      <c r="AT40" s="34"/>
      <c r="AU40" s="35"/>
      <c r="AV40" s="35"/>
      <c r="AW40" s="35"/>
      <c r="AX40" s="35"/>
      <c r="AY40" s="35"/>
      <c r="AZ40" s="35"/>
      <c r="BA40" s="35"/>
      <c r="BB40" s="35"/>
      <c r="BC40" s="35"/>
      <c r="BD40" s="35"/>
      <c r="BE40" s="35"/>
      <c r="BF40" s="35"/>
      <c r="BG40" s="35"/>
      <c r="BH40" s="36"/>
      <c r="BI40" s="37"/>
      <c r="BJ40" s="37"/>
      <c r="BK40" s="37"/>
      <c r="BL40" s="37"/>
      <c r="BM40" s="37"/>
      <c r="BN40" s="37"/>
      <c r="BO40" s="37"/>
      <c r="BP40" s="37"/>
      <c r="BQ40" s="37"/>
      <c r="BR40" s="36"/>
      <c r="BS40" s="37"/>
      <c r="BT40" s="37"/>
      <c r="BU40" s="37"/>
      <c r="BV40" s="37"/>
      <c r="BW40" s="37"/>
      <c r="BX40" s="37"/>
      <c r="BY40" s="37"/>
      <c r="BZ40" s="37"/>
      <c r="CA40" s="37"/>
      <c r="CB40" s="36"/>
      <c r="CC40" s="37"/>
      <c r="CD40" s="37"/>
      <c r="CE40" s="37"/>
      <c r="CF40" s="37"/>
      <c r="CG40" s="37"/>
      <c r="CH40" s="37"/>
      <c r="CI40" s="37"/>
      <c r="CJ40" s="37"/>
      <c r="CK40" s="37"/>
      <c r="CL40" s="36"/>
      <c r="CM40" s="37"/>
      <c r="CN40" s="37"/>
      <c r="CO40" s="37"/>
      <c r="CP40" s="37"/>
      <c r="CQ40" s="37"/>
      <c r="CR40" s="37"/>
      <c r="CS40" s="37"/>
      <c r="CT40" s="37"/>
      <c r="CU40" s="37"/>
      <c r="CV40" s="36"/>
      <c r="CW40" s="37"/>
      <c r="CX40" s="37"/>
      <c r="CY40" s="37"/>
      <c r="CZ40" s="37"/>
      <c r="DA40" s="37"/>
      <c r="DB40" s="37"/>
      <c r="DC40" s="37"/>
      <c r="DD40" s="37"/>
      <c r="DE40" s="37"/>
      <c r="DF40" s="36"/>
      <c r="DG40" s="37"/>
      <c r="DH40" s="37"/>
      <c r="DI40" s="37"/>
      <c r="DJ40" s="37"/>
      <c r="DK40" s="37"/>
      <c r="DL40" s="37"/>
      <c r="DM40" s="37"/>
      <c r="DN40" s="37"/>
      <c r="DO40" s="37"/>
      <c r="DP40" s="36"/>
      <c r="DQ40" s="37"/>
      <c r="DR40" s="37"/>
      <c r="DS40" s="37"/>
      <c r="DT40" s="37"/>
      <c r="DU40" s="37"/>
      <c r="DV40" s="37"/>
      <c r="DW40" s="37"/>
      <c r="DX40" s="37"/>
      <c r="DY40" s="37"/>
      <c r="DZ40" s="36"/>
      <c r="EA40" s="37"/>
      <c r="EB40" s="37"/>
      <c r="EC40" s="37"/>
      <c r="ED40" s="37"/>
      <c r="EE40" s="37"/>
      <c r="EF40" s="37"/>
      <c r="EG40" s="37"/>
      <c r="EH40" s="37"/>
      <c r="EI40" s="37"/>
      <c r="EJ40" s="36"/>
      <c r="EK40" s="37"/>
      <c r="EL40" s="37"/>
      <c r="EM40" s="37"/>
      <c r="EN40" s="37"/>
      <c r="EO40" s="37"/>
      <c r="EP40" s="37"/>
      <c r="EQ40" s="37"/>
      <c r="ER40" s="37"/>
      <c r="ES40" s="37"/>
      <c r="ET40" s="36"/>
      <c r="EU40" s="37"/>
      <c r="EV40" s="37"/>
      <c r="EW40" s="37"/>
      <c r="EX40" s="37"/>
      <c r="EY40" s="37"/>
      <c r="EZ40" s="37"/>
      <c r="FA40" s="37"/>
      <c r="FB40" s="37"/>
      <c r="FC40" s="37"/>
      <c r="FD40" s="36"/>
      <c r="FE40" s="37"/>
      <c r="FF40" s="37"/>
      <c r="FG40" s="37"/>
      <c r="FH40" s="37"/>
      <c r="FI40" s="37"/>
      <c r="FJ40" s="37"/>
      <c r="FK40" s="37"/>
      <c r="FL40" s="37"/>
      <c r="FM40" s="37"/>
      <c r="FN40" s="36"/>
      <c r="FO40" s="37"/>
      <c r="FP40" s="37"/>
      <c r="FQ40" s="37"/>
      <c r="FR40" s="37"/>
      <c r="FS40" s="37"/>
      <c r="FT40" s="37"/>
      <c r="FU40" s="37"/>
      <c r="FV40" s="161"/>
      <c r="FW40" s="161"/>
      <c r="FX40" s="161"/>
      <c r="FY40" s="161"/>
      <c r="FZ40" s="161"/>
      <c r="GA40" s="161"/>
      <c r="GB40" s="161"/>
      <c r="GC40" s="161"/>
      <c r="GD40" s="161"/>
      <c r="GE40" s="161"/>
      <c r="GF40" s="161"/>
      <c r="GG40" s="161"/>
      <c r="GH40" s="36"/>
      <c r="GI40" s="37"/>
      <c r="GJ40" s="37"/>
      <c r="GK40" s="37"/>
      <c r="GL40" s="37"/>
      <c r="GM40" s="37"/>
      <c r="GN40" s="161"/>
      <c r="GO40" s="161"/>
      <c r="GP40" s="161"/>
      <c r="GQ40" s="161"/>
      <c r="GR40" s="161"/>
      <c r="GS40" s="161"/>
      <c r="GT40" s="161"/>
      <c r="GU40" s="161"/>
      <c r="GV40" s="161"/>
      <c r="GW40" s="161"/>
      <c r="GX40" s="161"/>
      <c r="GY40" s="161"/>
      <c r="GZ40" s="161"/>
      <c r="HA40" s="161"/>
      <c r="HB40" s="161"/>
      <c r="HC40" s="161"/>
      <c r="HD40" s="161"/>
      <c r="HE40" s="161"/>
      <c r="HF40" s="161"/>
      <c r="HG40" s="161"/>
      <c r="HH40" s="161"/>
      <c r="HI40" s="161"/>
      <c r="HJ40" s="161"/>
      <c r="HK40" s="161"/>
      <c r="HL40" s="36"/>
      <c r="HM40" s="37"/>
      <c r="HN40" s="37"/>
      <c r="HO40" s="37"/>
      <c r="HP40" s="37"/>
      <c r="HQ40" s="37"/>
      <c r="HR40" s="37"/>
      <c r="HS40" s="37"/>
      <c r="HT40" s="162"/>
      <c r="HU40" s="162"/>
      <c r="HV40" s="162"/>
      <c r="HW40" s="162"/>
      <c r="HX40" s="162"/>
      <c r="HY40" s="162"/>
      <c r="HZ40" s="162"/>
      <c r="IA40" s="162"/>
      <c r="IB40" s="162"/>
      <c r="IC40" s="162"/>
      <c r="ID40" s="162"/>
      <c r="IE40" s="162"/>
      <c r="IF40" s="36"/>
      <c r="IG40" s="37"/>
      <c r="IH40" s="37"/>
      <c r="II40" s="37"/>
      <c r="IJ40" s="37"/>
      <c r="IK40" s="37"/>
      <c r="IL40" s="37"/>
      <c r="IM40" s="37"/>
      <c r="IN40" s="35"/>
      <c r="IO40" s="35"/>
      <c r="IP40" s="35"/>
      <c r="IQ40" s="35"/>
      <c r="IR40" s="35"/>
      <c r="IS40" s="35"/>
      <c r="IT40" s="35"/>
      <c r="IU40" s="35"/>
      <c r="IV40" s="35"/>
      <c r="IW40" s="35"/>
      <c r="IX40" s="38"/>
    </row>
    <row r="41" spans="2:258" ht="16.5" thickTop="1" thickBot="1" x14ac:dyDescent="0.3">
      <c r="B41" s="270"/>
      <c r="C41" s="270"/>
      <c r="D41" s="270"/>
      <c r="E41" s="270"/>
      <c r="F41" s="270"/>
      <c r="G41" s="270"/>
      <c r="H41" s="270"/>
      <c r="I41" s="270"/>
      <c r="J41" s="270"/>
      <c r="K41" s="270"/>
      <c r="L41" s="270"/>
      <c r="M41" s="270"/>
      <c r="N41" s="270"/>
      <c r="O41" s="270"/>
      <c r="P41" s="270"/>
      <c r="Q41" s="270"/>
      <c r="R41" s="270"/>
      <c r="S41" s="270"/>
      <c r="T41" s="270"/>
      <c r="U41" s="270"/>
      <c r="V41" s="270"/>
      <c r="W41" s="270"/>
      <c r="X41" s="221"/>
      <c r="Y41" s="221"/>
      <c r="Z41" s="221"/>
      <c r="AA41" s="221"/>
      <c r="AB41" s="221"/>
      <c r="AC41" s="221"/>
      <c r="AD41" s="221"/>
      <c r="AE41" s="221"/>
      <c r="AF41" s="221"/>
      <c r="AG41" s="221"/>
      <c r="AH41" s="221"/>
      <c r="AI41" s="221"/>
      <c r="AJ41" s="221"/>
      <c r="AK41" s="221"/>
      <c r="AL41" s="221"/>
      <c r="AM41" s="221"/>
      <c r="AN41" s="221"/>
      <c r="AO41" s="221"/>
      <c r="AP41" s="221"/>
      <c r="AQ41" s="221"/>
      <c r="BE41" s="2"/>
    </row>
    <row r="42" spans="2:258" ht="24" thickBot="1" x14ac:dyDescent="0.4">
      <c r="B42" s="271" t="s">
        <v>70</v>
      </c>
      <c r="C42" s="272"/>
      <c r="D42" s="272"/>
      <c r="E42" s="272"/>
      <c r="F42" s="272"/>
      <c r="G42" s="272"/>
      <c r="H42" s="272"/>
      <c r="I42" s="272"/>
      <c r="J42" s="272"/>
      <c r="K42" s="272"/>
      <c r="L42" s="273"/>
      <c r="M42" s="221"/>
      <c r="N42" s="245" t="s">
        <v>117</v>
      </c>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5"/>
      <c r="BE42" s="2"/>
      <c r="BF42" s="6"/>
      <c r="BG42" s="6"/>
      <c r="BH42" s="6"/>
      <c r="BI42" s="6"/>
      <c r="BJ42" s="6"/>
      <c r="BK42" s="6"/>
      <c r="BL42" s="6"/>
      <c r="BM42" s="6"/>
      <c r="BN42" s="5"/>
      <c r="BO42" s="6"/>
      <c r="BP42" s="6"/>
      <c r="BQ42" s="6"/>
      <c r="BR42" s="6"/>
      <c r="BS42" s="6"/>
      <c r="BT42" s="6"/>
      <c r="BU42" s="6"/>
      <c r="BV42" s="6"/>
      <c r="BW42" s="6"/>
      <c r="BX42" s="5"/>
      <c r="BY42" s="6"/>
      <c r="BZ42" s="6"/>
      <c r="CA42" s="6"/>
      <c r="CB42" s="6"/>
      <c r="CC42" s="6"/>
      <c r="CD42" s="6"/>
      <c r="CE42" s="6"/>
      <c r="CF42" s="6"/>
      <c r="CG42" s="6"/>
      <c r="CH42" s="5"/>
      <c r="CI42" s="6"/>
      <c r="CJ42" s="6"/>
      <c r="CK42" s="6"/>
      <c r="CL42" s="6"/>
      <c r="CM42" s="6"/>
      <c r="CN42" s="6"/>
      <c r="CO42" s="6"/>
      <c r="CP42" s="6"/>
      <c r="CQ42" s="6"/>
      <c r="CR42" s="5"/>
      <c r="CS42" s="6"/>
      <c r="CT42" s="6"/>
      <c r="CU42" s="6"/>
      <c r="CV42" s="6"/>
      <c r="CW42" s="6"/>
      <c r="CX42" s="6"/>
      <c r="CY42" s="6"/>
      <c r="CZ42" s="6"/>
      <c r="DA42" s="6"/>
      <c r="DB42" s="5"/>
      <c r="DC42" s="6"/>
      <c r="DD42" s="6"/>
      <c r="DE42" s="6"/>
      <c r="DF42" s="6"/>
      <c r="DG42" s="6"/>
      <c r="DH42" s="6"/>
      <c r="DI42" s="6"/>
      <c r="DJ42" s="6"/>
      <c r="DK42" s="6"/>
      <c r="DL42" s="5"/>
      <c r="DM42" s="6"/>
      <c r="DN42" s="6"/>
      <c r="DO42" s="6"/>
      <c r="DP42" s="6"/>
      <c r="DQ42" s="6"/>
      <c r="DR42" s="6"/>
      <c r="DS42" s="6"/>
      <c r="DT42" s="6"/>
      <c r="DU42" s="6"/>
      <c r="DV42" s="5"/>
      <c r="DW42" s="6"/>
      <c r="DX42" s="6"/>
      <c r="DY42" s="6"/>
      <c r="DZ42" s="6"/>
      <c r="EA42" s="6"/>
      <c r="EB42" s="6"/>
      <c r="EC42" s="6"/>
      <c r="ED42" s="6"/>
      <c r="EE42" s="6"/>
      <c r="EF42" s="5"/>
      <c r="EG42" s="6"/>
      <c r="EH42" s="6"/>
      <c r="EI42" s="6"/>
      <c r="EJ42" s="6"/>
      <c r="EK42" s="6"/>
      <c r="EL42" s="6"/>
      <c r="EM42" s="6"/>
      <c r="EN42" s="6"/>
      <c r="EO42" s="6"/>
      <c r="EP42" s="5"/>
      <c r="EQ42" s="6"/>
      <c r="ER42" s="6"/>
      <c r="ES42" s="6"/>
      <c r="ET42" s="6"/>
      <c r="EU42" s="6"/>
      <c r="EV42" s="6"/>
      <c r="EW42" s="6"/>
      <c r="EX42" s="6"/>
      <c r="EY42" s="6"/>
      <c r="EZ42" s="5"/>
      <c r="FA42" s="6"/>
      <c r="FB42" s="6"/>
      <c r="FC42" s="6"/>
      <c r="FD42" s="6"/>
      <c r="FE42" s="6"/>
      <c r="FF42" s="6"/>
      <c r="FG42" s="6"/>
      <c r="FH42" s="6"/>
      <c r="FI42" s="6"/>
      <c r="FJ42" s="5"/>
      <c r="FK42" s="6"/>
      <c r="FL42" s="6"/>
      <c r="FM42" s="6"/>
      <c r="FN42" s="6"/>
      <c r="FO42" s="6"/>
      <c r="FP42" s="6"/>
      <c r="FQ42" s="6"/>
      <c r="FR42" s="6"/>
      <c r="FS42" s="6"/>
      <c r="FT42" s="5"/>
      <c r="FU42" s="6"/>
      <c r="FV42" s="6"/>
      <c r="FW42" s="6"/>
      <c r="FX42" s="6"/>
      <c r="FY42" s="6"/>
      <c r="FZ42" s="6"/>
      <c r="GA42" s="6"/>
      <c r="GB42" s="6"/>
      <c r="GC42" s="6"/>
      <c r="GD42" s="5"/>
      <c r="GE42" s="6"/>
      <c r="GF42" s="6"/>
      <c r="GG42" s="6"/>
      <c r="GH42" s="6"/>
      <c r="GI42" s="6"/>
      <c r="GJ42" s="6"/>
      <c r="GK42" s="6"/>
      <c r="GL42" s="6"/>
      <c r="GM42" s="6"/>
      <c r="GN42" s="5"/>
      <c r="GO42" s="6"/>
      <c r="GP42" s="6"/>
      <c r="GQ42" s="6"/>
      <c r="GR42" s="6"/>
      <c r="GS42" s="6"/>
      <c r="GT42" s="6"/>
      <c r="GU42" s="6"/>
      <c r="GV42" s="4"/>
      <c r="GW42" s="4"/>
      <c r="GX42" s="4"/>
      <c r="GY42" s="4"/>
      <c r="GZ42" s="4"/>
      <c r="HA42" s="4"/>
      <c r="HB42" s="4"/>
      <c r="HC42" s="4"/>
      <c r="HD42" s="4"/>
      <c r="HE42" s="4"/>
      <c r="HF42" s="4"/>
    </row>
    <row r="43" spans="2:258" ht="19.5" thickBot="1" x14ac:dyDescent="0.35">
      <c r="B43" s="276" t="s">
        <v>38</v>
      </c>
      <c r="C43" s="277" t="e">
        <f>C9</f>
        <v>#REF!</v>
      </c>
      <c r="D43" s="278"/>
      <c r="E43" s="278"/>
      <c r="F43" s="278"/>
      <c r="G43" s="278"/>
      <c r="H43" s="278"/>
      <c r="I43" s="278"/>
      <c r="J43" s="278"/>
      <c r="K43" s="278"/>
      <c r="L43" s="279"/>
      <c r="M43" s="221"/>
      <c r="N43" s="973" t="s">
        <v>71</v>
      </c>
      <c r="O43" s="349"/>
      <c r="P43" s="350"/>
      <c r="Q43" s="351">
        <f>F11</f>
        <v>9</v>
      </c>
      <c r="R43" s="280">
        <v>12</v>
      </c>
      <c r="S43" s="280">
        <f t="shared" ref="S43:AJ43" si="163">R43+6</f>
        <v>18</v>
      </c>
      <c r="T43" s="280">
        <f t="shared" si="163"/>
        <v>24</v>
      </c>
      <c r="U43" s="280">
        <f t="shared" si="163"/>
        <v>30</v>
      </c>
      <c r="V43" s="280">
        <f t="shared" si="163"/>
        <v>36</v>
      </c>
      <c r="W43" s="280">
        <f t="shared" si="163"/>
        <v>42</v>
      </c>
      <c r="X43" s="281">
        <f t="shared" si="163"/>
        <v>48</v>
      </c>
      <c r="Y43" s="280">
        <f t="shared" si="163"/>
        <v>54</v>
      </c>
      <c r="Z43" s="280">
        <f t="shared" si="163"/>
        <v>60</v>
      </c>
      <c r="AA43" s="280">
        <f t="shared" si="163"/>
        <v>66</v>
      </c>
      <c r="AB43" s="280">
        <f t="shared" si="163"/>
        <v>72</v>
      </c>
      <c r="AC43" s="280">
        <f t="shared" si="163"/>
        <v>78</v>
      </c>
      <c r="AD43" s="281">
        <f t="shared" si="163"/>
        <v>84</v>
      </c>
      <c r="AE43" s="280">
        <f t="shared" si="163"/>
        <v>90</v>
      </c>
      <c r="AF43" s="280">
        <f t="shared" si="163"/>
        <v>96</v>
      </c>
      <c r="AG43" s="280">
        <f t="shared" si="163"/>
        <v>102</v>
      </c>
      <c r="AH43" s="280">
        <f t="shared" si="163"/>
        <v>108</v>
      </c>
      <c r="AI43" s="280">
        <f t="shared" si="163"/>
        <v>114</v>
      </c>
      <c r="AJ43" s="281">
        <f t="shared" si="163"/>
        <v>120</v>
      </c>
      <c r="AK43" s="246"/>
      <c r="AL43" s="246"/>
      <c r="AM43" s="246"/>
      <c r="AN43" s="246"/>
      <c r="AO43" s="246"/>
      <c r="AP43" s="246"/>
      <c r="AQ43" s="247"/>
    </row>
    <row r="44" spans="2:258" ht="18.75" customHeight="1" thickBot="1" x14ac:dyDescent="0.35">
      <c r="B44" s="282" t="s">
        <v>39</v>
      </c>
      <c r="C44" s="283" t="e">
        <f>F9</f>
        <v>#REF!</v>
      </c>
      <c r="D44" s="270"/>
      <c r="E44" s="284"/>
      <c r="F44" s="284"/>
      <c r="G44" s="284"/>
      <c r="H44" s="284"/>
      <c r="I44" s="284"/>
      <c r="J44" s="284"/>
      <c r="K44" s="284"/>
      <c r="L44" s="285"/>
      <c r="M44" s="221"/>
      <c r="N44" s="974"/>
      <c r="O44" s="352"/>
      <c r="P44" s="286">
        <v>1</v>
      </c>
      <c r="Q44" s="287">
        <v>2</v>
      </c>
      <c r="R44" s="249">
        <v>3</v>
      </c>
      <c r="S44" s="249">
        <v>4</v>
      </c>
      <c r="T44" s="249">
        <v>5</v>
      </c>
      <c r="U44" s="249">
        <v>6</v>
      </c>
      <c r="V44" s="249">
        <v>7</v>
      </c>
      <c r="W44" s="249">
        <v>8</v>
      </c>
      <c r="X44" s="249">
        <v>9</v>
      </c>
      <c r="Y44" s="249">
        <v>10</v>
      </c>
      <c r="Z44" s="249">
        <v>11</v>
      </c>
      <c r="AA44" s="249">
        <v>12</v>
      </c>
      <c r="AB44" s="249">
        <v>13</v>
      </c>
      <c r="AC44" s="249">
        <v>14</v>
      </c>
      <c r="AD44" s="249">
        <v>15</v>
      </c>
      <c r="AE44" s="249">
        <v>16</v>
      </c>
      <c r="AF44" s="249">
        <v>17</v>
      </c>
      <c r="AG44" s="249">
        <v>18</v>
      </c>
      <c r="AH44" s="249">
        <v>19</v>
      </c>
      <c r="AI44" s="249">
        <v>20</v>
      </c>
      <c r="AJ44" s="249">
        <v>21</v>
      </c>
      <c r="AK44" s="249"/>
      <c r="AL44" s="249"/>
      <c r="AM44" s="249"/>
      <c r="AN44" s="249"/>
      <c r="AO44" s="249"/>
      <c r="AP44" s="249"/>
      <c r="AQ44" s="269"/>
    </row>
    <row r="45" spans="2:258" ht="15.75" customHeight="1" thickBot="1" x14ac:dyDescent="0.4">
      <c r="B45" s="288" t="s">
        <v>63</v>
      </c>
      <c r="C45" s="284"/>
      <c r="D45" s="284"/>
      <c r="E45" s="284"/>
      <c r="F45" s="284"/>
      <c r="G45" s="284"/>
      <c r="H45" s="284"/>
      <c r="I45" s="284"/>
      <c r="J45" s="284"/>
      <c r="K45" s="284"/>
      <c r="L45" s="285"/>
      <c r="M45" s="221"/>
      <c r="N45" s="289"/>
      <c r="O45" s="353">
        <f>F12</f>
        <v>9.5</v>
      </c>
      <c r="P45" s="290">
        <v>2</v>
      </c>
      <c r="Q45" s="354"/>
      <c r="R45" s="355"/>
      <c r="S45" s="355"/>
      <c r="T45" s="355"/>
      <c r="U45" s="355"/>
      <c r="V45" s="355"/>
      <c r="W45" s="355"/>
      <c r="X45" s="355"/>
      <c r="Y45" s="355"/>
      <c r="Z45" s="355"/>
      <c r="AA45" s="355"/>
      <c r="AB45" s="355"/>
      <c r="AC45" s="355"/>
      <c r="AD45" s="355"/>
      <c r="AE45" s="355"/>
      <c r="AF45" s="355"/>
      <c r="AG45" s="355"/>
      <c r="AH45" s="355"/>
      <c r="AI45" s="355"/>
      <c r="AJ45" s="355"/>
      <c r="AK45" s="292"/>
      <c r="AL45" s="292"/>
      <c r="AM45" s="292"/>
      <c r="AN45" s="292"/>
      <c r="AO45" s="292"/>
      <c r="AP45" s="292"/>
      <c r="AQ45" s="293"/>
      <c r="IS45" s="135"/>
    </row>
    <row r="46" spans="2:258" ht="15" customHeight="1" thickBot="1" x14ac:dyDescent="0.3">
      <c r="B46" s="294"/>
      <c r="C46" s="270"/>
      <c r="D46" s="284"/>
      <c r="E46" s="284"/>
      <c r="F46" s="284"/>
      <c r="G46" s="284"/>
      <c r="H46" s="284"/>
      <c r="I46" s="284"/>
      <c r="J46" s="284"/>
      <c r="K46" s="284"/>
      <c r="L46" s="285"/>
      <c r="M46" s="221"/>
      <c r="N46" s="295"/>
      <c r="O46" s="296">
        <v>12</v>
      </c>
      <c r="P46" s="297">
        <v>3</v>
      </c>
      <c r="Q46" s="356"/>
      <c r="R46" s="357"/>
      <c r="S46" s="357"/>
      <c r="T46" s="357"/>
      <c r="U46" s="357"/>
      <c r="V46" s="357"/>
      <c r="W46" s="357"/>
      <c r="X46" s="357"/>
      <c r="Y46" s="357"/>
      <c r="Z46" s="357"/>
      <c r="AA46" s="357"/>
      <c r="AB46" s="357"/>
      <c r="AC46" s="357"/>
      <c r="AD46" s="357"/>
      <c r="AE46" s="357"/>
      <c r="AF46" s="357"/>
      <c r="AG46" s="357"/>
      <c r="AH46" s="357"/>
      <c r="AI46" s="357"/>
      <c r="AJ46" s="357"/>
      <c r="AK46" s="250"/>
      <c r="AL46" s="299"/>
      <c r="AM46" s="299" t="e">
        <f>D49</f>
        <v>#REF!</v>
      </c>
      <c r="AN46" s="300" t="e">
        <f>C43</f>
        <v>#REF!</v>
      </c>
      <c r="AO46" s="299" t="e">
        <f>E49</f>
        <v>#REF!</v>
      </c>
      <c r="AP46" s="250"/>
      <c r="AQ46" s="251"/>
      <c r="CL46" s="61"/>
      <c r="CM46" s="61"/>
      <c r="CN46" s="61"/>
      <c r="CO46" s="61"/>
      <c r="CP46" s="61"/>
      <c r="CQ46" s="61"/>
      <c r="CR46" s="61"/>
      <c r="CS46" s="61"/>
    </row>
    <row r="47" spans="2:258" ht="15" customHeight="1" thickBot="1" x14ac:dyDescent="0.3">
      <c r="B47" s="294"/>
      <c r="C47" s="301"/>
      <c r="D47" s="302" t="s">
        <v>32</v>
      </c>
      <c r="E47" s="303"/>
      <c r="F47" s="303"/>
      <c r="G47" s="304"/>
      <c r="H47" s="302" t="s">
        <v>33</v>
      </c>
      <c r="I47" s="305"/>
      <c r="J47" s="284"/>
      <c r="K47" s="284"/>
      <c r="L47" s="285"/>
      <c r="M47" s="221"/>
      <c r="N47" s="258"/>
      <c r="O47" s="296">
        <f t="shared" ref="O47:O64" si="164">O46+6</f>
        <v>18</v>
      </c>
      <c r="P47" s="297">
        <v>4</v>
      </c>
      <c r="Q47" s="356"/>
      <c r="R47" s="357"/>
      <c r="S47" s="357"/>
      <c r="T47" s="357"/>
      <c r="U47" s="357"/>
      <c r="V47" s="357"/>
      <c r="W47" s="357"/>
      <c r="X47" s="357"/>
      <c r="Y47" s="357"/>
      <c r="Z47" s="357"/>
      <c r="AA47" s="357"/>
      <c r="AB47" s="357"/>
      <c r="AC47" s="357"/>
      <c r="AD47" s="357"/>
      <c r="AE47" s="357"/>
      <c r="AF47" s="357"/>
      <c r="AG47" s="357"/>
      <c r="AH47" s="357"/>
      <c r="AI47" s="357"/>
      <c r="AJ47" s="357"/>
      <c r="AK47" s="262"/>
      <c r="AL47" s="299" t="e">
        <f>H49</f>
        <v>#REF!</v>
      </c>
      <c r="AM47" s="300" t="e">
        <f>INDEX(P44:AJ64,$H$50,$D$50)</f>
        <v>#REF!</v>
      </c>
      <c r="AN47" s="300" t="e">
        <f>(((AN46-AM46)/(AO46-AM46))*(AO47-AM47))+AM47</f>
        <v>#REF!</v>
      </c>
      <c r="AO47" s="300" t="e">
        <f>INDEX(P44:AJ64,$H$50,$E$50)</f>
        <v>#REF!</v>
      </c>
      <c r="AP47" s="250"/>
      <c r="AQ47" s="251"/>
    </row>
    <row r="48" spans="2:258" ht="16.5" thickBot="1" x14ac:dyDescent="0.3">
      <c r="B48" s="294"/>
      <c r="C48" s="306"/>
      <c r="D48" s="307" t="s">
        <v>64</v>
      </c>
      <c r="E48" s="308" t="s">
        <v>65</v>
      </c>
      <c r="F48" s="308"/>
      <c r="G48" s="309"/>
      <c r="H48" s="307" t="s">
        <v>64</v>
      </c>
      <c r="I48" s="310" t="s">
        <v>65</v>
      </c>
      <c r="J48" s="284"/>
      <c r="K48" s="284"/>
      <c r="L48" s="285"/>
      <c r="M48" s="221"/>
      <c r="N48" s="258"/>
      <c r="O48" s="296">
        <f t="shared" si="164"/>
        <v>24</v>
      </c>
      <c r="P48" s="297">
        <v>5</v>
      </c>
      <c r="Q48" s="356"/>
      <c r="R48" s="357"/>
      <c r="S48" s="357"/>
      <c r="T48" s="357"/>
      <c r="U48" s="357"/>
      <c r="V48" s="357"/>
      <c r="W48" s="357"/>
      <c r="X48" s="357"/>
      <c r="Y48" s="357"/>
      <c r="Z48" s="357"/>
      <c r="AA48" s="357"/>
      <c r="AB48" s="357"/>
      <c r="AC48" s="357"/>
      <c r="AD48" s="357"/>
      <c r="AE48" s="357"/>
      <c r="AF48" s="357"/>
      <c r="AG48" s="357"/>
      <c r="AH48" s="357"/>
      <c r="AI48" s="357"/>
      <c r="AJ48" s="357"/>
      <c r="AK48" s="250"/>
      <c r="AL48" s="299" t="e">
        <f>C44</f>
        <v>#REF!</v>
      </c>
      <c r="AM48" s="300" t="e">
        <f>(((AL48-AL47)/(AL49-AL47))*(AM49-AM47))+AM47</f>
        <v>#REF!</v>
      </c>
      <c r="AN48" s="311" t="e">
        <f>IF(AND(AN46&gt;72,AL48&gt;72),5/0,IF(AN46=120,AM48,(((AN47-AM47)/(AO47-AM47))*(AO48-AM48))+AM48))</f>
        <v>#REF!</v>
      </c>
      <c r="AO48" s="300" t="e">
        <f>(((AL48-AL47)/(AL49-AL47))*(AO49-AO47))+AO47</f>
        <v>#REF!</v>
      </c>
      <c r="AP48" s="250"/>
      <c r="AQ48" s="251"/>
    </row>
    <row r="49" spans="1:59" ht="16.5" thickBot="1" x14ac:dyDescent="0.3">
      <c r="B49" s="294"/>
      <c r="C49" s="312"/>
      <c r="D49" s="346" t="e">
        <f>IF(AND(C43&lt;12,C43&gt;=F11),F11,FLOOR(C43/6,1)*6)</f>
        <v>#REF!</v>
      </c>
      <c r="E49" s="347" t="e">
        <f>IF(D49&lt;12,12,D49+6)</f>
        <v>#REF!</v>
      </c>
      <c r="F49" s="314"/>
      <c r="G49" s="315"/>
      <c r="H49" s="346" t="e">
        <f>IF(AND(C44&lt;12,C44&gt;=F12),F12,FLOOR(C44/6,1)*6)</f>
        <v>#REF!</v>
      </c>
      <c r="I49" s="348" t="e">
        <f>IF(H49&lt;12,12,H49+6)</f>
        <v>#REF!</v>
      </c>
      <c r="J49" s="284"/>
      <c r="K49" s="284"/>
      <c r="L49" s="285"/>
      <c r="M49" s="221"/>
      <c r="N49" s="258"/>
      <c r="O49" s="296">
        <f t="shared" si="164"/>
        <v>30</v>
      </c>
      <c r="P49" s="297">
        <v>6</v>
      </c>
      <c r="Q49" s="356"/>
      <c r="R49" s="357"/>
      <c r="S49" s="357"/>
      <c r="T49" s="357"/>
      <c r="U49" s="357"/>
      <c r="V49" s="357"/>
      <c r="W49" s="357"/>
      <c r="X49" s="357"/>
      <c r="Y49" s="357"/>
      <c r="Z49" s="357"/>
      <c r="AA49" s="357"/>
      <c r="AB49" s="357"/>
      <c r="AC49" s="357"/>
      <c r="AD49" s="357"/>
      <c r="AE49" s="357"/>
      <c r="AF49" s="357"/>
      <c r="AG49" s="357"/>
      <c r="AH49" s="357"/>
      <c r="AI49" s="357"/>
      <c r="AJ49" s="357"/>
      <c r="AK49" s="250"/>
      <c r="AL49" s="299" t="e">
        <f>I49</f>
        <v>#REF!</v>
      </c>
      <c r="AM49" s="300" t="e">
        <f>INDEX(P44:AJ64,$I$50,$D$50)</f>
        <v>#REF!</v>
      </c>
      <c r="AN49" s="300" t="e">
        <f>(((AN46-AM46)/(AO46-AM46))*(AO49-AM49))+AM49</f>
        <v>#REF!</v>
      </c>
      <c r="AO49" s="300" t="e">
        <f>INDEX(P44:AJ64,$I$50,$E$50)</f>
        <v>#REF!</v>
      </c>
      <c r="AP49" s="250"/>
      <c r="AQ49" s="251"/>
    </row>
    <row r="50" spans="1:59" ht="15.75" thickBot="1" x14ac:dyDescent="0.3">
      <c r="B50" s="294"/>
      <c r="C50" s="312" t="s">
        <v>34</v>
      </c>
      <c r="D50" s="313" t="e">
        <f>HLOOKUP(D49,C15:W16,2)</f>
        <v>#REF!</v>
      </c>
      <c r="E50" s="314" t="e">
        <f>HLOOKUP(E49,C15:W16,2)</f>
        <v>#REF!</v>
      </c>
      <c r="F50" s="314"/>
      <c r="G50" s="315" t="s">
        <v>35</v>
      </c>
      <c r="H50" s="313" t="e">
        <f>VLOOKUP(H49,B16:C36,2)</f>
        <v>#REF!</v>
      </c>
      <c r="I50" s="316" t="e">
        <f>VLOOKUP(I49,B16:C36,2)</f>
        <v>#REF!</v>
      </c>
      <c r="J50" s="284"/>
      <c r="K50" s="284"/>
      <c r="L50" s="285"/>
      <c r="M50" s="221"/>
      <c r="N50" s="258"/>
      <c r="O50" s="296">
        <f t="shared" si="164"/>
        <v>36</v>
      </c>
      <c r="P50" s="297">
        <v>7</v>
      </c>
      <c r="Q50" s="356"/>
      <c r="R50" s="357"/>
      <c r="S50" s="357"/>
      <c r="T50" s="357"/>
      <c r="U50" s="357"/>
      <c r="V50" s="357"/>
      <c r="W50" s="357"/>
      <c r="X50" s="357"/>
      <c r="Y50" s="357"/>
      <c r="Z50" s="357"/>
      <c r="AA50" s="357"/>
      <c r="AB50" s="357"/>
      <c r="AC50" s="357"/>
      <c r="AD50" s="357"/>
      <c r="AE50" s="357"/>
      <c r="AF50" s="357"/>
      <c r="AG50" s="357"/>
      <c r="AH50" s="357"/>
      <c r="AI50" s="357"/>
      <c r="AJ50" s="357"/>
      <c r="AK50" s="250"/>
      <c r="AL50" s="250"/>
      <c r="AM50" s="250"/>
      <c r="AN50" s="250"/>
      <c r="AO50" s="250"/>
      <c r="AP50" s="250"/>
      <c r="AQ50" s="251"/>
    </row>
    <row r="51" spans="1:59" ht="15.75" thickBot="1" x14ac:dyDescent="0.3">
      <c r="B51" s="294"/>
      <c r="C51" s="317"/>
      <c r="D51" s="318"/>
      <c r="E51" s="319"/>
      <c r="F51" s="319"/>
      <c r="G51" s="320"/>
      <c r="H51" s="318"/>
      <c r="I51" s="321"/>
      <c r="J51" s="284"/>
      <c r="K51" s="284"/>
      <c r="L51" s="285"/>
      <c r="M51" s="221"/>
      <c r="N51" s="258"/>
      <c r="O51" s="296">
        <f t="shared" si="164"/>
        <v>42</v>
      </c>
      <c r="P51" s="297">
        <v>8</v>
      </c>
      <c r="Q51" s="356"/>
      <c r="R51" s="357"/>
      <c r="S51" s="357"/>
      <c r="T51" s="357"/>
      <c r="U51" s="357"/>
      <c r="V51" s="357"/>
      <c r="W51" s="357"/>
      <c r="X51" s="357"/>
      <c r="Y51" s="357"/>
      <c r="Z51" s="357"/>
      <c r="AA51" s="357"/>
      <c r="AB51" s="357"/>
      <c r="AC51" s="357"/>
      <c r="AD51" s="357"/>
      <c r="AE51" s="357"/>
      <c r="AF51" s="357"/>
      <c r="AG51" s="357"/>
      <c r="AH51" s="357"/>
      <c r="AI51" s="357"/>
      <c r="AJ51" s="357"/>
      <c r="AK51" s="250"/>
      <c r="AL51" s="250"/>
      <c r="AM51" s="250"/>
      <c r="AN51" s="250"/>
      <c r="AO51" s="250"/>
      <c r="AP51" s="250"/>
      <c r="AQ51" s="251"/>
    </row>
    <row r="52" spans="1:59" ht="15.75" thickBot="1" x14ac:dyDescent="0.3">
      <c r="A52" s="71"/>
      <c r="B52" s="294"/>
      <c r="C52" s="284"/>
      <c r="D52" s="284"/>
      <c r="E52" s="284"/>
      <c r="F52" s="284"/>
      <c r="G52" s="284"/>
      <c r="H52" s="284"/>
      <c r="I52" s="284"/>
      <c r="J52" s="284"/>
      <c r="K52" s="284"/>
      <c r="L52" s="285"/>
      <c r="M52" s="221"/>
      <c r="N52" s="258"/>
      <c r="O52" s="296">
        <f t="shared" si="164"/>
        <v>48</v>
      </c>
      <c r="P52" s="297">
        <v>9</v>
      </c>
      <c r="Q52" s="356"/>
      <c r="R52" s="357"/>
      <c r="S52" s="357"/>
      <c r="T52" s="357"/>
      <c r="U52" s="357"/>
      <c r="V52" s="357"/>
      <c r="W52" s="357"/>
      <c r="X52" s="357"/>
      <c r="Y52" s="357"/>
      <c r="Z52" s="357"/>
      <c r="AA52" s="357"/>
      <c r="AB52" s="357"/>
      <c r="AC52" s="357"/>
      <c r="AD52" s="357"/>
      <c r="AE52" s="357"/>
      <c r="AF52" s="357"/>
      <c r="AG52" s="357"/>
      <c r="AH52" s="357"/>
      <c r="AI52" s="357"/>
      <c r="AJ52" s="357"/>
      <c r="AK52" s="250"/>
      <c r="AL52" s="250"/>
      <c r="AM52" s="250"/>
      <c r="AN52" s="250"/>
      <c r="AO52" s="250"/>
      <c r="AP52" s="250"/>
      <c r="AQ52" s="251"/>
    </row>
    <row r="53" spans="1:59" ht="21.75" thickBot="1" x14ac:dyDescent="0.4">
      <c r="B53" s="322" t="s">
        <v>57</v>
      </c>
      <c r="C53" s="284"/>
      <c r="D53" s="270"/>
      <c r="E53" s="284"/>
      <c r="F53" s="284"/>
      <c r="G53" s="284"/>
      <c r="H53" s="284"/>
      <c r="I53" s="284"/>
      <c r="J53" s="284"/>
      <c r="K53" s="284"/>
      <c r="L53" s="285"/>
      <c r="M53" s="221"/>
      <c r="N53" s="258"/>
      <c r="O53" s="296">
        <f t="shared" si="164"/>
        <v>54</v>
      </c>
      <c r="P53" s="297">
        <v>10</v>
      </c>
      <c r="Q53" s="356"/>
      <c r="R53" s="357"/>
      <c r="S53" s="357"/>
      <c r="T53" s="357"/>
      <c r="U53" s="357"/>
      <c r="V53" s="357"/>
      <c r="W53" s="357"/>
      <c r="X53" s="357"/>
      <c r="Y53" s="357"/>
      <c r="Z53" s="357"/>
      <c r="AA53" s="357"/>
      <c r="AB53" s="357"/>
      <c r="AC53" s="357"/>
      <c r="AD53" s="357"/>
      <c r="AE53" s="357"/>
      <c r="AF53" s="357"/>
      <c r="AG53" s="357"/>
      <c r="AH53" s="357"/>
      <c r="AI53" s="357"/>
      <c r="AJ53" s="357"/>
      <c r="AK53" s="250"/>
      <c r="AL53" s="250"/>
      <c r="AM53" s="250"/>
      <c r="AN53" s="250"/>
      <c r="AO53" s="250"/>
      <c r="AP53" s="250"/>
      <c r="AQ53" s="251"/>
    </row>
    <row r="54" spans="1:59" ht="16.5" thickBot="1" x14ac:dyDescent="0.3">
      <c r="B54" s="294"/>
      <c r="C54" s="284"/>
      <c r="D54" s="323"/>
      <c r="E54" s="323" t="e">
        <f>D49</f>
        <v>#REF!</v>
      </c>
      <c r="F54" s="324" t="e">
        <f>C43</f>
        <v>#REF!</v>
      </c>
      <c r="G54" s="323" t="e">
        <f>E49</f>
        <v>#REF!</v>
      </c>
      <c r="H54" s="284"/>
      <c r="I54" s="284"/>
      <c r="J54" s="284"/>
      <c r="K54" s="284"/>
      <c r="L54" s="285"/>
      <c r="M54" s="221"/>
      <c r="N54" s="258"/>
      <c r="O54" s="296">
        <f t="shared" si="164"/>
        <v>60</v>
      </c>
      <c r="P54" s="297">
        <v>11</v>
      </c>
      <c r="Q54" s="356"/>
      <c r="R54" s="357"/>
      <c r="S54" s="357"/>
      <c r="T54" s="357"/>
      <c r="U54" s="357"/>
      <c r="V54" s="357"/>
      <c r="W54" s="357"/>
      <c r="X54" s="357"/>
      <c r="Y54" s="357"/>
      <c r="Z54" s="357"/>
      <c r="AA54" s="357"/>
      <c r="AB54" s="357"/>
      <c r="AC54" s="357"/>
      <c r="AD54" s="357"/>
      <c r="AE54" s="357"/>
      <c r="AF54" s="357"/>
      <c r="AG54" s="357"/>
      <c r="AH54" s="357"/>
      <c r="AI54" s="357"/>
      <c r="AJ54" s="357"/>
      <c r="AK54" s="250"/>
      <c r="AL54" s="250"/>
      <c r="AM54" s="250"/>
      <c r="AN54" s="325"/>
      <c r="AO54" s="325"/>
      <c r="AP54" s="325"/>
      <c r="AQ54" s="251"/>
    </row>
    <row r="55" spans="1:59" ht="16.5" thickBot="1" x14ac:dyDescent="0.3">
      <c r="B55" s="294"/>
      <c r="C55" s="284"/>
      <c r="D55" s="323" t="e">
        <f>H49</f>
        <v>#REF!</v>
      </c>
      <c r="E55" s="326" t="e">
        <f>INDEX(C16:W36,$H$50,$D$50)</f>
        <v>#REF!</v>
      </c>
      <c r="F55" s="326" t="e">
        <f>(((F54-E54)/(G54-E54))*(G55-E55))+E55</f>
        <v>#REF!</v>
      </c>
      <c r="G55" s="326" t="e">
        <f>INDEX(C16:W36,$H$50,$E$50)</f>
        <v>#REF!</v>
      </c>
      <c r="H55" s="284"/>
      <c r="I55" s="284"/>
      <c r="J55" s="284"/>
      <c r="K55" s="284"/>
      <c r="L55" s="285"/>
      <c r="M55" s="221"/>
      <c r="N55" s="258"/>
      <c r="O55" s="296">
        <f t="shared" si="164"/>
        <v>66</v>
      </c>
      <c r="P55" s="297">
        <v>12</v>
      </c>
      <c r="Q55" s="356"/>
      <c r="R55" s="357"/>
      <c r="S55" s="357"/>
      <c r="T55" s="357"/>
      <c r="U55" s="357"/>
      <c r="V55" s="357"/>
      <c r="W55" s="357"/>
      <c r="X55" s="357"/>
      <c r="Y55" s="357"/>
      <c r="Z55" s="357"/>
      <c r="AA55" s="357"/>
      <c r="AB55" s="357"/>
      <c r="AC55" s="357"/>
      <c r="AD55" s="357"/>
      <c r="AE55" s="357"/>
      <c r="AF55" s="357"/>
      <c r="AG55" s="357"/>
      <c r="AH55" s="357"/>
      <c r="AI55" s="357"/>
      <c r="AJ55" s="357"/>
      <c r="AK55" s="250"/>
      <c r="AL55" s="250"/>
      <c r="AM55" s="327" t="s">
        <v>76</v>
      </c>
      <c r="AN55" s="328"/>
      <c r="AO55" s="325" t="e">
        <f>AN48*1.1</f>
        <v>#REF!</v>
      </c>
      <c r="AP55" s="325" t="s">
        <v>72</v>
      </c>
      <c r="AQ55" s="251"/>
    </row>
    <row r="56" spans="1:59" ht="16.5" thickBot="1" x14ac:dyDescent="0.3">
      <c r="B56" s="294"/>
      <c r="C56" s="284"/>
      <c r="D56" s="323" t="e">
        <f>C44</f>
        <v>#REF!</v>
      </c>
      <c r="E56" s="326" t="e">
        <f>(((D56-D55)/(D57-D55))*(E57-E55))+E55</f>
        <v>#REF!</v>
      </c>
      <c r="F56" s="329" t="e">
        <f>IF(AND(F54&gt;72,D56&gt;72),5/0,IF(F54=120,E56,(((F55-E55)/(G55-E55))*(G56-E56))+E56))</f>
        <v>#REF!</v>
      </c>
      <c r="G56" s="326" t="e">
        <f>(((D56-D55)/(D57-D55))*(G57-G55))+G55</f>
        <v>#REF!</v>
      </c>
      <c r="H56" s="284"/>
      <c r="I56" s="284"/>
      <c r="J56" s="284"/>
      <c r="K56" s="284"/>
      <c r="L56" s="285"/>
      <c r="M56" s="221"/>
      <c r="N56" s="258"/>
      <c r="O56" s="296">
        <f t="shared" si="164"/>
        <v>72</v>
      </c>
      <c r="P56" s="297">
        <v>13</v>
      </c>
      <c r="Q56" s="356"/>
      <c r="R56" s="357"/>
      <c r="S56" s="357"/>
      <c r="T56" s="357"/>
      <c r="U56" s="357"/>
      <c r="V56" s="357"/>
      <c r="W56" s="357"/>
      <c r="X56" s="357"/>
      <c r="Y56" s="357"/>
      <c r="Z56" s="357"/>
      <c r="AA56" s="357"/>
      <c r="AB56" s="357"/>
      <c r="AC56" s="357"/>
      <c r="AD56" s="357"/>
      <c r="AE56" s="357"/>
      <c r="AF56" s="357"/>
      <c r="AG56" s="357"/>
      <c r="AH56" s="357"/>
      <c r="AI56" s="357"/>
      <c r="AJ56" s="357"/>
      <c r="AK56" s="250"/>
      <c r="AL56" s="250"/>
      <c r="AM56" s="327" t="s">
        <v>77</v>
      </c>
      <c r="AN56" s="328"/>
      <c r="AO56" s="325" t="e">
        <f>AO55*C11</f>
        <v>#REF!</v>
      </c>
      <c r="AP56" s="325" t="s">
        <v>72</v>
      </c>
      <c r="AQ56" s="251"/>
    </row>
    <row r="57" spans="1:59" ht="16.5" thickBot="1" x14ac:dyDescent="0.3">
      <c r="B57" s="294"/>
      <c r="C57" s="284"/>
      <c r="D57" s="323" t="e">
        <f>I49</f>
        <v>#REF!</v>
      </c>
      <c r="E57" s="326" t="e">
        <f>INDEX(C16:W36,$I$50,$D$50)</f>
        <v>#REF!</v>
      </c>
      <c r="F57" s="326" t="e">
        <f>(((F54-E54)/(G54-E54))*(G57-E57))+E57</f>
        <v>#REF!</v>
      </c>
      <c r="G57" s="326" t="e">
        <f>INDEX(C16:W36,$I$50,$E$50)</f>
        <v>#REF!</v>
      </c>
      <c r="H57" s="284"/>
      <c r="I57" s="284"/>
      <c r="J57" s="284"/>
      <c r="K57" s="284"/>
      <c r="L57" s="285"/>
      <c r="M57" s="221"/>
      <c r="N57" s="258"/>
      <c r="O57" s="296">
        <f t="shared" si="164"/>
        <v>78</v>
      </c>
      <c r="P57" s="297">
        <v>14</v>
      </c>
      <c r="Q57" s="356"/>
      <c r="R57" s="357"/>
      <c r="S57" s="357"/>
      <c r="T57" s="357"/>
      <c r="U57" s="357"/>
      <c r="V57" s="357"/>
      <c r="W57" s="357"/>
      <c r="X57" s="357"/>
      <c r="Y57" s="357"/>
      <c r="Z57" s="357"/>
      <c r="AA57" s="357"/>
      <c r="AB57" s="357"/>
      <c r="AC57" s="357"/>
      <c r="AD57" s="357"/>
      <c r="AE57" s="357"/>
      <c r="AF57" s="357"/>
      <c r="AG57" s="357"/>
      <c r="AH57" s="357"/>
      <c r="AI57" s="357"/>
      <c r="AJ57" s="357"/>
      <c r="AK57" s="250"/>
      <c r="AL57" s="250"/>
      <c r="AM57" s="250"/>
      <c r="AN57" s="325"/>
      <c r="AO57" s="325"/>
      <c r="AP57" s="325"/>
      <c r="AQ57" s="251"/>
    </row>
    <row r="58" spans="1:59" ht="15.75" thickBot="1" x14ac:dyDescent="0.3">
      <c r="B58" s="294"/>
      <c r="C58" s="284"/>
      <c r="D58" s="284"/>
      <c r="E58" s="284"/>
      <c r="F58" s="284"/>
      <c r="G58" s="284"/>
      <c r="H58" s="284"/>
      <c r="I58" s="284"/>
      <c r="J58" s="284"/>
      <c r="K58" s="284"/>
      <c r="L58" s="285"/>
      <c r="M58" s="221"/>
      <c r="N58" s="258"/>
      <c r="O58" s="296">
        <f t="shared" si="164"/>
        <v>84</v>
      </c>
      <c r="P58" s="297">
        <v>15</v>
      </c>
      <c r="Q58" s="356"/>
      <c r="R58" s="357"/>
      <c r="S58" s="357"/>
      <c r="T58" s="357"/>
      <c r="U58" s="357"/>
      <c r="V58" s="357"/>
      <c r="W58" s="357"/>
      <c r="X58" s="357"/>
      <c r="Y58" s="357"/>
      <c r="Z58" s="357"/>
      <c r="AA58" s="357"/>
      <c r="AB58" s="357"/>
      <c r="AC58" s="357"/>
      <c r="AD58" s="357"/>
      <c r="AE58" s="357"/>
      <c r="AF58" s="357"/>
      <c r="AG58" s="357"/>
      <c r="AH58" s="357"/>
      <c r="AI58" s="357"/>
      <c r="AJ58" s="357"/>
      <c r="AK58" s="250"/>
      <c r="AL58" s="250"/>
      <c r="AM58" s="250"/>
      <c r="AN58" s="325"/>
      <c r="AO58" s="325"/>
      <c r="AP58" s="325"/>
      <c r="AQ58" s="263"/>
    </row>
    <row r="59" spans="1:59" ht="15.75" thickBot="1" x14ac:dyDescent="0.3">
      <c r="B59" s="294"/>
      <c r="C59" s="284"/>
      <c r="D59" s="284"/>
      <c r="E59" s="284"/>
      <c r="F59" s="284"/>
      <c r="G59" s="284"/>
      <c r="H59" s="284"/>
      <c r="I59" s="284"/>
      <c r="J59" s="284"/>
      <c r="K59" s="284"/>
      <c r="L59" s="285"/>
      <c r="M59" s="221"/>
      <c r="N59" s="258"/>
      <c r="O59" s="296">
        <f t="shared" si="164"/>
        <v>90</v>
      </c>
      <c r="P59" s="297">
        <v>16</v>
      </c>
      <c r="Q59" s="356"/>
      <c r="R59" s="357"/>
      <c r="S59" s="357"/>
      <c r="T59" s="357"/>
      <c r="U59" s="357"/>
      <c r="V59" s="357"/>
      <c r="W59" s="357"/>
      <c r="X59" s="357"/>
      <c r="Y59" s="357"/>
      <c r="Z59" s="357"/>
      <c r="AA59" s="357"/>
      <c r="AB59" s="357"/>
      <c r="AC59" s="357"/>
      <c r="AD59" s="357"/>
      <c r="AE59" s="357"/>
      <c r="AF59" s="357"/>
      <c r="AG59" s="357"/>
      <c r="AH59" s="357"/>
      <c r="AI59" s="357"/>
      <c r="AJ59" s="357"/>
      <c r="AK59" s="250"/>
      <c r="AL59" s="250"/>
      <c r="AM59" s="250"/>
      <c r="AN59" s="250"/>
      <c r="AO59" s="250"/>
      <c r="AP59" s="250"/>
      <c r="AQ59" s="263"/>
      <c r="BG59" s="61"/>
    </row>
    <row r="60" spans="1:59" ht="15.75" thickBot="1" x14ac:dyDescent="0.3">
      <c r="B60" s="294"/>
      <c r="C60" s="284"/>
      <c r="D60" s="284"/>
      <c r="E60" s="284"/>
      <c r="F60" s="284"/>
      <c r="G60" s="284"/>
      <c r="H60" s="284"/>
      <c r="I60" s="284"/>
      <c r="J60" s="284"/>
      <c r="K60" s="284"/>
      <c r="L60" s="285"/>
      <c r="M60" s="221"/>
      <c r="N60" s="258"/>
      <c r="O60" s="296">
        <f t="shared" si="164"/>
        <v>96</v>
      </c>
      <c r="P60" s="297">
        <v>17</v>
      </c>
      <c r="Q60" s="356"/>
      <c r="R60" s="357"/>
      <c r="S60" s="357"/>
      <c r="T60" s="357"/>
      <c r="U60" s="357"/>
      <c r="V60" s="357"/>
      <c r="W60" s="357"/>
      <c r="X60" s="357"/>
      <c r="Y60" s="357"/>
      <c r="Z60" s="357"/>
      <c r="AA60" s="357"/>
      <c r="AB60" s="357"/>
      <c r="AC60" s="357"/>
      <c r="AD60" s="357"/>
      <c r="AE60" s="357"/>
      <c r="AF60" s="357"/>
      <c r="AG60" s="357"/>
      <c r="AH60" s="357"/>
      <c r="AI60" s="357"/>
      <c r="AJ60" s="357"/>
      <c r="AK60" s="250"/>
      <c r="AL60" s="250"/>
      <c r="AM60" s="250"/>
      <c r="AN60" s="250"/>
      <c r="AO60" s="250"/>
      <c r="AP60" s="250"/>
      <c r="AQ60" s="263"/>
      <c r="BG60" s="61"/>
    </row>
    <row r="61" spans="1:59" ht="21.75" thickBot="1" x14ac:dyDescent="0.4">
      <c r="B61" s="322" t="s">
        <v>66</v>
      </c>
      <c r="C61" s="284"/>
      <c r="D61" s="284"/>
      <c r="E61" s="284"/>
      <c r="F61" s="284"/>
      <c r="G61" s="284"/>
      <c r="H61" s="284"/>
      <c r="I61" s="284"/>
      <c r="J61" s="284"/>
      <c r="K61" s="284"/>
      <c r="L61" s="285"/>
      <c r="M61" s="221"/>
      <c r="N61" s="258"/>
      <c r="O61" s="296">
        <f t="shared" si="164"/>
        <v>102</v>
      </c>
      <c r="P61" s="297">
        <v>18</v>
      </c>
      <c r="Q61" s="356"/>
      <c r="R61" s="357"/>
      <c r="S61" s="357"/>
      <c r="T61" s="357"/>
      <c r="U61" s="357"/>
      <c r="V61" s="357"/>
      <c r="W61" s="357"/>
      <c r="X61" s="357"/>
      <c r="Y61" s="357"/>
      <c r="Z61" s="357"/>
      <c r="AA61" s="357"/>
      <c r="AB61" s="357"/>
      <c r="AC61" s="357"/>
      <c r="AD61" s="357"/>
      <c r="AE61" s="357"/>
      <c r="AF61" s="357"/>
      <c r="AG61" s="357"/>
      <c r="AH61" s="357"/>
      <c r="AI61" s="357"/>
      <c r="AJ61" s="357"/>
      <c r="AK61" s="250"/>
      <c r="AL61" s="250"/>
      <c r="AM61" s="250"/>
      <c r="AN61" s="250"/>
      <c r="AO61" s="250"/>
      <c r="AP61" s="250"/>
      <c r="AQ61" s="263"/>
      <c r="BG61" s="61"/>
    </row>
    <row r="62" spans="1:59" ht="19.5" thickBot="1" x14ac:dyDescent="0.35">
      <c r="B62" s="330" t="s">
        <v>43</v>
      </c>
      <c r="C62" s="284"/>
      <c r="D62" s="331" t="e">
        <f>F56*(D3*D4)/144</f>
        <v>#REF!</v>
      </c>
      <c r="E62" s="332" t="s">
        <v>42</v>
      </c>
      <c r="F62" s="284"/>
      <c r="G62" s="284"/>
      <c r="H62" s="284"/>
      <c r="I62" s="284"/>
      <c r="J62" s="284"/>
      <c r="K62" s="284"/>
      <c r="L62" s="285"/>
      <c r="M62" s="221"/>
      <c r="N62" s="258"/>
      <c r="O62" s="296">
        <f t="shared" si="164"/>
        <v>108</v>
      </c>
      <c r="P62" s="297">
        <v>19</v>
      </c>
      <c r="Q62" s="356"/>
      <c r="R62" s="357"/>
      <c r="S62" s="357"/>
      <c r="T62" s="357"/>
      <c r="U62" s="357"/>
      <c r="V62" s="357"/>
      <c r="W62" s="357"/>
      <c r="X62" s="357"/>
      <c r="Y62" s="357"/>
      <c r="Z62" s="357"/>
      <c r="AA62" s="357"/>
      <c r="AB62" s="357"/>
      <c r="AC62" s="357"/>
      <c r="AD62" s="357"/>
      <c r="AE62" s="357"/>
      <c r="AF62" s="357"/>
      <c r="AG62" s="357"/>
      <c r="AH62" s="357"/>
      <c r="AI62" s="357"/>
      <c r="AJ62" s="357"/>
      <c r="AK62" s="250"/>
      <c r="AL62" s="250"/>
      <c r="AM62" s="250"/>
      <c r="AN62" s="250"/>
      <c r="AO62" s="250"/>
      <c r="AP62" s="250"/>
      <c r="AQ62" s="263"/>
      <c r="BG62" s="61"/>
    </row>
    <row r="63" spans="1:59" ht="19.5" thickBot="1" x14ac:dyDescent="0.35">
      <c r="B63" s="330" t="s">
        <v>44</v>
      </c>
      <c r="C63" s="284"/>
      <c r="D63" s="333" t="e">
        <f>(D3*D4)/144</f>
        <v>#REF!</v>
      </c>
      <c r="E63" s="332" t="s">
        <v>42</v>
      </c>
      <c r="F63" s="284"/>
      <c r="G63" s="284"/>
      <c r="H63" s="284"/>
      <c r="I63" s="284"/>
      <c r="J63" s="284"/>
      <c r="K63" s="284"/>
      <c r="L63" s="285"/>
      <c r="M63" s="221"/>
      <c r="N63" s="258"/>
      <c r="O63" s="296">
        <f t="shared" si="164"/>
        <v>114</v>
      </c>
      <c r="P63" s="297">
        <v>20</v>
      </c>
      <c r="Q63" s="356"/>
      <c r="R63" s="357"/>
      <c r="S63" s="357"/>
      <c r="T63" s="357"/>
      <c r="U63" s="357"/>
      <c r="V63" s="357"/>
      <c r="W63" s="357"/>
      <c r="X63" s="357"/>
      <c r="Y63" s="357"/>
      <c r="Z63" s="357"/>
      <c r="AA63" s="357"/>
      <c r="AB63" s="357"/>
      <c r="AC63" s="357"/>
      <c r="AD63" s="357"/>
      <c r="AE63" s="357"/>
      <c r="AF63" s="357"/>
      <c r="AG63" s="357"/>
      <c r="AH63" s="357"/>
      <c r="AI63" s="357"/>
      <c r="AJ63" s="357"/>
      <c r="AK63" s="250"/>
      <c r="AL63" s="250"/>
      <c r="AM63" s="250"/>
      <c r="AN63" s="250"/>
      <c r="AO63" s="250"/>
      <c r="AP63" s="250"/>
      <c r="AQ63" s="263"/>
      <c r="BG63" s="61"/>
    </row>
    <row r="64" spans="1:59" ht="19.5" thickBot="1" x14ac:dyDescent="0.35">
      <c r="B64" s="330" t="s">
        <v>67</v>
      </c>
      <c r="C64" s="284"/>
      <c r="D64" s="334" t="e">
        <f>F56*100</f>
        <v>#REF!</v>
      </c>
      <c r="E64" s="332" t="s">
        <v>13</v>
      </c>
      <c r="F64" s="284"/>
      <c r="G64" s="284"/>
      <c r="H64" s="284"/>
      <c r="I64" s="284"/>
      <c r="J64" s="284"/>
      <c r="K64" s="284"/>
      <c r="L64" s="285"/>
      <c r="M64" s="221"/>
      <c r="N64" s="258"/>
      <c r="O64" s="296">
        <f t="shared" si="164"/>
        <v>120</v>
      </c>
      <c r="P64" s="297">
        <v>21</v>
      </c>
      <c r="Q64" s="356"/>
      <c r="R64" s="357"/>
      <c r="S64" s="357"/>
      <c r="T64" s="357"/>
      <c r="U64" s="357"/>
      <c r="V64" s="357"/>
      <c r="W64" s="357"/>
      <c r="X64" s="357"/>
      <c r="Y64" s="357"/>
      <c r="Z64" s="357"/>
      <c r="AA64" s="357"/>
      <c r="AB64" s="357"/>
      <c r="AC64" s="357"/>
      <c r="AD64" s="357"/>
      <c r="AE64" s="357"/>
      <c r="AF64" s="357"/>
      <c r="AG64" s="357"/>
      <c r="AH64" s="357"/>
      <c r="AI64" s="357"/>
      <c r="AJ64" s="357"/>
      <c r="AK64" s="250"/>
      <c r="AL64" s="250"/>
      <c r="AM64" s="250"/>
      <c r="AN64" s="250"/>
      <c r="AO64" s="250"/>
      <c r="AP64" s="250"/>
      <c r="AQ64" s="263"/>
      <c r="BG64" s="61"/>
    </row>
    <row r="65" spans="1:79" ht="15.75" thickBot="1" x14ac:dyDescent="0.3">
      <c r="B65" s="294"/>
      <c r="C65" s="335"/>
      <c r="D65" s="284"/>
      <c r="E65" s="284"/>
      <c r="F65" s="284"/>
      <c r="G65" s="284"/>
      <c r="H65" s="284"/>
      <c r="I65" s="284"/>
      <c r="J65" s="284"/>
      <c r="K65" s="284"/>
      <c r="L65" s="285"/>
      <c r="M65" s="221"/>
      <c r="N65" s="258"/>
      <c r="O65" s="257"/>
      <c r="P65" s="297"/>
      <c r="Q65" s="257"/>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1"/>
      <c r="BG65" s="61"/>
    </row>
    <row r="66" spans="1:79" ht="19.5" thickBot="1" x14ac:dyDescent="0.35">
      <c r="B66" s="336" t="s">
        <v>68</v>
      </c>
      <c r="C66" s="270"/>
      <c r="D66" s="366" t="e">
        <f>C5/D62</f>
        <v>#VALUE!</v>
      </c>
      <c r="E66" s="332" t="s">
        <v>45</v>
      </c>
      <c r="F66" s="337"/>
      <c r="G66" s="337"/>
      <c r="H66" s="337"/>
      <c r="I66" s="337"/>
      <c r="J66" s="337"/>
      <c r="K66" s="337"/>
      <c r="L66" s="338"/>
      <c r="M66" s="221"/>
      <c r="N66" s="258"/>
      <c r="O66" s="257"/>
      <c r="P66" s="251"/>
      <c r="Q66" s="257"/>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1"/>
      <c r="BG66" s="2"/>
      <c r="BH66" s="2"/>
    </row>
    <row r="67" spans="1:79" ht="19.5" thickBot="1" x14ac:dyDescent="0.35">
      <c r="B67" s="339" t="s">
        <v>69</v>
      </c>
      <c r="C67" s="340" t="s">
        <v>6</v>
      </c>
      <c r="D67" s="371" t="e">
        <f>1.70654844438105E-07*D66^2 + 7.72494047896E-19*D66 - 2.15105711021124E-16</f>
        <v>#VALUE!</v>
      </c>
      <c r="E67" s="332" t="s">
        <v>85</v>
      </c>
      <c r="F67" s="337"/>
      <c r="G67" s="337"/>
      <c r="H67" s="337"/>
      <c r="I67" s="337"/>
      <c r="J67" s="337"/>
      <c r="K67" s="337"/>
      <c r="L67" s="338"/>
      <c r="M67" s="221"/>
      <c r="N67" s="341"/>
      <c r="O67" s="287"/>
      <c r="P67" s="269"/>
      <c r="Q67" s="287"/>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69"/>
      <c r="BG67" s="2"/>
      <c r="BH67" s="2"/>
    </row>
    <row r="68" spans="1:79" ht="18.75" x14ac:dyDescent="0.3">
      <c r="A68" s="2"/>
      <c r="B68" s="342"/>
      <c r="C68" s="340" t="s">
        <v>7</v>
      </c>
      <c r="D68" s="371" t="e">
        <f>1.45002333746652E-07*D66^2 + 7.99599102208E-19*D66+ 5.27355936696949E-16</f>
        <v>#VALUE!</v>
      </c>
      <c r="E68" s="332" t="s">
        <v>85</v>
      </c>
      <c r="F68" s="337"/>
      <c r="G68" s="337"/>
      <c r="H68" s="337"/>
      <c r="I68" s="337"/>
      <c r="J68" s="337"/>
      <c r="K68" s="337"/>
      <c r="L68" s="338"/>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BG68" s="2"/>
      <c r="BH68" s="2"/>
    </row>
    <row r="69" spans="1:79" ht="15.75" thickBot="1" x14ac:dyDescent="0.3">
      <c r="A69" s="2"/>
      <c r="B69" s="58"/>
      <c r="C69" s="55"/>
      <c r="D69" s="55"/>
      <c r="E69" s="55"/>
      <c r="F69" s="55"/>
      <c r="G69" s="55"/>
      <c r="H69" s="55"/>
      <c r="I69" s="55"/>
      <c r="J69" s="55"/>
      <c r="K69" s="55"/>
      <c r="L69" s="56"/>
      <c r="BG69" s="2"/>
    </row>
    <row r="70" spans="1:79" ht="21.75" thickBot="1" x14ac:dyDescent="0.4">
      <c r="A70" s="2"/>
      <c r="N70" s="121" t="s">
        <v>144</v>
      </c>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3"/>
      <c r="BF70" s="2"/>
      <c r="BG70" s="2"/>
    </row>
    <row r="71" spans="1:79" ht="25.5" customHeight="1" thickBot="1" x14ac:dyDescent="0.3">
      <c r="N71" s="971"/>
      <c r="O71" s="155"/>
      <c r="P71" s="75"/>
      <c r="Q71" s="156">
        <f>F11</f>
        <v>9</v>
      </c>
      <c r="R71" s="157">
        <v>12</v>
      </c>
      <c r="S71" s="157">
        <f t="shared" ref="S71:AJ71" si="165">R71+6</f>
        <v>18</v>
      </c>
      <c r="T71" s="157">
        <f t="shared" si="165"/>
        <v>24</v>
      </c>
      <c r="U71" s="157">
        <f t="shared" si="165"/>
        <v>30</v>
      </c>
      <c r="V71" s="157">
        <f t="shared" si="165"/>
        <v>36</v>
      </c>
      <c r="W71" s="157">
        <f t="shared" si="165"/>
        <v>42</v>
      </c>
      <c r="X71" s="158">
        <f t="shared" si="165"/>
        <v>48</v>
      </c>
      <c r="Y71" s="157">
        <f t="shared" si="165"/>
        <v>54</v>
      </c>
      <c r="Z71" s="157">
        <f t="shared" si="165"/>
        <v>60</v>
      </c>
      <c r="AA71" s="157">
        <f t="shared" si="165"/>
        <v>66</v>
      </c>
      <c r="AB71" s="157">
        <f t="shared" si="165"/>
        <v>72</v>
      </c>
      <c r="AC71" s="157">
        <f t="shared" si="165"/>
        <v>78</v>
      </c>
      <c r="AD71" s="158">
        <f t="shared" si="165"/>
        <v>84</v>
      </c>
      <c r="AE71" s="157">
        <f t="shared" si="165"/>
        <v>90</v>
      </c>
      <c r="AF71" s="157">
        <f t="shared" si="165"/>
        <v>96</v>
      </c>
      <c r="AG71" s="157">
        <f t="shared" si="165"/>
        <v>102</v>
      </c>
      <c r="AH71" s="157">
        <f t="shared" si="165"/>
        <v>108</v>
      </c>
      <c r="AI71" s="157">
        <f t="shared" si="165"/>
        <v>114</v>
      </c>
      <c r="AJ71" s="158">
        <f t="shared" si="165"/>
        <v>120</v>
      </c>
      <c r="AK71" s="74"/>
      <c r="AL71" s="74"/>
      <c r="AM71" s="74"/>
      <c r="AN71" s="74"/>
      <c r="AO71" s="74"/>
      <c r="AP71" s="74"/>
      <c r="AQ71" s="75"/>
      <c r="BF71" s="2"/>
      <c r="BG71" s="2"/>
    </row>
    <row r="72" spans="1:79" ht="15.75" thickBot="1" x14ac:dyDescent="0.3">
      <c r="A72" s="2"/>
      <c r="N72" s="972"/>
      <c r="O72" s="48"/>
      <c r="P72" s="182">
        <v>1</v>
      </c>
      <c r="Q72" s="125">
        <v>2</v>
      </c>
      <c r="R72" s="49">
        <v>3</v>
      </c>
      <c r="S72" s="49">
        <v>4</v>
      </c>
      <c r="T72" s="49">
        <v>5</v>
      </c>
      <c r="U72" s="49">
        <v>6</v>
      </c>
      <c r="V72" s="49">
        <v>7</v>
      </c>
      <c r="W72" s="49">
        <v>8</v>
      </c>
      <c r="X72" s="49">
        <v>9</v>
      </c>
      <c r="Y72" s="49">
        <v>10</v>
      </c>
      <c r="Z72" s="49">
        <v>11</v>
      </c>
      <c r="AA72" s="49">
        <v>12</v>
      </c>
      <c r="AB72" s="49">
        <v>13</v>
      </c>
      <c r="AC72" s="49">
        <v>14</v>
      </c>
      <c r="AD72" s="49">
        <v>15</v>
      </c>
      <c r="AE72" s="49">
        <v>16</v>
      </c>
      <c r="AF72" s="49">
        <v>17</v>
      </c>
      <c r="AG72" s="49">
        <v>18</v>
      </c>
      <c r="AH72" s="49">
        <v>19</v>
      </c>
      <c r="AI72" s="49">
        <v>20</v>
      </c>
      <c r="AJ72" s="49">
        <v>21</v>
      </c>
      <c r="AK72" s="49"/>
      <c r="AL72" s="49"/>
      <c r="AM72" s="49"/>
      <c r="AN72" s="49"/>
      <c r="AO72" s="49"/>
      <c r="AP72" s="49"/>
      <c r="AQ72" s="50"/>
      <c r="BF72" s="2"/>
    </row>
    <row r="73" spans="1:79" ht="15.75" thickBot="1" x14ac:dyDescent="0.3">
      <c r="A73" s="2"/>
      <c r="N73" s="412"/>
      <c r="O73" s="154">
        <f>F12</f>
        <v>9.5</v>
      </c>
      <c r="P73" s="183">
        <v>2</v>
      </c>
      <c r="Q73" s="115"/>
      <c r="R73" s="115"/>
      <c r="S73" s="115"/>
      <c r="T73" s="115"/>
      <c r="U73" s="115"/>
      <c r="V73" s="115"/>
      <c r="W73" s="115"/>
      <c r="X73" s="115"/>
      <c r="Y73" s="115"/>
      <c r="Z73" s="115"/>
      <c r="AA73" s="115"/>
      <c r="AB73" s="115"/>
      <c r="AC73" s="115"/>
      <c r="AD73" s="115"/>
      <c r="AE73" s="115"/>
      <c r="AF73" s="115"/>
      <c r="AG73" s="115"/>
      <c r="AH73" s="115"/>
      <c r="AI73" s="115"/>
      <c r="AJ73" s="115"/>
      <c r="AK73" s="114"/>
      <c r="AL73" s="114"/>
      <c r="AM73" s="114"/>
      <c r="AN73" s="114"/>
      <c r="AO73" s="114"/>
      <c r="AP73" s="114"/>
      <c r="AQ73" s="120"/>
    </row>
    <row r="74" spans="1:79" ht="16.5" thickBot="1" x14ac:dyDescent="0.3">
      <c r="A74" s="2"/>
      <c r="N74" s="180"/>
      <c r="O74" s="124">
        <v>12</v>
      </c>
      <c r="P74" s="184">
        <v>3</v>
      </c>
      <c r="Q74" s="115"/>
      <c r="R74" s="115"/>
      <c r="S74" s="115"/>
      <c r="T74" s="115"/>
      <c r="U74" s="115"/>
      <c r="V74" s="115"/>
      <c r="W74" s="115"/>
      <c r="X74" s="115"/>
      <c r="Y74" s="115"/>
      <c r="Z74" s="115"/>
      <c r="AA74" s="115"/>
      <c r="AB74" s="115"/>
      <c r="AC74" s="115"/>
      <c r="AD74" s="115"/>
      <c r="AE74" s="115"/>
      <c r="AF74" s="115"/>
      <c r="AG74" s="115"/>
      <c r="AH74" s="115"/>
      <c r="AI74" s="115"/>
      <c r="AJ74" s="115"/>
      <c r="AK74" s="45"/>
      <c r="AL74" s="117"/>
      <c r="AM74" s="117" t="e">
        <f>D49</f>
        <v>#REF!</v>
      </c>
      <c r="AN74" s="118" t="e">
        <f>C43</f>
        <v>#REF!</v>
      </c>
      <c r="AO74" s="117" t="e">
        <f>E49</f>
        <v>#REF!</v>
      </c>
      <c r="AP74" s="45"/>
      <c r="AQ74" s="46"/>
    </row>
    <row r="75" spans="1:79" ht="16.5" thickBot="1" x14ac:dyDescent="0.3">
      <c r="A75" s="2"/>
      <c r="N75" s="181"/>
      <c r="O75" s="124">
        <f t="shared" ref="O75:O92" si="166">O74+6</f>
        <v>18</v>
      </c>
      <c r="P75" s="184">
        <v>4</v>
      </c>
      <c r="Q75" s="115"/>
      <c r="R75" s="115"/>
      <c r="S75" s="115"/>
      <c r="T75" s="115"/>
      <c r="U75" s="115"/>
      <c r="V75" s="115"/>
      <c r="W75" s="115"/>
      <c r="X75" s="115"/>
      <c r="Y75" s="115"/>
      <c r="Z75" s="115"/>
      <c r="AA75" s="115"/>
      <c r="AB75" s="115"/>
      <c r="AC75" s="115"/>
      <c r="AD75" s="115"/>
      <c r="AE75" s="115"/>
      <c r="AF75" s="115"/>
      <c r="AG75" s="115"/>
      <c r="AH75" s="115"/>
      <c r="AI75" s="115"/>
      <c r="AJ75" s="115"/>
      <c r="AK75" s="76"/>
      <c r="AL75" s="117" t="e">
        <f>H49</f>
        <v>#REF!</v>
      </c>
      <c r="AM75" s="118" t="e">
        <f>INDEX(P72:AJ92,$H$50,$D$50)</f>
        <v>#REF!</v>
      </c>
      <c r="AN75" s="118" t="e">
        <f>(((AN74-AM74)/(AO74-AM74))*(AO75-AM75))+AM75</f>
        <v>#REF!</v>
      </c>
      <c r="AO75" s="118" t="e">
        <f>INDEX(P72:AJ92,$H$50,$E$50)</f>
        <v>#REF!</v>
      </c>
      <c r="AP75" s="45"/>
      <c r="AQ75" s="46"/>
      <c r="BS75" s="2"/>
      <c r="BT75" s="2"/>
      <c r="BU75" s="2"/>
      <c r="BV75" s="2"/>
      <c r="BW75" s="2"/>
      <c r="BX75" s="2"/>
      <c r="BY75" s="2"/>
      <c r="BZ75" s="2"/>
      <c r="CA75" s="2"/>
    </row>
    <row r="76" spans="1:79" ht="16.5" thickBot="1" x14ac:dyDescent="0.3">
      <c r="N76" s="79"/>
      <c r="O76" s="124">
        <f t="shared" si="166"/>
        <v>24</v>
      </c>
      <c r="P76" s="184">
        <v>5</v>
      </c>
      <c r="Q76" s="115"/>
      <c r="R76" s="115"/>
      <c r="S76" s="115"/>
      <c r="T76" s="115"/>
      <c r="U76" s="115"/>
      <c r="V76" s="115"/>
      <c r="W76" s="115"/>
      <c r="X76" s="115"/>
      <c r="Y76" s="115"/>
      <c r="Z76" s="115"/>
      <c r="AA76" s="115"/>
      <c r="AB76" s="115"/>
      <c r="AC76" s="115"/>
      <c r="AD76" s="115"/>
      <c r="AE76" s="115"/>
      <c r="AF76" s="115"/>
      <c r="AG76" s="115"/>
      <c r="AH76" s="115"/>
      <c r="AI76" s="115"/>
      <c r="AJ76" s="115"/>
      <c r="AK76" s="45"/>
      <c r="AL76" s="413" t="e">
        <f>C44</f>
        <v>#REF!</v>
      </c>
      <c r="AM76" s="118" t="e">
        <f>(((AL76-AL75)/(AL77-AL75))*(AM77-AM75))+AM75</f>
        <v>#REF!</v>
      </c>
      <c r="AN76" s="119" t="e">
        <f>IF(AND(AN74&gt;72,AL76&gt;72),5/0,IF(AN74=120,AM76,(((AN75-AM75)/(AO75-AM75))*(AO76-AM76))+AM76))</f>
        <v>#REF!</v>
      </c>
      <c r="AO76" s="118" t="e">
        <f>(((AL76-AL75)/(AL77-AL75))*(AO77-AO75))+AO75</f>
        <v>#REF!</v>
      </c>
      <c r="AP76" s="45"/>
      <c r="AQ76" s="46"/>
      <c r="BS76" s="2"/>
      <c r="BT76" s="2"/>
      <c r="BU76" s="2"/>
      <c r="BV76" s="2"/>
      <c r="BW76" s="2"/>
      <c r="BX76" s="2"/>
      <c r="BY76" s="2"/>
      <c r="BZ76" s="2"/>
      <c r="CA76" s="2"/>
    </row>
    <row r="77" spans="1:79" ht="16.5" thickBot="1" x14ac:dyDescent="0.3">
      <c r="N77" s="79"/>
      <c r="O77" s="124">
        <f t="shared" si="166"/>
        <v>30</v>
      </c>
      <c r="P77" s="184">
        <v>6</v>
      </c>
      <c r="Q77" s="115"/>
      <c r="R77" s="115"/>
      <c r="S77" s="115"/>
      <c r="T77" s="115"/>
      <c r="U77" s="115"/>
      <c r="V77" s="115"/>
      <c r="W77" s="115"/>
      <c r="X77" s="115"/>
      <c r="Y77" s="115"/>
      <c r="Z77" s="115"/>
      <c r="AA77" s="115"/>
      <c r="AB77" s="115"/>
      <c r="AC77" s="115"/>
      <c r="AD77" s="115"/>
      <c r="AE77" s="115"/>
      <c r="AF77" s="115"/>
      <c r="AG77" s="115"/>
      <c r="AH77" s="115"/>
      <c r="AI77" s="115"/>
      <c r="AJ77" s="115"/>
      <c r="AK77" s="78"/>
      <c r="AL77" s="117" t="e">
        <f>I49</f>
        <v>#REF!</v>
      </c>
      <c r="AM77" s="118" t="e">
        <f>INDEX(P72:AJ92,$I$50,$D$50)</f>
        <v>#REF!</v>
      </c>
      <c r="AN77" s="118" t="e">
        <f>(((AN74-AM74)/(AO74-AM74))*(AO77-AM77))+AM77</f>
        <v>#REF!</v>
      </c>
      <c r="AO77" s="118" t="e">
        <f>INDEX(P72:AJ92,$I$50,$E$50)</f>
        <v>#REF!</v>
      </c>
      <c r="AP77" s="45"/>
      <c r="AQ77" s="46"/>
      <c r="BS77" s="2"/>
      <c r="BT77" s="2"/>
      <c r="BU77" s="2"/>
      <c r="BV77" s="2"/>
      <c r="BW77" s="2"/>
      <c r="BX77" s="2"/>
      <c r="BY77" s="2"/>
      <c r="BZ77" s="2"/>
      <c r="CA77" s="2"/>
    </row>
    <row r="78" spans="1:79" ht="15.75" thickBot="1" x14ac:dyDescent="0.3">
      <c r="N78" s="79"/>
      <c r="O78" s="124">
        <f t="shared" si="166"/>
        <v>36</v>
      </c>
      <c r="P78" s="184">
        <v>7</v>
      </c>
      <c r="Q78" s="115"/>
      <c r="R78" s="115"/>
      <c r="S78" s="115"/>
      <c r="T78" s="115"/>
      <c r="U78" s="115"/>
      <c r="V78" s="115"/>
      <c r="W78" s="115"/>
      <c r="X78" s="115"/>
      <c r="Y78" s="115"/>
      <c r="Z78" s="115"/>
      <c r="AA78" s="115"/>
      <c r="AB78" s="115"/>
      <c r="AC78" s="115"/>
      <c r="AD78" s="115"/>
      <c r="AE78" s="115"/>
      <c r="AF78" s="115"/>
      <c r="AG78" s="115"/>
      <c r="AH78" s="115"/>
      <c r="AI78" s="115"/>
      <c r="AJ78" s="115"/>
      <c r="AK78" s="78"/>
      <c r="AL78" s="45"/>
      <c r="AM78" s="45"/>
      <c r="AN78" s="45"/>
      <c r="AO78" s="45"/>
      <c r="AP78" s="45"/>
      <c r="AQ78" s="46"/>
      <c r="BS78" s="2"/>
      <c r="BT78" s="2"/>
      <c r="BU78" s="2"/>
      <c r="BV78" s="2"/>
      <c r="BW78" s="2"/>
      <c r="BX78" s="2"/>
      <c r="BY78" s="2"/>
      <c r="BZ78" s="2"/>
      <c r="CA78" s="2"/>
    </row>
    <row r="79" spans="1:79" ht="15.75" thickBot="1" x14ac:dyDescent="0.3">
      <c r="N79" s="79"/>
      <c r="O79" s="124">
        <f t="shared" si="166"/>
        <v>42</v>
      </c>
      <c r="P79" s="184">
        <v>8</v>
      </c>
      <c r="Q79" s="115"/>
      <c r="R79" s="115"/>
      <c r="S79" s="115"/>
      <c r="T79" s="115"/>
      <c r="U79" s="115"/>
      <c r="V79" s="115"/>
      <c r="W79" s="115"/>
      <c r="X79" s="115"/>
      <c r="Y79" s="115"/>
      <c r="Z79" s="115"/>
      <c r="AA79" s="115"/>
      <c r="AB79" s="115"/>
      <c r="AC79" s="115"/>
      <c r="AD79" s="115"/>
      <c r="AE79" s="115"/>
      <c r="AF79" s="115"/>
      <c r="AG79" s="115"/>
      <c r="AH79" s="115"/>
      <c r="AI79" s="115"/>
      <c r="AJ79" s="115"/>
      <c r="AK79" s="78"/>
      <c r="AL79" s="45"/>
      <c r="AM79" s="250"/>
      <c r="AN79" s="45"/>
      <c r="AO79" s="45"/>
      <c r="AP79" s="45"/>
      <c r="AQ79" s="46"/>
      <c r="BS79" s="2"/>
      <c r="BT79" s="2"/>
      <c r="BU79" s="2"/>
      <c r="BV79" s="2"/>
      <c r="BW79" s="2"/>
      <c r="BX79" s="2"/>
      <c r="BY79" s="2"/>
      <c r="BZ79" s="2"/>
      <c r="CA79" s="2"/>
    </row>
    <row r="80" spans="1:79" ht="15.75" thickBot="1" x14ac:dyDescent="0.3">
      <c r="N80" s="79"/>
      <c r="O80" s="124">
        <f t="shared" si="166"/>
        <v>48</v>
      </c>
      <c r="P80" s="184">
        <v>9</v>
      </c>
      <c r="Q80" s="115"/>
      <c r="R80" s="115"/>
      <c r="S80" s="115"/>
      <c r="T80" s="115"/>
      <c r="U80" s="115"/>
      <c r="V80" s="115"/>
      <c r="W80" s="115"/>
      <c r="X80" s="115"/>
      <c r="Y80" s="115"/>
      <c r="Z80" s="115"/>
      <c r="AA80" s="115"/>
      <c r="AB80" s="115"/>
      <c r="AC80" s="115"/>
      <c r="AD80" s="115"/>
      <c r="AE80" s="115"/>
      <c r="AF80" s="115"/>
      <c r="AG80" s="115"/>
      <c r="AH80" s="115"/>
      <c r="AI80" s="115"/>
      <c r="AJ80" s="115"/>
      <c r="AK80" s="78"/>
      <c r="AL80" s="45"/>
      <c r="AM80" s="250" t="s">
        <v>142</v>
      </c>
      <c r="AN80" s="45">
        <v>1.9E-2</v>
      </c>
      <c r="AO80" s="45" t="s">
        <v>139</v>
      </c>
      <c r="AP80" s="45"/>
      <c r="AQ80" s="46"/>
      <c r="BS80" s="2"/>
      <c r="BT80" s="2"/>
      <c r="BU80" s="2"/>
      <c r="BV80" s="2"/>
      <c r="BW80" s="2"/>
      <c r="BX80" s="2"/>
      <c r="BY80" s="2"/>
      <c r="BZ80" s="2"/>
      <c r="CA80" s="2"/>
    </row>
    <row r="81" spans="1:79" ht="15.75" thickBot="1" x14ac:dyDescent="0.3">
      <c r="A81" s="2"/>
      <c r="N81" s="79"/>
      <c r="O81" s="124">
        <f t="shared" si="166"/>
        <v>54</v>
      </c>
      <c r="P81" s="184">
        <v>10</v>
      </c>
      <c r="Q81" s="115"/>
      <c r="R81" s="115"/>
      <c r="S81" s="115"/>
      <c r="T81" s="115"/>
      <c r="U81" s="115"/>
      <c r="V81" s="115"/>
      <c r="W81" s="115"/>
      <c r="X81" s="115"/>
      <c r="Y81" s="115"/>
      <c r="Z81" s="115"/>
      <c r="AA81" s="115"/>
      <c r="AB81" s="115"/>
      <c r="AC81" s="115"/>
      <c r="AD81" s="115"/>
      <c r="AE81" s="115"/>
      <c r="AF81" s="115"/>
      <c r="AG81" s="115"/>
      <c r="AH81" s="115"/>
      <c r="AI81" s="115"/>
      <c r="AJ81" s="115"/>
      <c r="AK81" s="78"/>
      <c r="AL81" s="45"/>
      <c r="AM81" s="45" t="s">
        <v>150</v>
      </c>
      <c r="AN81" s="45" t="e">
        <f>((2*D3)+(2*D4))</f>
        <v>#REF!</v>
      </c>
      <c r="AO81" s="45" t="s">
        <v>151</v>
      </c>
      <c r="AP81" s="45"/>
      <c r="AQ81" s="46"/>
      <c r="BS81" s="2"/>
      <c r="BT81" s="2"/>
      <c r="BU81" s="2"/>
      <c r="BV81" s="2"/>
      <c r="BW81" s="2"/>
      <c r="BX81" s="2"/>
      <c r="BY81" s="2"/>
      <c r="BZ81" s="2"/>
      <c r="CA81" s="2"/>
    </row>
    <row r="82" spans="1:79" ht="15.75" thickBot="1" x14ac:dyDescent="0.3">
      <c r="A82" s="2"/>
      <c r="N82" s="79"/>
      <c r="O82" s="124">
        <f t="shared" si="166"/>
        <v>60</v>
      </c>
      <c r="P82" s="184">
        <v>11</v>
      </c>
      <c r="Q82" s="115"/>
      <c r="R82" s="115"/>
      <c r="S82" s="115"/>
      <c r="T82" s="115"/>
      <c r="U82" s="115"/>
      <c r="V82" s="115"/>
      <c r="W82" s="115"/>
      <c r="X82" s="115"/>
      <c r="Y82" s="115"/>
      <c r="Z82" s="115"/>
      <c r="AA82" s="115"/>
      <c r="AB82" s="115"/>
      <c r="AC82" s="115"/>
      <c r="AD82" s="115"/>
      <c r="AE82" s="115"/>
      <c r="AF82" s="115"/>
      <c r="AG82" s="115"/>
      <c r="AH82" s="115"/>
      <c r="AI82" s="115"/>
      <c r="AJ82" s="115"/>
      <c r="AK82" s="45"/>
      <c r="AL82" s="45"/>
      <c r="AM82" s="45"/>
      <c r="AN82" s="185"/>
      <c r="AO82" s="45"/>
      <c r="AP82" s="45"/>
      <c r="AQ82" s="46"/>
      <c r="BS82" s="2"/>
      <c r="BT82" s="2"/>
      <c r="BU82" s="2"/>
      <c r="BV82" s="2"/>
      <c r="BW82" s="2"/>
      <c r="BX82" s="2"/>
      <c r="BY82" s="2"/>
      <c r="BZ82" s="2"/>
      <c r="CA82" s="2"/>
    </row>
    <row r="83" spans="1:79" ht="16.5" thickBot="1" x14ac:dyDescent="0.3">
      <c r="A83" s="2"/>
      <c r="N83" s="79"/>
      <c r="O83" s="124">
        <f t="shared" si="166"/>
        <v>66</v>
      </c>
      <c r="P83" s="184">
        <v>12</v>
      </c>
      <c r="Q83" s="115"/>
      <c r="R83" s="115"/>
      <c r="S83" s="115"/>
      <c r="T83" s="115"/>
      <c r="U83" s="115"/>
      <c r="V83" s="115"/>
      <c r="W83" s="115"/>
      <c r="X83" s="115"/>
      <c r="Y83" s="115"/>
      <c r="Z83" s="115"/>
      <c r="AA83" s="115"/>
      <c r="AB83" s="115"/>
      <c r="AC83" s="115"/>
      <c r="AD83" s="115"/>
      <c r="AE83" s="115"/>
      <c r="AF83" s="115"/>
      <c r="AG83" s="115"/>
      <c r="AH83" s="115"/>
      <c r="AI83" s="115"/>
      <c r="AJ83" s="115"/>
      <c r="AK83" s="45"/>
      <c r="AL83" s="45"/>
      <c r="AM83" s="163" t="s">
        <v>140</v>
      </c>
      <c r="AN83" s="186"/>
      <c r="AO83" s="116" t="e">
        <f>AN80*AN81</f>
        <v>#REF!</v>
      </c>
      <c r="AP83" s="45" t="s">
        <v>141</v>
      </c>
      <c r="AQ83" s="46"/>
      <c r="BS83" s="2"/>
      <c r="BT83" s="2"/>
      <c r="BU83" s="2"/>
      <c r="BV83" s="2"/>
      <c r="BW83" s="2"/>
      <c r="BX83" s="2"/>
      <c r="BY83" s="2"/>
      <c r="BZ83" s="2"/>
      <c r="CA83" s="2"/>
    </row>
    <row r="84" spans="1:79" ht="16.5" thickBot="1" x14ac:dyDescent="0.3">
      <c r="N84" s="79"/>
      <c r="O84" s="124">
        <f t="shared" si="166"/>
        <v>72</v>
      </c>
      <c r="P84" s="184">
        <v>13</v>
      </c>
      <c r="Q84" s="115"/>
      <c r="R84" s="115"/>
      <c r="S84" s="115"/>
      <c r="T84" s="115"/>
      <c r="U84" s="115"/>
      <c r="V84" s="115"/>
      <c r="W84" s="115"/>
      <c r="X84" s="115"/>
      <c r="Y84" s="115"/>
      <c r="Z84" s="115"/>
      <c r="AA84" s="115"/>
      <c r="AB84" s="115"/>
      <c r="AC84" s="115"/>
      <c r="AD84" s="115"/>
      <c r="AE84" s="115"/>
      <c r="AF84" s="115"/>
      <c r="AG84" s="115"/>
      <c r="AH84" s="115"/>
      <c r="AI84" s="115"/>
      <c r="AJ84" s="115"/>
      <c r="AK84" s="45"/>
      <c r="AL84" s="45"/>
      <c r="AM84" s="163"/>
      <c r="AN84" s="186"/>
      <c r="AO84" s="45"/>
      <c r="AP84" s="45"/>
      <c r="AQ84" s="46"/>
      <c r="BS84" s="2"/>
      <c r="BT84" s="2"/>
      <c r="BU84" s="2"/>
      <c r="BV84" s="2"/>
      <c r="BW84" s="2"/>
      <c r="BX84" s="2"/>
      <c r="BY84" s="2"/>
      <c r="BZ84" s="2"/>
      <c r="CA84" s="2"/>
    </row>
    <row r="85" spans="1:79" ht="15.75" thickBot="1" x14ac:dyDescent="0.3">
      <c r="N85" s="79"/>
      <c r="O85" s="124">
        <f t="shared" si="166"/>
        <v>78</v>
      </c>
      <c r="P85" s="184">
        <v>14</v>
      </c>
      <c r="Q85" s="115"/>
      <c r="R85" s="115"/>
      <c r="S85" s="115"/>
      <c r="T85" s="115"/>
      <c r="U85" s="115"/>
      <c r="V85" s="115"/>
      <c r="W85" s="115"/>
      <c r="X85" s="115"/>
      <c r="Y85" s="115"/>
      <c r="Z85" s="115"/>
      <c r="AA85" s="115"/>
      <c r="AB85" s="115"/>
      <c r="AC85" s="115"/>
      <c r="AD85" s="115"/>
      <c r="AE85" s="115"/>
      <c r="AF85" s="115"/>
      <c r="AG85" s="115"/>
      <c r="AH85" s="115"/>
      <c r="AI85" s="115"/>
      <c r="AJ85" s="115"/>
      <c r="AK85" s="45"/>
      <c r="AL85" s="45"/>
      <c r="AM85" s="45"/>
      <c r="AN85" s="185"/>
      <c r="AO85" s="45"/>
      <c r="AP85" s="45"/>
      <c r="AQ85" s="46"/>
      <c r="BS85" s="2"/>
      <c r="BT85" s="2"/>
      <c r="BU85" s="2"/>
      <c r="BV85" s="2"/>
      <c r="BW85" s="2"/>
      <c r="BX85" s="2"/>
      <c r="BY85" s="2"/>
      <c r="BZ85" s="2"/>
      <c r="CA85" s="2"/>
    </row>
    <row r="86" spans="1:79" ht="15.75" thickBot="1" x14ac:dyDescent="0.3">
      <c r="N86" s="79"/>
      <c r="O86" s="124">
        <f t="shared" si="166"/>
        <v>84</v>
      </c>
      <c r="P86" s="184">
        <v>15</v>
      </c>
      <c r="Q86" s="115"/>
      <c r="R86" s="115"/>
      <c r="S86" s="115"/>
      <c r="T86" s="115"/>
      <c r="U86" s="115"/>
      <c r="V86" s="115"/>
      <c r="W86" s="115"/>
      <c r="X86" s="115"/>
      <c r="Y86" s="115"/>
      <c r="Z86" s="115"/>
      <c r="AA86" s="115"/>
      <c r="AB86" s="115"/>
      <c r="AC86" s="115"/>
      <c r="AD86" s="115"/>
      <c r="AE86" s="115"/>
      <c r="AF86" s="115"/>
      <c r="AG86" s="115"/>
      <c r="AH86" s="115"/>
      <c r="AI86" s="115"/>
      <c r="AJ86" s="115"/>
      <c r="AK86" s="45"/>
      <c r="AL86" s="45"/>
      <c r="AM86" s="45"/>
      <c r="AN86" s="185"/>
      <c r="AO86" s="45"/>
      <c r="AP86" s="45"/>
      <c r="AQ86" s="77"/>
      <c r="BS86" s="2"/>
      <c r="BT86" s="2"/>
      <c r="BU86" s="2"/>
      <c r="BV86" s="2"/>
      <c r="BW86" s="2"/>
      <c r="BX86" s="2"/>
      <c r="BY86" s="2"/>
      <c r="BZ86" s="2"/>
      <c r="CA86" s="2"/>
    </row>
    <row r="87" spans="1:79" ht="15.75" thickBot="1" x14ac:dyDescent="0.3">
      <c r="N87" s="79"/>
      <c r="O87" s="124">
        <f t="shared" si="166"/>
        <v>90</v>
      </c>
      <c r="P87" s="184">
        <v>16</v>
      </c>
      <c r="Q87" s="115"/>
      <c r="R87" s="115"/>
      <c r="S87" s="115"/>
      <c r="T87" s="115"/>
      <c r="U87" s="115"/>
      <c r="V87" s="115"/>
      <c r="W87" s="115"/>
      <c r="X87" s="115"/>
      <c r="Y87" s="115"/>
      <c r="Z87" s="115"/>
      <c r="AA87" s="115"/>
      <c r="AB87" s="115"/>
      <c r="AC87" s="115"/>
      <c r="AD87" s="115"/>
      <c r="AE87" s="115"/>
      <c r="AF87" s="115"/>
      <c r="AG87" s="115"/>
      <c r="AH87" s="115"/>
      <c r="AI87" s="115"/>
      <c r="AJ87" s="115"/>
      <c r="AK87" s="116"/>
      <c r="AL87" s="45"/>
      <c r="AM87" s="45"/>
      <c r="AN87" s="45"/>
      <c r="AO87" s="45"/>
      <c r="AP87" s="45"/>
      <c r="AQ87" s="77"/>
      <c r="BS87" s="2"/>
      <c r="BT87" s="2"/>
      <c r="BU87" s="2"/>
      <c r="BV87" s="2"/>
      <c r="BW87" s="2"/>
      <c r="BX87" s="2"/>
      <c r="BY87" s="2"/>
      <c r="BZ87" s="2"/>
      <c r="CA87" s="2"/>
    </row>
    <row r="88" spans="1:79" ht="15.75" thickBot="1" x14ac:dyDescent="0.3">
      <c r="N88" s="79"/>
      <c r="O88" s="124">
        <f t="shared" si="166"/>
        <v>96</v>
      </c>
      <c r="P88" s="184">
        <v>17</v>
      </c>
      <c r="Q88" s="115"/>
      <c r="R88" s="115"/>
      <c r="S88" s="115"/>
      <c r="T88" s="115"/>
      <c r="U88" s="115"/>
      <c r="V88" s="115"/>
      <c r="W88" s="115"/>
      <c r="X88" s="115"/>
      <c r="Y88" s="115"/>
      <c r="Z88" s="115"/>
      <c r="AA88" s="115"/>
      <c r="AB88" s="115"/>
      <c r="AC88" s="115"/>
      <c r="AD88" s="115"/>
      <c r="AE88" s="115"/>
      <c r="AF88" s="115"/>
      <c r="AG88" s="115"/>
      <c r="AH88" s="115"/>
      <c r="AI88" s="115"/>
      <c r="AJ88" s="115"/>
      <c r="AK88" s="116"/>
      <c r="AL88" s="45"/>
      <c r="AM88" s="45"/>
      <c r="AN88" s="45"/>
      <c r="AO88" s="45"/>
      <c r="AP88" s="45"/>
      <c r="AQ88" s="77"/>
      <c r="BS88" s="2"/>
      <c r="BT88" s="2"/>
      <c r="BU88" s="2"/>
      <c r="BV88" s="2"/>
      <c r="BW88" s="2"/>
      <c r="BX88" s="2"/>
      <c r="BY88" s="2"/>
      <c r="BZ88" s="2"/>
      <c r="CA88" s="2"/>
    </row>
    <row r="89" spans="1:79" ht="15.75" thickBot="1" x14ac:dyDescent="0.3">
      <c r="N89" s="79"/>
      <c r="O89" s="124">
        <f t="shared" si="166"/>
        <v>102</v>
      </c>
      <c r="P89" s="184">
        <v>18</v>
      </c>
      <c r="Q89" s="115"/>
      <c r="R89" s="115"/>
      <c r="S89" s="115"/>
      <c r="T89" s="115"/>
      <c r="U89" s="115"/>
      <c r="V89" s="115"/>
      <c r="W89" s="115"/>
      <c r="X89" s="115"/>
      <c r="Y89" s="115"/>
      <c r="Z89" s="115"/>
      <c r="AA89" s="115"/>
      <c r="AB89" s="115"/>
      <c r="AC89" s="115"/>
      <c r="AD89" s="115"/>
      <c r="AE89" s="115"/>
      <c r="AF89" s="115"/>
      <c r="AG89" s="115"/>
      <c r="AH89" s="115"/>
      <c r="AI89" s="115"/>
      <c r="AJ89" s="115"/>
      <c r="AK89" s="116"/>
      <c r="AL89" s="45"/>
      <c r="AM89" s="45"/>
      <c r="AN89" s="45"/>
      <c r="AO89" s="45"/>
      <c r="AP89" s="45"/>
      <c r="AQ89" s="77"/>
      <c r="BS89" s="2"/>
      <c r="BT89" s="2"/>
      <c r="BU89" s="2"/>
      <c r="BV89" s="2"/>
      <c r="BW89" s="2"/>
      <c r="BX89" s="2"/>
      <c r="BY89" s="2"/>
      <c r="BZ89" s="2"/>
      <c r="CA89" s="2"/>
    </row>
    <row r="90" spans="1:79" ht="15.75" thickBot="1" x14ac:dyDescent="0.3">
      <c r="A90" s="2"/>
      <c r="N90" s="79"/>
      <c r="O90" s="124">
        <f t="shared" si="166"/>
        <v>108</v>
      </c>
      <c r="P90" s="184">
        <v>19</v>
      </c>
      <c r="Q90" s="115"/>
      <c r="R90" s="115"/>
      <c r="S90" s="115"/>
      <c r="T90" s="115"/>
      <c r="U90" s="115"/>
      <c r="V90" s="115"/>
      <c r="W90" s="115"/>
      <c r="X90" s="115"/>
      <c r="Y90" s="115"/>
      <c r="Z90" s="115"/>
      <c r="AA90" s="115"/>
      <c r="AB90" s="115"/>
      <c r="AC90" s="115"/>
      <c r="AD90" s="115"/>
      <c r="AE90" s="115"/>
      <c r="AF90" s="115"/>
      <c r="AG90" s="115"/>
      <c r="AH90" s="115"/>
      <c r="AI90" s="115"/>
      <c r="AJ90" s="115"/>
      <c r="AK90" s="116"/>
      <c r="AL90" s="45"/>
      <c r="AM90" s="45"/>
      <c r="AN90" s="45"/>
      <c r="AO90" s="45"/>
      <c r="AP90" s="45"/>
      <c r="AQ90" s="77"/>
      <c r="BS90" s="2"/>
      <c r="BT90" s="2"/>
      <c r="BU90" s="2"/>
      <c r="BV90" s="2"/>
      <c r="BW90" s="2"/>
      <c r="BX90" s="2"/>
      <c r="BY90" s="2"/>
      <c r="BZ90" s="2"/>
      <c r="CA90" s="2"/>
    </row>
    <row r="91" spans="1:79" ht="18.75" customHeight="1" thickBot="1" x14ac:dyDescent="0.3">
      <c r="A91" s="2"/>
      <c r="N91" s="79"/>
      <c r="O91" s="124">
        <f t="shared" si="166"/>
        <v>114</v>
      </c>
      <c r="P91" s="184">
        <v>20</v>
      </c>
      <c r="Q91" s="115"/>
      <c r="R91" s="115"/>
      <c r="S91" s="115"/>
      <c r="T91" s="115"/>
      <c r="U91" s="115"/>
      <c r="V91" s="115"/>
      <c r="W91" s="115"/>
      <c r="X91" s="115"/>
      <c r="Y91" s="115"/>
      <c r="Z91" s="115"/>
      <c r="AA91" s="115"/>
      <c r="AB91" s="115"/>
      <c r="AC91" s="115"/>
      <c r="AD91" s="115"/>
      <c r="AE91" s="115"/>
      <c r="AF91" s="115"/>
      <c r="AG91" s="115"/>
      <c r="AH91" s="115"/>
      <c r="AI91" s="115"/>
      <c r="AJ91" s="115"/>
      <c r="AK91" s="116"/>
      <c r="AL91" s="45"/>
      <c r="AM91" s="45"/>
      <c r="AN91" s="45"/>
      <c r="AO91" s="45"/>
      <c r="AP91" s="45"/>
      <c r="AQ91" s="77"/>
      <c r="BS91" s="2"/>
      <c r="BT91" s="2"/>
      <c r="BU91" s="2"/>
      <c r="BV91" s="2"/>
      <c r="BW91" s="2"/>
      <c r="BX91" s="2"/>
      <c r="BY91" s="2"/>
      <c r="BZ91" s="2"/>
      <c r="CA91" s="2"/>
    </row>
    <row r="92" spans="1:79" ht="18.75" customHeight="1" thickBot="1" x14ac:dyDescent="0.3">
      <c r="A92" s="2"/>
      <c r="N92" s="79"/>
      <c r="O92" s="124">
        <f t="shared" si="166"/>
        <v>120</v>
      </c>
      <c r="P92" s="184">
        <v>21</v>
      </c>
      <c r="Q92" s="115"/>
      <c r="R92" s="115"/>
      <c r="S92" s="115"/>
      <c r="T92" s="115"/>
      <c r="U92" s="115"/>
      <c r="V92" s="115"/>
      <c r="W92" s="115"/>
      <c r="X92" s="115"/>
      <c r="Y92" s="115"/>
      <c r="Z92" s="115"/>
      <c r="AA92" s="115"/>
      <c r="AB92" s="115"/>
      <c r="AC92" s="115"/>
      <c r="AD92" s="115"/>
      <c r="AE92" s="115"/>
      <c r="AF92" s="115"/>
      <c r="AG92" s="115"/>
      <c r="AH92" s="115"/>
      <c r="AI92" s="115"/>
      <c r="AJ92" s="115"/>
      <c r="AK92" s="116"/>
      <c r="AL92" s="45"/>
      <c r="AM92" s="45"/>
      <c r="AN92" s="45"/>
      <c r="AO92" s="45"/>
      <c r="AP92" s="45"/>
      <c r="AQ92" s="77"/>
      <c r="BS92" s="2"/>
      <c r="BT92" s="2"/>
      <c r="BU92" s="2"/>
      <c r="BV92" s="2"/>
      <c r="BW92" s="2"/>
      <c r="BX92" s="2"/>
      <c r="BY92" s="2"/>
      <c r="BZ92" s="2"/>
      <c r="CA92" s="2"/>
    </row>
    <row r="93" spans="1:79" ht="15.75" thickBot="1" x14ac:dyDescent="0.3">
      <c r="A93" s="2"/>
      <c r="N93" s="79"/>
      <c r="O93" s="113"/>
      <c r="P93" s="184"/>
      <c r="Q93" s="113"/>
      <c r="R93" s="45"/>
      <c r="S93" s="45"/>
      <c r="T93" s="45"/>
      <c r="U93" s="45"/>
      <c r="V93" s="45"/>
      <c r="W93" s="45"/>
      <c r="X93" s="45"/>
      <c r="Y93" s="45"/>
      <c r="Z93" s="115"/>
      <c r="AA93" s="115"/>
      <c r="AB93" s="115"/>
      <c r="AC93" s="115"/>
      <c r="AD93" s="115"/>
      <c r="AE93" s="115"/>
      <c r="AF93" s="115"/>
      <c r="AG93" s="115"/>
      <c r="AH93" s="115"/>
      <c r="AI93" s="115"/>
      <c r="AJ93" s="115"/>
      <c r="AK93" s="45"/>
      <c r="AL93" s="45"/>
      <c r="AM93" s="45"/>
      <c r="AN93" s="45"/>
      <c r="AO93" s="45"/>
      <c r="AP93" s="45"/>
      <c r="AQ93" s="46"/>
      <c r="BS93" s="2"/>
      <c r="BT93" s="2"/>
      <c r="BU93" s="2"/>
      <c r="BV93" s="2"/>
      <c r="BW93" s="2"/>
      <c r="BX93" s="2"/>
      <c r="BY93" s="2"/>
      <c r="BZ93" s="2"/>
      <c r="CA93" s="2"/>
    </row>
    <row r="94" spans="1:79" ht="15.75" thickBot="1" x14ac:dyDescent="0.3">
      <c r="A94" s="2"/>
      <c r="N94" s="79"/>
      <c r="O94" s="113"/>
      <c r="P94" s="46"/>
      <c r="Q94" s="113"/>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6"/>
      <c r="BS94" s="2"/>
      <c r="BT94" s="2"/>
      <c r="BU94" s="2"/>
      <c r="BV94" s="2"/>
      <c r="BW94" s="2"/>
      <c r="BX94" s="2"/>
      <c r="BY94" s="2"/>
      <c r="BZ94" s="2"/>
      <c r="CA94" s="2"/>
    </row>
    <row r="95" spans="1:79" ht="15.75" thickBot="1" x14ac:dyDescent="0.3">
      <c r="A95" s="2"/>
      <c r="N95" s="126"/>
      <c r="O95" s="125"/>
      <c r="P95" s="50"/>
      <c r="Q95" s="125"/>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50"/>
      <c r="BS95" s="2"/>
      <c r="BT95" s="2"/>
      <c r="BU95" s="2"/>
      <c r="BV95" s="2"/>
      <c r="BW95" s="2"/>
      <c r="BX95" s="2"/>
      <c r="BY95" s="2"/>
      <c r="BZ95" s="2"/>
      <c r="CA95" s="2"/>
    </row>
    <row r="96" spans="1:79" x14ac:dyDescent="0.25">
      <c r="A96" s="2"/>
      <c r="BS96" s="2"/>
      <c r="BT96" s="2"/>
      <c r="BU96" s="2"/>
      <c r="BV96" s="2"/>
      <c r="BW96" s="2"/>
      <c r="BX96" s="2"/>
      <c r="BY96" s="2"/>
      <c r="BZ96" s="2"/>
      <c r="CA96" s="2"/>
    </row>
    <row r="97" spans="1:79" ht="15.75" thickBot="1" x14ac:dyDescent="0.3">
      <c r="A97" s="2"/>
      <c r="BS97" s="2"/>
      <c r="BT97" s="2"/>
      <c r="BU97" s="2"/>
      <c r="BV97" s="2"/>
      <c r="BW97" s="2"/>
      <c r="BX97" s="2"/>
      <c r="BY97" s="2"/>
      <c r="BZ97" s="2"/>
      <c r="CA97" s="2"/>
    </row>
    <row r="98" spans="1:79" ht="21.75" thickBot="1" x14ac:dyDescent="0.4">
      <c r="N98" s="121" t="s">
        <v>143</v>
      </c>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3"/>
      <c r="BS98" s="2"/>
      <c r="BT98" s="2"/>
      <c r="BU98" s="2"/>
      <c r="BV98" s="2"/>
      <c r="BW98" s="2"/>
      <c r="BX98" s="2"/>
      <c r="BY98" s="2"/>
      <c r="BZ98" s="2"/>
      <c r="CA98" s="2"/>
    </row>
    <row r="99" spans="1:79" ht="15.75" thickBot="1" x14ac:dyDescent="0.3">
      <c r="N99" s="971"/>
      <c r="O99" s="155"/>
      <c r="P99" s="75"/>
      <c r="Q99" s="156">
        <f>F11</f>
        <v>9</v>
      </c>
      <c r="R99" s="157">
        <v>12</v>
      </c>
      <c r="S99" s="157">
        <f t="shared" ref="S99:AJ99" si="167">R99+6</f>
        <v>18</v>
      </c>
      <c r="T99" s="157">
        <f t="shared" si="167"/>
        <v>24</v>
      </c>
      <c r="U99" s="157">
        <f t="shared" si="167"/>
        <v>30</v>
      </c>
      <c r="V99" s="157">
        <f t="shared" si="167"/>
        <v>36</v>
      </c>
      <c r="W99" s="157">
        <f t="shared" si="167"/>
        <v>42</v>
      </c>
      <c r="X99" s="158">
        <f t="shared" si="167"/>
        <v>48</v>
      </c>
      <c r="Y99" s="157">
        <f t="shared" si="167"/>
        <v>54</v>
      </c>
      <c r="Z99" s="157">
        <f t="shared" si="167"/>
        <v>60</v>
      </c>
      <c r="AA99" s="157">
        <f t="shared" si="167"/>
        <v>66</v>
      </c>
      <c r="AB99" s="157">
        <f t="shared" si="167"/>
        <v>72</v>
      </c>
      <c r="AC99" s="157">
        <f t="shared" si="167"/>
        <v>78</v>
      </c>
      <c r="AD99" s="158">
        <f t="shared" si="167"/>
        <v>84</v>
      </c>
      <c r="AE99" s="157">
        <f t="shared" si="167"/>
        <v>90</v>
      </c>
      <c r="AF99" s="157">
        <f t="shared" si="167"/>
        <v>96</v>
      </c>
      <c r="AG99" s="157">
        <f t="shared" si="167"/>
        <v>102</v>
      </c>
      <c r="AH99" s="157">
        <f t="shared" si="167"/>
        <v>108</v>
      </c>
      <c r="AI99" s="157">
        <f t="shared" si="167"/>
        <v>114</v>
      </c>
      <c r="AJ99" s="158">
        <f t="shared" si="167"/>
        <v>120</v>
      </c>
      <c r="AK99" s="74"/>
      <c r="AL99" s="74"/>
      <c r="AM99" s="74"/>
      <c r="AN99" s="74"/>
      <c r="AO99" s="74"/>
      <c r="AP99" s="74"/>
      <c r="AQ99" s="75"/>
      <c r="BS99" s="2"/>
      <c r="BT99" s="2"/>
      <c r="BU99" s="2"/>
      <c r="BV99" s="2"/>
      <c r="BW99" s="2"/>
      <c r="BX99" s="2"/>
      <c r="BY99" s="2"/>
      <c r="BZ99" s="2"/>
      <c r="CA99" s="2"/>
    </row>
    <row r="100" spans="1:79" ht="15.75" thickBot="1" x14ac:dyDescent="0.3">
      <c r="N100" s="972"/>
      <c r="O100" s="48"/>
      <c r="P100" s="182">
        <v>1</v>
      </c>
      <c r="Q100" s="125">
        <v>2</v>
      </c>
      <c r="R100" s="49">
        <v>3</v>
      </c>
      <c r="S100" s="49">
        <v>4</v>
      </c>
      <c r="T100" s="49">
        <v>5</v>
      </c>
      <c r="U100" s="49">
        <v>6</v>
      </c>
      <c r="V100" s="49">
        <v>7</v>
      </c>
      <c r="W100" s="49">
        <v>8</v>
      </c>
      <c r="X100" s="49">
        <v>9</v>
      </c>
      <c r="Y100" s="49">
        <v>10</v>
      </c>
      <c r="Z100" s="49">
        <v>11</v>
      </c>
      <c r="AA100" s="49">
        <v>12</v>
      </c>
      <c r="AB100" s="49">
        <v>13</v>
      </c>
      <c r="AC100" s="49">
        <v>14</v>
      </c>
      <c r="AD100" s="49">
        <v>15</v>
      </c>
      <c r="AE100" s="49">
        <v>16</v>
      </c>
      <c r="AF100" s="49">
        <v>17</v>
      </c>
      <c r="AG100" s="49">
        <v>18</v>
      </c>
      <c r="AH100" s="49">
        <v>19</v>
      </c>
      <c r="AI100" s="49">
        <v>20</v>
      </c>
      <c r="AJ100" s="49">
        <v>21</v>
      </c>
      <c r="AK100" s="49"/>
      <c r="AL100" s="49"/>
      <c r="AM100" s="49"/>
      <c r="AN100" s="49"/>
      <c r="AO100" s="49"/>
      <c r="AP100" s="49"/>
      <c r="AQ100" s="50"/>
      <c r="BS100" s="2"/>
      <c r="BT100" s="2"/>
      <c r="BU100" s="2"/>
      <c r="BV100" s="2"/>
      <c r="BW100" s="2"/>
      <c r="BX100" s="2"/>
      <c r="BY100" s="2"/>
      <c r="BZ100" s="2"/>
      <c r="CA100" s="2"/>
    </row>
    <row r="101" spans="1:79" ht="15.75" thickBot="1" x14ac:dyDescent="0.3">
      <c r="N101" s="412"/>
      <c r="O101" s="154">
        <f>F12</f>
        <v>9.5</v>
      </c>
      <c r="P101" s="183">
        <v>2</v>
      </c>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4"/>
      <c r="AL101" s="114"/>
      <c r="AM101" s="114"/>
      <c r="AN101" s="114"/>
      <c r="AO101" s="114"/>
      <c r="AP101" s="114"/>
      <c r="AQ101" s="120"/>
    </row>
    <row r="102" spans="1:79" ht="16.5" thickBot="1" x14ac:dyDescent="0.3">
      <c r="N102" s="180"/>
      <c r="O102" s="124">
        <v>12</v>
      </c>
      <c r="P102" s="184">
        <v>3</v>
      </c>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45"/>
      <c r="AL102" s="117"/>
      <c r="AM102" s="117" t="e">
        <f>D49</f>
        <v>#REF!</v>
      </c>
      <c r="AN102" s="118" t="e">
        <f>C43</f>
        <v>#REF!</v>
      </c>
      <c r="AO102" s="117" t="e">
        <f>E49</f>
        <v>#REF!</v>
      </c>
      <c r="AP102" s="45"/>
      <c r="AQ102" s="46"/>
    </row>
    <row r="103" spans="1:79" ht="16.5" thickBot="1" x14ac:dyDescent="0.3">
      <c r="N103" s="181"/>
      <c r="O103" s="124">
        <f t="shared" ref="O103:O120" si="168">O102+6</f>
        <v>18</v>
      </c>
      <c r="P103" s="184">
        <v>4</v>
      </c>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76"/>
      <c r="AL103" s="117" t="e">
        <f>H49</f>
        <v>#REF!</v>
      </c>
      <c r="AM103" s="118" t="e">
        <f>INDEX(P100:AJ120,$H$50,$D$50)</f>
        <v>#REF!</v>
      </c>
      <c r="AN103" s="118" t="e">
        <f>(((AN102-AM102)/(AO102-AM102))*(AO103-AM103))+AM103</f>
        <v>#REF!</v>
      </c>
      <c r="AO103" s="118" t="e">
        <f>INDEX(P100:AJ120,$H$50,$E$50)</f>
        <v>#REF!</v>
      </c>
      <c r="AP103" s="45"/>
      <c r="AQ103" s="46"/>
    </row>
    <row r="104" spans="1:79" ht="16.5" thickBot="1" x14ac:dyDescent="0.3">
      <c r="N104" s="79"/>
      <c r="O104" s="124">
        <f t="shared" si="168"/>
        <v>24</v>
      </c>
      <c r="P104" s="184">
        <v>5</v>
      </c>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45"/>
      <c r="AL104" s="413" t="e">
        <f>C44</f>
        <v>#REF!</v>
      </c>
      <c r="AM104" s="118" t="e">
        <f>(((AL104-AL103)/(AL105-AL103))*(AM105-AM103))+AM103</f>
        <v>#REF!</v>
      </c>
      <c r="AN104" s="119" t="e">
        <f>IF(AND(AN102&gt;72,AL104&gt;72),5/0,IF(AN102=120,AM104,(((AN103-AM103)/(AO103-AM103))*(AO104-AM104))+AM104))</f>
        <v>#REF!</v>
      </c>
      <c r="AO104" s="118" t="e">
        <f>(((AL104-AL103)/(AL105-AL103))*(AO105-AO103))+AO103</f>
        <v>#REF!</v>
      </c>
      <c r="AP104" s="45"/>
      <c r="AQ104" s="46"/>
    </row>
    <row r="105" spans="1:79" ht="16.5" thickBot="1" x14ac:dyDescent="0.3">
      <c r="N105" s="79"/>
      <c r="O105" s="124">
        <f t="shared" si="168"/>
        <v>30</v>
      </c>
      <c r="P105" s="184">
        <v>6</v>
      </c>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78"/>
      <c r="AL105" s="117" t="e">
        <f>I49</f>
        <v>#REF!</v>
      </c>
      <c r="AM105" s="118" t="e">
        <f>INDEX(P100:AJ120,$I$50,$D$50)</f>
        <v>#REF!</v>
      </c>
      <c r="AN105" s="118" t="e">
        <f>(((AN102-AM102)/(AO102-AM102))*(AO105-AM105))+AM105</f>
        <v>#REF!</v>
      </c>
      <c r="AO105" s="118" t="e">
        <f>INDEX(P100:AJ120,$I$50,$E$50)</f>
        <v>#REF!</v>
      </c>
      <c r="AP105" s="45"/>
      <c r="AQ105" s="46"/>
    </row>
    <row r="106" spans="1:79" ht="15.75" thickBot="1" x14ac:dyDescent="0.3">
      <c r="N106" s="79"/>
      <c r="O106" s="124">
        <f t="shared" si="168"/>
        <v>36</v>
      </c>
      <c r="P106" s="184">
        <v>7</v>
      </c>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78"/>
      <c r="AL106" s="45"/>
      <c r="AM106" s="45"/>
      <c r="AN106" s="45"/>
      <c r="AO106" s="45"/>
      <c r="AP106" s="45"/>
      <c r="AQ106" s="46"/>
    </row>
    <row r="107" spans="1:79" ht="15.75" thickBot="1" x14ac:dyDescent="0.3">
      <c r="N107" s="79"/>
      <c r="O107" s="124">
        <f t="shared" si="168"/>
        <v>42</v>
      </c>
      <c r="P107" s="184">
        <v>8</v>
      </c>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78"/>
      <c r="AL107" s="45"/>
      <c r="AM107" s="250"/>
      <c r="AN107" s="45"/>
      <c r="AO107" s="45"/>
      <c r="AP107" s="45"/>
      <c r="AQ107" s="46"/>
    </row>
    <row r="108" spans="1:79" ht="15.75" thickBot="1" x14ac:dyDescent="0.3">
      <c r="N108" s="79"/>
      <c r="O108" s="124">
        <f t="shared" si="168"/>
        <v>48</v>
      </c>
      <c r="P108" s="184">
        <v>9</v>
      </c>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78"/>
      <c r="AL108" s="45"/>
      <c r="AM108" s="250" t="s">
        <v>146</v>
      </c>
      <c r="AN108" s="45">
        <v>8.9999999999999998E-4</v>
      </c>
      <c r="AO108" s="45" t="s">
        <v>147</v>
      </c>
      <c r="AP108" s="45"/>
      <c r="AQ108" s="46"/>
    </row>
    <row r="109" spans="1:79" ht="15.75" thickBot="1" x14ac:dyDescent="0.3">
      <c r="N109" s="79"/>
      <c r="O109" s="124">
        <f t="shared" si="168"/>
        <v>54</v>
      </c>
      <c r="P109" s="184">
        <v>10</v>
      </c>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78"/>
      <c r="AL109" s="45"/>
      <c r="AM109" s="45" t="s">
        <v>152</v>
      </c>
      <c r="AN109" s="45" t="e">
        <f>(D3*D4)</f>
        <v>#REF!</v>
      </c>
      <c r="AO109" s="45" t="s">
        <v>153</v>
      </c>
      <c r="AP109" s="45"/>
      <c r="AQ109" s="46"/>
    </row>
    <row r="110" spans="1:79" ht="15.75" thickBot="1" x14ac:dyDescent="0.3">
      <c r="N110" s="79"/>
      <c r="O110" s="124">
        <f t="shared" si="168"/>
        <v>60</v>
      </c>
      <c r="P110" s="184">
        <v>11</v>
      </c>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45"/>
      <c r="AL110" s="45"/>
      <c r="AM110" s="45"/>
      <c r="AN110" s="185"/>
      <c r="AO110" s="45"/>
      <c r="AP110" s="45"/>
      <c r="AQ110" s="46"/>
    </row>
    <row r="111" spans="1:79" ht="16.5" thickBot="1" x14ac:dyDescent="0.3">
      <c r="N111" s="79"/>
      <c r="O111" s="124">
        <f t="shared" si="168"/>
        <v>66</v>
      </c>
      <c r="P111" s="184">
        <v>12</v>
      </c>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45"/>
      <c r="AL111" s="45"/>
      <c r="AM111" s="250" t="s">
        <v>148</v>
      </c>
      <c r="AN111" s="186"/>
      <c r="AO111" s="116" t="e">
        <f>AN108*AN109</f>
        <v>#REF!</v>
      </c>
      <c r="AP111" s="45" t="s">
        <v>141</v>
      </c>
      <c r="AQ111" s="46"/>
    </row>
    <row r="112" spans="1:79" ht="16.5" thickBot="1" x14ac:dyDescent="0.3">
      <c r="N112" s="79"/>
      <c r="O112" s="124">
        <f t="shared" si="168"/>
        <v>72</v>
      </c>
      <c r="P112" s="184">
        <v>13</v>
      </c>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45"/>
      <c r="AL112" s="45"/>
      <c r="AM112" s="163"/>
      <c r="AN112" s="186"/>
      <c r="AO112" s="45"/>
      <c r="AP112" s="45"/>
      <c r="AQ112" s="46"/>
    </row>
    <row r="113" spans="14:43" ht="15.75" thickBot="1" x14ac:dyDescent="0.3">
      <c r="N113" s="79"/>
      <c r="O113" s="124">
        <f t="shared" si="168"/>
        <v>78</v>
      </c>
      <c r="P113" s="184">
        <v>14</v>
      </c>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45"/>
      <c r="AL113" s="45"/>
      <c r="AM113" s="45"/>
      <c r="AN113" s="185"/>
      <c r="AO113" s="45"/>
      <c r="AP113" s="45"/>
      <c r="AQ113" s="46"/>
    </row>
    <row r="114" spans="14:43" ht="15.75" thickBot="1" x14ac:dyDescent="0.3">
      <c r="N114" s="79"/>
      <c r="O114" s="124">
        <f t="shared" si="168"/>
        <v>84</v>
      </c>
      <c r="P114" s="184">
        <v>15</v>
      </c>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45"/>
      <c r="AL114" s="45"/>
      <c r="AM114" s="45"/>
      <c r="AN114" s="185"/>
      <c r="AO114" s="45"/>
      <c r="AP114" s="45"/>
      <c r="AQ114" s="77"/>
    </row>
    <row r="115" spans="14:43" ht="15.75" thickBot="1" x14ac:dyDescent="0.3">
      <c r="N115" s="79"/>
      <c r="O115" s="124">
        <f t="shared" si="168"/>
        <v>90</v>
      </c>
      <c r="P115" s="184">
        <v>16</v>
      </c>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6"/>
      <c r="AL115" s="45"/>
      <c r="AM115" s="45"/>
      <c r="AN115" s="45"/>
      <c r="AO115" s="45"/>
      <c r="AP115" s="45"/>
      <c r="AQ115" s="77"/>
    </row>
    <row r="116" spans="14:43" ht="15.75" thickBot="1" x14ac:dyDescent="0.3">
      <c r="N116" s="79"/>
      <c r="O116" s="124">
        <f t="shared" si="168"/>
        <v>96</v>
      </c>
      <c r="P116" s="184">
        <v>17</v>
      </c>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6"/>
      <c r="AL116" s="45"/>
      <c r="AM116" s="45"/>
      <c r="AN116" s="45"/>
      <c r="AO116" s="45"/>
      <c r="AP116" s="45"/>
      <c r="AQ116" s="77"/>
    </row>
    <row r="117" spans="14:43" ht="15.75" thickBot="1" x14ac:dyDescent="0.3">
      <c r="N117" s="79"/>
      <c r="O117" s="124">
        <f t="shared" si="168"/>
        <v>102</v>
      </c>
      <c r="P117" s="184">
        <v>18</v>
      </c>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6"/>
      <c r="AL117" s="45"/>
      <c r="AM117" s="45"/>
      <c r="AN117" s="45"/>
      <c r="AO117" s="45"/>
      <c r="AP117" s="45"/>
      <c r="AQ117" s="77"/>
    </row>
    <row r="118" spans="14:43" ht="15.75" thickBot="1" x14ac:dyDescent="0.3">
      <c r="N118" s="79"/>
      <c r="O118" s="124">
        <f t="shared" si="168"/>
        <v>108</v>
      </c>
      <c r="P118" s="184">
        <v>19</v>
      </c>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6"/>
      <c r="AL118" s="45"/>
      <c r="AM118" s="45"/>
      <c r="AN118" s="45"/>
      <c r="AO118" s="45"/>
      <c r="AP118" s="45"/>
      <c r="AQ118" s="77"/>
    </row>
    <row r="119" spans="14:43" ht="15.75" thickBot="1" x14ac:dyDescent="0.3">
      <c r="N119" s="79"/>
      <c r="O119" s="124">
        <f t="shared" si="168"/>
        <v>114</v>
      </c>
      <c r="P119" s="184">
        <v>20</v>
      </c>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6"/>
      <c r="AL119" s="45"/>
      <c r="AM119" s="45"/>
      <c r="AN119" s="45"/>
      <c r="AO119" s="45"/>
      <c r="AP119" s="45"/>
      <c r="AQ119" s="77"/>
    </row>
    <row r="120" spans="14:43" ht="15.75" thickBot="1" x14ac:dyDescent="0.3">
      <c r="N120" s="79"/>
      <c r="O120" s="124">
        <f t="shared" si="168"/>
        <v>120</v>
      </c>
      <c r="P120" s="184">
        <v>21</v>
      </c>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6"/>
      <c r="AL120" s="45"/>
      <c r="AM120" s="45"/>
      <c r="AN120" s="45"/>
      <c r="AO120" s="45"/>
      <c r="AP120" s="45"/>
      <c r="AQ120" s="77"/>
    </row>
    <row r="121" spans="14:43" ht="15.75" thickBot="1" x14ac:dyDescent="0.3">
      <c r="N121" s="79"/>
      <c r="O121" s="113"/>
      <c r="P121" s="184"/>
      <c r="Q121" s="113"/>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6"/>
    </row>
    <row r="122" spans="14:43" ht="15.75" thickBot="1" x14ac:dyDescent="0.3">
      <c r="N122" s="79"/>
      <c r="O122" s="113"/>
      <c r="P122" s="46"/>
      <c r="Q122" s="113"/>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6"/>
    </row>
    <row r="123" spans="14:43" ht="15.75" thickBot="1" x14ac:dyDescent="0.3">
      <c r="N123" s="126"/>
      <c r="O123" s="125"/>
      <c r="P123" s="50"/>
      <c r="Q123" s="125"/>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50"/>
    </row>
    <row r="135" spans="3:3" ht="150.75" customHeight="1" x14ac:dyDescent="0.25"/>
    <row r="144" spans="3:3" x14ac:dyDescent="0.25">
      <c r="C144" s="138"/>
    </row>
    <row r="145" spans="3:3" x14ac:dyDescent="0.25">
      <c r="C145" s="138"/>
    </row>
    <row r="276" spans="24:25" x14ac:dyDescent="0.25">
      <c r="X276" s="110"/>
      <c r="Y276" s="109"/>
    </row>
  </sheetData>
  <sheetProtection sheet="1" selectLockedCells="1" selectUnlockedCells="1"/>
  <mergeCells count="8">
    <mergeCell ref="N71:N72"/>
    <mergeCell ref="N99:N100"/>
    <mergeCell ref="N43:N44"/>
    <mergeCell ref="D14:W14"/>
    <mergeCell ref="AT14:IX14"/>
    <mergeCell ref="AU16:AV18"/>
    <mergeCell ref="AW16:IG17"/>
    <mergeCell ref="IQ17:IW17"/>
  </mergeCells>
  <conditionalFormatting sqref="Q73:AJ78 Q79:Y92">
    <cfRule type="colorScale" priority="3">
      <colorScale>
        <cfvo type="min"/>
        <cfvo type="percentile" val="50"/>
        <cfvo type="max"/>
        <color rgb="FF63BE7B"/>
        <color rgb="FFFFEB84"/>
        <color rgb="FFF8696B"/>
      </colorScale>
    </cfRule>
  </conditionalFormatting>
  <conditionalFormatting sqref="Q101:AJ120">
    <cfRule type="colorScale" priority="2">
      <colorScale>
        <cfvo type="min"/>
        <cfvo type="percentile" val="50"/>
        <cfvo type="max"/>
        <color rgb="FF63BE7B"/>
        <color rgb="FFFFEB84"/>
        <color rgb="FFF8696B"/>
      </colorScale>
    </cfRule>
  </conditionalFormatting>
  <conditionalFormatting sqref="Z79:AJ9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82"/>
  <sheetViews>
    <sheetView topLeftCell="C114" zoomScale="40" zoomScaleNormal="40" workbookViewId="0">
      <selection activeCell="T39" sqref="T39"/>
    </sheetView>
  </sheetViews>
  <sheetFormatPr defaultRowHeight="15" x14ac:dyDescent="0.25"/>
  <cols>
    <col min="1" max="1" width="12.85546875" customWidth="1"/>
    <col min="2" max="2" width="20.28515625" customWidth="1"/>
    <col min="3" max="3" width="16.5703125" customWidth="1"/>
    <col min="4" max="4" width="15.7109375" customWidth="1"/>
    <col min="5" max="5" width="17.85546875" customWidth="1"/>
    <col min="6" max="6" width="12.7109375" customWidth="1"/>
    <col min="7" max="7" width="16" customWidth="1"/>
    <col min="8" max="8" width="18.28515625" customWidth="1"/>
    <col min="9" max="9" width="15" customWidth="1"/>
    <col min="10" max="10" width="12.7109375" customWidth="1"/>
    <col min="11" max="11" width="13" customWidth="1"/>
    <col min="12" max="12" width="10.28515625" customWidth="1"/>
    <col min="13" max="13" width="10.140625" customWidth="1"/>
    <col min="14" max="14" width="19.28515625" customWidth="1"/>
    <col min="15" max="15" width="17.42578125" customWidth="1"/>
    <col min="16" max="16" width="11.28515625" customWidth="1"/>
    <col min="17" max="17" width="10.85546875" customWidth="1"/>
    <col min="18" max="18" width="30" customWidth="1"/>
    <col min="19" max="19" width="13.42578125" customWidth="1"/>
    <col min="20" max="20" width="10.28515625" customWidth="1"/>
    <col min="21" max="21" width="20.28515625" customWidth="1"/>
    <col min="22" max="22" width="14" customWidth="1"/>
    <col min="23" max="23" width="15.42578125" customWidth="1"/>
    <col min="24" max="24" width="12.85546875" customWidth="1"/>
    <col min="25" max="25" width="11.5703125" customWidth="1"/>
    <col min="26" max="26" width="11.7109375" customWidth="1"/>
    <col min="28" max="28" width="12.140625" customWidth="1"/>
    <col min="29" max="31" width="9.140625" customWidth="1"/>
    <col min="32" max="32" width="8.7109375" customWidth="1"/>
    <col min="33" max="35" width="9.140625" customWidth="1"/>
    <col min="37" max="37" width="13" customWidth="1"/>
    <col min="38" max="51" width="9.140625" customWidth="1"/>
    <col min="52" max="59" width="9.140625" hidden="1" customWidth="1"/>
    <col min="60" max="61" width="9.140625" customWidth="1"/>
    <col min="62" max="69" width="9.140625" hidden="1" customWidth="1"/>
    <col min="70" max="71" width="9.140625" customWidth="1"/>
    <col min="72" max="79" width="9.140625" hidden="1" customWidth="1"/>
    <col min="80" max="81" width="9.140625" customWidth="1"/>
    <col min="82" max="89" width="9.140625" hidden="1" customWidth="1"/>
    <col min="90" max="91" width="9.140625" customWidth="1"/>
    <col min="92" max="99" width="9.140625" hidden="1" customWidth="1"/>
    <col min="100" max="101" width="9.140625" customWidth="1"/>
    <col min="102" max="109" width="9.140625" hidden="1" customWidth="1"/>
    <col min="110" max="111" width="9.140625" customWidth="1"/>
    <col min="112" max="116" width="9.140625" hidden="1" customWidth="1"/>
    <col min="117" max="117" width="12.140625" hidden="1" customWidth="1"/>
    <col min="118" max="119" width="9.140625" hidden="1" customWidth="1"/>
    <col min="120" max="131" width="9.140625" customWidth="1"/>
    <col min="132" max="139" width="9.140625" hidden="1" customWidth="1"/>
    <col min="140" max="141" width="9.140625" customWidth="1"/>
    <col min="142" max="149" width="9.140625" hidden="1" customWidth="1"/>
    <col min="150" max="151" width="9.140625" customWidth="1"/>
    <col min="152" max="159" width="9.140625" hidden="1" customWidth="1"/>
    <col min="160" max="171" width="9.140625" customWidth="1"/>
    <col min="172" max="179" width="9.140625" hidden="1" customWidth="1"/>
    <col min="180" max="181" width="9.140625" customWidth="1"/>
    <col min="182" max="189" width="9.140625" hidden="1" customWidth="1"/>
    <col min="190" max="191" width="9.140625" customWidth="1"/>
    <col min="192" max="199" width="9.140625" hidden="1" customWidth="1"/>
    <col min="200" max="201" width="9.140625" customWidth="1"/>
    <col min="202" max="204" width="9.140625" hidden="1" customWidth="1"/>
    <col min="205" max="205" width="18.140625" hidden="1" customWidth="1"/>
    <col min="206" max="206" width="15.140625" hidden="1" customWidth="1"/>
    <col min="207" max="207" width="17.85546875" hidden="1" customWidth="1"/>
    <col min="208" max="208" width="29" hidden="1" customWidth="1"/>
    <col min="209" max="209" width="30.28515625" hidden="1" customWidth="1"/>
    <col min="210" max="210" width="10.140625" customWidth="1"/>
    <col min="211" max="211" width="9.28515625" customWidth="1"/>
    <col min="212" max="212" width="10.7109375" hidden="1" customWidth="1"/>
    <col min="213" max="213" width="12.140625" hidden="1" customWidth="1"/>
    <col min="214" max="216" width="9.140625" hidden="1" customWidth="1"/>
    <col min="217" max="217" width="20.28515625" hidden="1" customWidth="1"/>
    <col min="218" max="218" width="36" hidden="1" customWidth="1"/>
    <col min="219" max="219" width="35.42578125" hidden="1" customWidth="1"/>
    <col min="220" max="220" width="7.42578125" customWidth="1"/>
    <col min="221" max="221" width="9.28515625" customWidth="1"/>
    <col min="222" max="224" width="9.140625" hidden="1" customWidth="1"/>
    <col min="225" max="225" width="18.28515625" hidden="1" customWidth="1"/>
    <col min="226" max="229" width="9.140625" hidden="1" customWidth="1"/>
    <col min="230" max="231" width="9.140625" customWidth="1"/>
    <col min="232" max="239" width="9.140625" hidden="1" customWidth="1"/>
    <col min="240" max="241" width="9.140625" customWidth="1"/>
    <col min="242" max="249" width="9.140625" hidden="1" customWidth="1"/>
    <col min="250" max="259" width="9.140625" customWidth="1"/>
  </cols>
  <sheetData>
    <row r="1" spans="2:258" ht="21.75" thickBot="1" x14ac:dyDescent="0.4">
      <c r="B1" s="188" t="s">
        <v>36</v>
      </c>
      <c r="C1" s="213" t="s">
        <v>180</v>
      </c>
      <c r="D1" s="189"/>
      <c r="E1" s="189"/>
      <c r="F1" s="189"/>
      <c r="G1" s="189"/>
      <c r="H1" s="189"/>
      <c r="I1" s="190"/>
    </row>
    <row r="2" spans="2:258" ht="21.75" thickBot="1" x14ac:dyDescent="0.4">
      <c r="B2" s="214" t="s">
        <v>37</v>
      </c>
      <c r="C2" s="40"/>
      <c r="D2" s="187"/>
      <c r="E2" s="40"/>
      <c r="F2" s="40"/>
      <c r="G2" s="40"/>
      <c r="H2" s="215" t="s">
        <v>232</v>
      </c>
      <c r="I2" s="216" t="s">
        <v>233</v>
      </c>
      <c r="N2" s="459" t="s">
        <v>52</v>
      </c>
      <c r="O2" s="460"/>
      <c r="P2" s="460"/>
      <c r="Q2" s="460"/>
      <c r="R2" s="460"/>
      <c r="S2" s="460"/>
      <c r="T2" s="460"/>
      <c r="U2" s="460"/>
      <c r="V2" s="460"/>
      <c r="W2" s="461"/>
    </row>
    <row r="3" spans="2:258" ht="18.75" x14ac:dyDescent="0.3">
      <c r="B3" s="214" t="s">
        <v>181</v>
      </c>
      <c r="C3" s="187" t="str">
        <f>IF('DATA ENTRY'!B9="mm",'DATA ENTRY'!B10/25.4,'DATA ENTRY'!B10)</f>
        <v>ENTER LENGTH</v>
      </c>
      <c r="D3" s="179"/>
      <c r="E3" s="40"/>
      <c r="F3" s="40"/>
      <c r="G3" s="215" t="s">
        <v>229</v>
      </c>
      <c r="H3" s="187">
        <v>12</v>
      </c>
      <c r="I3" s="191">
        <v>240</v>
      </c>
      <c r="N3" s="41"/>
      <c r="O3" s="40"/>
      <c r="P3" s="40"/>
      <c r="Q3" s="40"/>
      <c r="R3" s="40"/>
      <c r="S3" s="40"/>
      <c r="T3" s="40"/>
      <c r="U3" s="40"/>
      <c r="V3" s="40"/>
      <c r="W3" s="169"/>
    </row>
    <row r="4" spans="2:258" ht="18.75" x14ac:dyDescent="0.3">
      <c r="B4" s="214" t="s">
        <v>38</v>
      </c>
      <c r="C4" s="187" t="str">
        <f>IF('DATA ENTRY'!B9="mm",'DATA ENTRY'!B11/25.4,'DATA ENTRY'!B11)</f>
        <v>ENTER WIDTH</v>
      </c>
      <c r="D4" s="179"/>
      <c r="E4" s="40"/>
      <c r="F4" s="40"/>
      <c r="G4" s="215" t="s">
        <v>230</v>
      </c>
      <c r="H4" s="187">
        <v>12</v>
      </c>
      <c r="I4" s="191">
        <v>120</v>
      </c>
      <c r="N4" s="41"/>
      <c r="O4" s="173" t="str">
        <f>C1&amp;"_MODEL"</f>
        <v>BCDE439_MODEL</v>
      </c>
      <c r="P4" s="173" t="s">
        <v>182</v>
      </c>
      <c r="Q4" s="173"/>
      <c r="R4" s="173"/>
      <c r="S4" s="173"/>
      <c r="T4" s="40"/>
      <c r="U4" s="40"/>
      <c r="V4" s="179" t="s">
        <v>93</v>
      </c>
      <c r="W4" s="169"/>
    </row>
    <row r="5" spans="2:258" ht="18.75" x14ac:dyDescent="0.3">
      <c r="B5" s="214" t="s">
        <v>39</v>
      </c>
      <c r="C5" s="187" t="str">
        <f>IF('DATA ENTRY'!B9="mm",'DATA ENTRY'!B12/25.4,'DATA ENTRY'!B12)</f>
        <v>ENTER HEIGHT</v>
      </c>
      <c r="D5" s="179"/>
      <c r="E5" s="40"/>
      <c r="F5" s="40"/>
      <c r="G5" s="215" t="s">
        <v>231</v>
      </c>
      <c r="H5" s="187">
        <v>9.5</v>
      </c>
      <c r="I5" s="191">
        <v>72</v>
      </c>
      <c r="N5" s="171" t="s">
        <v>79</v>
      </c>
      <c r="O5" s="173" t="str">
        <f>C1&amp;"_FA"</f>
        <v>BCDE439_FA</v>
      </c>
      <c r="P5" s="175" t="str">
        <f>D83</f>
        <v/>
      </c>
      <c r="Q5" s="173" t="s">
        <v>42</v>
      </c>
      <c r="R5" s="40"/>
      <c r="S5" s="40"/>
      <c r="T5" s="40"/>
      <c r="U5" s="40"/>
      <c r="V5" s="173" t="str">
        <f>C1&amp;"_W"</f>
        <v>BCDE439_W</v>
      </c>
      <c r="W5" s="178" t="str">
        <f>C3</f>
        <v>ENTER LENGTH</v>
      </c>
    </row>
    <row r="6" spans="2:258" ht="18.75" x14ac:dyDescent="0.3">
      <c r="B6" s="214" t="s">
        <v>40</v>
      </c>
      <c r="C6" s="483" t="str">
        <f>IF('DATA ENTRY'!B9="mm",'DATA ENTRY'!B13*2.1188799727597,'DATA ENTRY'!B13)</f>
        <v>ENTER AIR VOLUME</v>
      </c>
      <c r="D6" s="215"/>
      <c r="E6" s="215"/>
      <c r="F6" s="40"/>
      <c r="G6" s="40"/>
      <c r="H6" s="40"/>
      <c r="I6" s="169"/>
      <c r="N6" s="171" t="s">
        <v>56</v>
      </c>
      <c r="O6" s="173" t="str">
        <f>C1&amp;"_FA%"</f>
        <v>BCDE439_FA%</v>
      </c>
      <c r="P6" s="176" t="e">
        <f>D85</f>
        <v>#VALUE!</v>
      </c>
      <c r="Q6" s="173" t="s">
        <v>13</v>
      </c>
      <c r="R6" s="40"/>
      <c r="S6" s="40"/>
      <c r="T6" s="40"/>
      <c r="U6" s="40"/>
      <c r="V6" s="173" t="str">
        <f>C1&amp;"_H"</f>
        <v>BCDE439_H</v>
      </c>
      <c r="W6" s="178" t="str">
        <f>C4</f>
        <v>ENTER WIDTH</v>
      </c>
    </row>
    <row r="7" spans="2:258" ht="18.75" x14ac:dyDescent="0.3">
      <c r="B7" s="214" t="s">
        <v>41</v>
      </c>
      <c r="C7" s="215" t="str">
        <f>'DATA ENTRY'!B14</f>
        <v>SELECT AIR DIRECTION</v>
      </c>
      <c r="D7" s="215"/>
      <c r="E7" s="215"/>
      <c r="F7" s="40"/>
      <c r="G7" s="40"/>
      <c r="H7" s="40"/>
      <c r="I7" s="169"/>
      <c r="N7" s="171" t="s">
        <v>82</v>
      </c>
      <c r="O7" s="173" t="str">
        <f>C1&amp;"_VEL"</f>
        <v>BCDE439_VEL</v>
      </c>
      <c r="P7" s="176" t="e">
        <f>D87</f>
        <v>#VALUE!</v>
      </c>
      <c r="Q7" s="173" t="s">
        <v>0</v>
      </c>
      <c r="R7" s="40"/>
      <c r="S7" s="40"/>
      <c r="T7" s="40"/>
      <c r="U7" s="40"/>
      <c r="V7" s="173" t="str">
        <f>C1&amp;"_SL"</f>
        <v>BCDE439_SL</v>
      </c>
      <c r="W7" s="178" t="e">
        <f>C9</f>
        <v>#VALUE!</v>
      </c>
    </row>
    <row r="8" spans="2:258" ht="18.75" x14ac:dyDescent="0.3">
      <c r="B8" s="214"/>
      <c r="C8" s="215"/>
      <c r="D8" s="215"/>
      <c r="E8" s="215"/>
      <c r="F8" s="40"/>
      <c r="G8" s="40"/>
      <c r="H8" s="40"/>
      <c r="I8" s="169"/>
      <c r="N8" s="171" t="s">
        <v>80</v>
      </c>
      <c r="O8" s="173" t="str">
        <f>C1&amp;"_Intake"</f>
        <v>BCDE439_Intake</v>
      </c>
      <c r="P8" s="177" t="e">
        <f>D88</f>
        <v>#VALUE!</v>
      </c>
      <c r="Q8" s="173" t="s">
        <v>85</v>
      </c>
      <c r="R8" s="40"/>
      <c r="S8" s="40"/>
      <c r="T8" s="40"/>
      <c r="U8" s="40"/>
      <c r="V8" s="173" t="str">
        <f>C1&amp;"_SW"</f>
        <v>BCDE439_SW</v>
      </c>
      <c r="W8" s="178" t="e">
        <f>F9</f>
        <v>#VALUE!</v>
      </c>
    </row>
    <row r="9" spans="2:258" ht="18.75" x14ac:dyDescent="0.3">
      <c r="B9" s="214" t="s">
        <v>183</v>
      </c>
      <c r="C9" s="462" t="e">
        <f>CEILING(C3/60,1)</f>
        <v>#VALUE!</v>
      </c>
      <c r="D9" s="215"/>
      <c r="E9" s="215" t="s">
        <v>60</v>
      </c>
      <c r="F9" s="462" t="e">
        <f>CEILING(C4/60,1)</f>
        <v>#VALUE!</v>
      </c>
      <c r="G9" s="40"/>
      <c r="H9" s="215" t="s">
        <v>61</v>
      </c>
      <c r="I9" s="463" t="e">
        <f>CEILING(C5/72,1)</f>
        <v>#VALUE!</v>
      </c>
      <c r="N9" s="171" t="s">
        <v>81</v>
      </c>
      <c r="O9" s="173" t="str">
        <f>C1&amp;"_Exhaust"</f>
        <v>BCDE439_Exhaust</v>
      </c>
      <c r="P9" s="177" t="e">
        <f>D89</f>
        <v>#VALUE!</v>
      </c>
      <c r="Q9" s="173" t="s">
        <v>85</v>
      </c>
      <c r="R9" s="40"/>
      <c r="S9" s="40"/>
      <c r="T9" s="40"/>
      <c r="U9" s="40"/>
      <c r="V9" s="173" t="str">
        <f>C1&amp;"_TA"</f>
        <v>BCDE439_TA</v>
      </c>
      <c r="W9" s="178">
        <f>IF(OR(C3&lt;H3,C4&lt;H4,C5&lt;H5,C3&gt;I3,C4&gt;I4,C5&gt;I5),0,(C3*C4)/144)</f>
        <v>0</v>
      </c>
    </row>
    <row r="10" spans="2:258" ht="18.75" x14ac:dyDescent="0.3">
      <c r="B10" s="214" t="s">
        <v>184</v>
      </c>
      <c r="C10" s="462" t="e">
        <f>(C3/C9)</f>
        <v>#VALUE!</v>
      </c>
      <c r="D10" s="215"/>
      <c r="E10" s="215" t="s">
        <v>58</v>
      </c>
      <c r="F10" s="462" t="e">
        <f>(C4/F9)</f>
        <v>#VALUE!</v>
      </c>
      <c r="G10" s="40"/>
      <c r="H10" s="215" t="s">
        <v>51</v>
      </c>
      <c r="I10" s="463" t="e">
        <f>(C5/I9)</f>
        <v>#VALUE!</v>
      </c>
      <c r="N10" s="171" t="s">
        <v>86</v>
      </c>
      <c r="O10" s="173" t="str">
        <f>C1&amp;"_SEC"</f>
        <v>BCDE439_SEC</v>
      </c>
      <c r="P10" s="173">
        <f>IF(OR(C3&lt;H3,C4&lt;H4,C5&lt;H5,C3&gt;I3,C4&gt;I4,C5&gt;I5),0,D13)</f>
        <v>0</v>
      </c>
      <c r="Q10" s="173"/>
      <c r="R10" s="40"/>
      <c r="S10" s="40"/>
      <c r="T10" s="40"/>
      <c r="U10" s="40"/>
      <c r="V10" s="40"/>
      <c r="W10" s="169"/>
    </row>
    <row r="11" spans="2:258" ht="18.75" x14ac:dyDescent="0.3">
      <c r="B11" s="214"/>
      <c r="C11" s="215"/>
      <c r="D11" s="215"/>
      <c r="E11" s="215"/>
      <c r="F11" s="215"/>
      <c r="G11" s="40"/>
      <c r="H11" s="40"/>
      <c r="I11" s="169"/>
      <c r="N11" s="171" t="s">
        <v>83</v>
      </c>
      <c r="O11" s="173" t="str">
        <f>C1&amp;"_SECW"</f>
        <v>BCDE439_SECW</v>
      </c>
      <c r="P11" s="194" t="e">
        <f>IF(OR(D3&gt;I3,D4&gt;I4,D5&gt;I5),0,AB81)</f>
        <v>#VALUE!</v>
      </c>
      <c r="Q11" s="173" t="s">
        <v>72</v>
      </c>
      <c r="R11" s="40"/>
      <c r="S11" s="40"/>
      <c r="T11" s="40"/>
      <c r="U11" s="40"/>
      <c r="V11" s="40"/>
      <c r="W11" s="169"/>
    </row>
    <row r="12" spans="2:258" ht="19.5" thickBot="1" x14ac:dyDescent="0.35">
      <c r="B12" s="41"/>
      <c r="C12" s="214" t="s">
        <v>185</v>
      </c>
      <c r="D12" s="462" t="e">
        <f>C9*I9</f>
        <v>#VALUE!</v>
      </c>
      <c r="E12" s="215"/>
      <c r="F12" s="215" t="s">
        <v>186</v>
      </c>
      <c r="G12" s="462" t="e">
        <f>F9*I9</f>
        <v>#VALUE!</v>
      </c>
      <c r="H12" s="40"/>
      <c r="I12" s="169"/>
      <c r="N12" s="172" t="s">
        <v>84</v>
      </c>
      <c r="O12" s="174" t="str">
        <f>C1&amp;"_TW"</f>
        <v>BCDE439_TW</v>
      </c>
      <c r="P12" s="416">
        <f>IF(OR(C3&lt;H3,C4&lt;H4,C5&lt;H5,C3&gt;I3,C4&gt;I4,C5&gt;I5),0,AB80)</f>
        <v>0</v>
      </c>
      <c r="Q12" s="174" t="s">
        <v>72</v>
      </c>
      <c r="R12" s="43"/>
      <c r="S12" s="43"/>
      <c r="T12" s="43"/>
      <c r="U12" s="43"/>
      <c r="V12" s="43"/>
      <c r="W12" s="170"/>
    </row>
    <row r="13" spans="2:258" ht="18.75" x14ac:dyDescent="0.3">
      <c r="B13" s="41"/>
      <c r="C13" s="215" t="s">
        <v>187</v>
      </c>
      <c r="D13" s="462" t="e">
        <f>IF(OR(C10=0,F10=0,I10=0),0,((2*D12)+(2*G12)))</f>
        <v>#VALUE!</v>
      </c>
      <c r="E13" s="40"/>
      <c r="F13" s="40"/>
      <c r="G13" s="40"/>
      <c r="H13" s="40"/>
      <c r="I13" s="169"/>
      <c r="L13" s="71"/>
      <c r="M13" s="71"/>
      <c r="N13" s="425"/>
      <c r="O13" s="425"/>
      <c r="P13" s="425"/>
      <c r="Q13" s="425"/>
      <c r="R13" s="193"/>
      <c r="S13" s="193"/>
      <c r="T13" s="193"/>
      <c r="U13" s="193"/>
      <c r="V13" s="193"/>
      <c r="W13" s="193"/>
      <c r="X13" s="71"/>
    </row>
    <row r="14" spans="2:258" ht="15.75" thickBot="1" x14ac:dyDescent="0.3">
      <c r="B14" s="42"/>
      <c r="C14" s="43"/>
      <c r="D14" s="43"/>
      <c r="E14" s="43"/>
      <c r="F14" s="43"/>
      <c r="G14" s="43"/>
      <c r="H14" s="43"/>
      <c r="I14" s="170"/>
      <c r="L14" s="71"/>
      <c r="M14" s="71"/>
      <c r="N14" s="71"/>
      <c r="O14" s="71"/>
      <c r="P14" s="71"/>
      <c r="Q14" s="71"/>
      <c r="R14" s="71"/>
      <c r="S14" s="71"/>
      <c r="T14" s="71"/>
      <c r="U14" s="71"/>
      <c r="V14" s="71"/>
      <c r="W14" s="71"/>
      <c r="X14" s="71"/>
    </row>
    <row r="15" spans="2:258" ht="27.75" thickTop="1" thickBot="1" x14ac:dyDescent="0.45">
      <c r="B15" s="73" t="s">
        <v>50</v>
      </c>
      <c r="C15" s="74"/>
      <c r="D15" s="998" t="s">
        <v>227</v>
      </c>
      <c r="E15" s="999"/>
      <c r="F15" s="999"/>
      <c r="G15" s="999"/>
      <c r="H15" s="999"/>
      <c r="I15" s="999"/>
      <c r="J15" s="999"/>
      <c r="K15" s="999"/>
      <c r="L15" s="999"/>
      <c r="M15" s="999"/>
      <c r="N15" s="999"/>
      <c r="O15" s="999"/>
      <c r="P15" s="999"/>
      <c r="Q15" s="999"/>
      <c r="R15" s="999"/>
      <c r="S15" s="999"/>
      <c r="T15" s="999"/>
      <c r="U15" s="999"/>
      <c r="V15" s="999"/>
      <c r="W15" s="1000"/>
      <c r="X15" s="74"/>
      <c r="Y15" s="75"/>
      <c r="AT15" s="978" t="s">
        <v>5</v>
      </c>
      <c r="AU15" s="979"/>
      <c r="AV15" s="979"/>
      <c r="AW15" s="979"/>
      <c r="AX15" s="979"/>
      <c r="AY15" s="979"/>
      <c r="AZ15" s="979"/>
      <c r="BA15" s="979"/>
      <c r="BB15" s="979"/>
      <c r="BC15" s="979"/>
      <c r="BD15" s="979"/>
      <c r="BE15" s="979"/>
      <c r="BF15" s="979"/>
      <c r="BG15" s="979"/>
      <c r="BH15" s="979"/>
      <c r="BI15" s="979"/>
      <c r="BJ15" s="979"/>
      <c r="BK15" s="979"/>
      <c r="BL15" s="979"/>
      <c r="BM15" s="979"/>
      <c r="BN15" s="979"/>
      <c r="BO15" s="979"/>
      <c r="BP15" s="979"/>
      <c r="BQ15" s="979"/>
      <c r="BR15" s="979"/>
      <c r="BS15" s="979"/>
      <c r="BT15" s="979"/>
      <c r="BU15" s="979"/>
      <c r="BV15" s="979"/>
      <c r="BW15" s="979"/>
      <c r="BX15" s="979"/>
      <c r="BY15" s="979"/>
      <c r="BZ15" s="979"/>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79"/>
      <c r="CZ15" s="979"/>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79"/>
      <c r="DW15" s="979"/>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79"/>
      <c r="ET15" s="979"/>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79"/>
      <c r="FT15" s="979"/>
      <c r="FU15" s="979"/>
      <c r="FV15" s="979"/>
      <c r="FW15" s="979"/>
      <c r="FX15" s="979"/>
      <c r="FY15" s="979"/>
      <c r="FZ15" s="979"/>
      <c r="GA15" s="979"/>
      <c r="GB15" s="979"/>
      <c r="GC15" s="979"/>
      <c r="GD15" s="979"/>
      <c r="GE15" s="979"/>
      <c r="GF15" s="979"/>
      <c r="GG15" s="979"/>
      <c r="GH15" s="979"/>
      <c r="GI15" s="979"/>
      <c r="GJ15" s="979"/>
      <c r="GK15" s="979"/>
      <c r="GL15" s="979"/>
      <c r="GM15" s="979"/>
      <c r="GN15" s="979"/>
      <c r="GO15" s="979"/>
      <c r="GP15" s="979"/>
      <c r="GQ15" s="979"/>
      <c r="GR15" s="979"/>
      <c r="GS15" s="979"/>
      <c r="GT15" s="979"/>
      <c r="GU15" s="979"/>
      <c r="GV15" s="979"/>
      <c r="GW15" s="979"/>
      <c r="GX15" s="979"/>
      <c r="GY15" s="979"/>
      <c r="GZ15" s="979"/>
      <c r="HA15" s="979"/>
      <c r="HB15" s="979"/>
      <c r="HC15" s="979"/>
      <c r="HD15" s="979"/>
      <c r="HE15" s="979"/>
      <c r="HF15" s="979"/>
      <c r="HG15" s="979"/>
      <c r="HH15" s="979"/>
      <c r="HI15" s="979"/>
      <c r="HJ15" s="979"/>
      <c r="HK15" s="979"/>
      <c r="HL15" s="979"/>
      <c r="HM15" s="979"/>
      <c r="HN15" s="979"/>
      <c r="HO15" s="979"/>
      <c r="HP15" s="979"/>
      <c r="HQ15" s="979"/>
      <c r="HR15" s="979"/>
      <c r="HS15" s="979"/>
      <c r="HT15" s="979"/>
      <c r="HU15" s="979"/>
      <c r="HV15" s="979"/>
      <c r="HW15" s="979"/>
      <c r="HX15" s="979"/>
      <c r="HY15" s="979"/>
      <c r="HZ15" s="979"/>
      <c r="IA15" s="979"/>
      <c r="IB15" s="979"/>
      <c r="IC15" s="979"/>
      <c r="ID15" s="979"/>
      <c r="IE15" s="979"/>
      <c r="IF15" s="979"/>
      <c r="IG15" s="979"/>
      <c r="IH15" s="979"/>
      <c r="II15" s="979"/>
      <c r="IJ15" s="979"/>
      <c r="IK15" s="979"/>
      <c r="IL15" s="979"/>
      <c r="IM15" s="979"/>
      <c r="IN15" s="979"/>
      <c r="IO15" s="979"/>
      <c r="IP15" s="979"/>
      <c r="IQ15" s="979"/>
      <c r="IR15" s="979"/>
      <c r="IS15" s="979"/>
      <c r="IT15" s="979"/>
      <c r="IU15" s="979"/>
      <c r="IV15" s="979"/>
      <c r="IW15" s="979"/>
      <c r="IX15" s="980"/>
    </row>
    <row r="16" spans="2:258" ht="15.75" customHeight="1" thickBot="1" x14ac:dyDescent="0.3">
      <c r="B16" s="47"/>
      <c r="C16" s="49"/>
      <c r="D16" s="49">
        <v>9</v>
      </c>
      <c r="E16" s="49">
        <v>12</v>
      </c>
      <c r="F16" s="49">
        <f>E16+6</f>
        <v>18</v>
      </c>
      <c r="G16" s="49">
        <f>F16+6</f>
        <v>24</v>
      </c>
      <c r="H16" s="49">
        <f>G16+6</f>
        <v>30</v>
      </c>
      <c r="I16" s="49">
        <f>H16+6</f>
        <v>36</v>
      </c>
      <c r="J16" s="49">
        <v>42</v>
      </c>
      <c r="K16" s="49">
        <v>48</v>
      </c>
      <c r="L16" s="49">
        <v>54</v>
      </c>
      <c r="M16" s="49">
        <v>60</v>
      </c>
      <c r="N16" s="49">
        <v>66</v>
      </c>
      <c r="O16" s="49">
        <v>72</v>
      </c>
      <c r="P16" s="49">
        <v>78</v>
      </c>
      <c r="Q16" s="49">
        <v>84</v>
      </c>
      <c r="R16" s="49">
        <v>90</v>
      </c>
      <c r="S16" s="49">
        <v>96</v>
      </c>
      <c r="T16" s="49">
        <v>102</v>
      </c>
      <c r="U16" s="49">
        <v>108</v>
      </c>
      <c r="V16" s="49">
        <v>114</v>
      </c>
      <c r="W16" s="49">
        <v>120</v>
      </c>
      <c r="X16" s="45"/>
      <c r="Y16" s="46"/>
      <c r="AT16" s="3"/>
      <c r="AU16" s="4"/>
      <c r="AV16" s="4"/>
      <c r="AW16" s="4"/>
      <c r="AX16" s="4"/>
      <c r="AY16" s="4"/>
      <c r="AZ16" s="4"/>
      <c r="BA16" s="4"/>
      <c r="BB16" s="4"/>
      <c r="BC16" s="4"/>
      <c r="BD16" s="4"/>
      <c r="BE16" s="4"/>
      <c r="BF16" s="4"/>
      <c r="BG16" s="4"/>
      <c r="BH16" s="5"/>
      <c r="BI16" s="6"/>
      <c r="BJ16" s="6"/>
      <c r="BK16" s="6"/>
      <c r="BL16" s="6"/>
      <c r="BM16" s="6"/>
      <c r="BN16" s="6"/>
      <c r="BO16" s="6"/>
      <c r="BP16" s="6"/>
      <c r="BQ16" s="6"/>
      <c r="BR16" s="5"/>
      <c r="BS16" s="6"/>
      <c r="BT16" s="6"/>
      <c r="BU16" s="6"/>
      <c r="BV16" s="6"/>
      <c r="BW16" s="6"/>
      <c r="BX16" s="6"/>
      <c r="BY16" s="6"/>
      <c r="BZ16" s="6"/>
      <c r="CA16" s="6"/>
      <c r="CB16" s="5"/>
      <c r="CC16" s="6"/>
      <c r="CD16" s="6"/>
      <c r="CE16" s="6"/>
      <c r="CF16" s="6"/>
      <c r="CG16" s="6"/>
      <c r="CH16" s="6"/>
      <c r="CI16" s="6"/>
      <c r="CJ16" s="6"/>
      <c r="CK16" s="6"/>
      <c r="CL16" s="5"/>
      <c r="CM16" s="6"/>
      <c r="CN16" s="6"/>
      <c r="CO16" s="6"/>
      <c r="CP16" s="6"/>
      <c r="CQ16" s="6"/>
      <c r="CR16" s="6"/>
      <c r="CS16" s="6"/>
      <c r="CT16" s="6"/>
      <c r="CU16" s="6"/>
      <c r="CV16" s="5"/>
      <c r="CW16" s="6"/>
      <c r="CX16" s="6"/>
      <c r="CY16" s="6"/>
      <c r="CZ16" s="6"/>
      <c r="DA16" s="6"/>
      <c r="DB16" s="6"/>
      <c r="DC16" s="6"/>
      <c r="DD16" s="6"/>
      <c r="DE16" s="6"/>
      <c r="DF16" s="5"/>
      <c r="DG16" s="6"/>
      <c r="DH16" s="6"/>
      <c r="DI16" s="6"/>
      <c r="DJ16" s="6"/>
      <c r="DK16" s="6"/>
      <c r="DL16" s="6"/>
      <c r="DM16" s="6"/>
      <c r="DN16" s="6"/>
      <c r="DO16" s="6"/>
      <c r="DP16" s="5"/>
      <c r="DQ16" s="6"/>
      <c r="DR16" s="6"/>
      <c r="DS16" s="6"/>
      <c r="DT16" s="6"/>
      <c r="DU16" s="6"/>
      <c r="DV16" s="6"/>
      <c r="DW16" s="6"/>
      <c r="DX16" s="6"/>
      <c r="DY16" s="6"/>
      <c r="DZ16" s="5"/>
      <c r="EA16" s="6"/>
      <c r="EB16" s="6"/>
      <c r="EC16" s="6"/>
      <c r="ED16" s="6"/>
      <c r="EE16" s="6"/>
      <c r="EF16" s="6"/>
      <c r="EG16" s="6"/>
      <c r="EH16" s="6"/>
      <c r="EI16" s="6"/>
      <c r="EJ16" s="5"/>
      <c r="EK16" s="6"/>
      <c r="EL16" s="6"/>
      <c r="EM16" s="6"/>
      <c r="EN16" s="6"/>
      <c r="EO16" s="6"/>
      <c r="EP16" s="6"/>
      <c r="EQ16" s="6"/>
      <c r="ER16" s="6"/>
      <c r="ES16" s="6"/>
      <c r="ET16" s="5"/>
      <c r="EU16" s="6"/>
      <c r="EV16" s="6"/>
      <c r="EW16" s="6"/>
      <c r="EX16" s="6"/>
      <c r="EY16" s="6"/>
      <c r="EZ16" s="6"/>
      <c r="FA16" s="6"/>
      <c r="FB16" s="6"/>
      <c r="FC16" s="6"/>
      <c r="FD16" s="5"/>
      <c r="FE16" s="6"/>
      <c r="FF16" s="6"/>
      <c r="FG16" s="6"/>
      <c r="FH16" s="6"/>
      <c r="FI16" s="6"/>
      <c r="FJ16" s="6"/>
      <c r="FK16" s="6"/>
      <c r="FL16" s="6"/>
      <c r="FM16" s="6"/>
      <c r="FN16" s="5"/>
      <c r="FO16" s="6"/>
      <c r="FP16" s="6"/>
      <c r="FQ16" s="6"/>
      <c r="FR16" s="6"/>
      <c r="FS16" s="6"/>
      <c r="FT16" s="6"/>
      <c r="FU16" s="6"/>
      <c r="FV16" s="6"/>
      <c r="FW16" s="6"/>
      <c r="FX16" s="5"/>
      <c r="FY16" s="6"/>
      <c r="FZ16" s="6"/>
      <c r="GA16" s="6"/>
      <c r="GB16" s="6"/>
      <c r="GC16" s="6"/>
      <c r="GD16" s="6"/>
      <c r="GE16" s="6"/>
      <c r="GF16" s="6"/>
      <c r="GG16" s="6"/>
      <c r="GH16" s="5"/>
      <c r="GI16" s="6"/>
      <c r="GJ16" s="6"/>
      <c r="GK16" s="6"/>
      <c r="GL16" s="6"/>
      <c r="GM16" s="6"/>
      <c r="GN16" s="6"/>
      <c r="GO16" s="6"/>
      <c r="GP16" s="6"/>
      <c r="GQ16" s="6"/>
      <c r="GR16" s="5"/>
      <c r="GS16" s="6"/>
      <c r="GT16" s="6"/>
      <c r="GU16" s="6"/>
      <c r="GV16" s="6"/>
      <c r="GW16" s="6"/>
      <c r="GX16" s="6"/>
      <c r="GY16" s="6"/>
      <c r="GZ16" s="6"/>
      <c r="HA16" s="6"/>
      <c r="HB16" s="5"/>
      <c r="HC16" s="6"/>
      <c r="HD16" s="6"/>
      <c r="HE16" s="6"/>
      <c r="HF16" s="6"/>
      <c r="HG16" s="6"/>
      <c r="HH16" s="6"/>
      <c r="HI16" s="6"/>
      <c r="HJ16" s="6"/>
      <c r="HK16" s="6"/>
      <c r="HL16" s="5"/>
      <c r="HM16" s="6"/>
      <c r="HN16" s="6"/>
      <c r="HO16" s="6"/>
      <c r="HP16" s="6"/>
      <c r="HQ16" s="6"/>
      <c r="HR16" s="6"/>
      <c r="HS16" s="6"/>
      <c r="HT16" s="6"/>
      <c r="HU16" s="6"/>
      <c r="HV16" s="5"/>
      <c r="HW16" s="6"/>
      <c r="HX16" s="6"/>
      <c r="HY16" s="6"/>
      <c r="HZ16" s="6"/>
      <c r="IA16" s="6"/>
      <c r="IB16" s="6"/>
      <c r="IC16" s="6"/>
      <c r="ID16" s="6"/>
      <c r="IE16" s="6"/>
      <c r="IF16" s="5"/>
      <c r="IG16" s="6"/>
      <c r="IH16" s="6"/>
      <c r="II16" s="6"/>
      <c r="IJ16" s="6"/>
      <c r="IK16" s="6"/>
      <c r="IL16" s="6"/>
      <c r="IM16" s="6"/>
      <c r="IN16" s="4"/>
      <c r="IO16" s="4"/>
      <c r="IP16" s="4"/>
      <c r="IQ16" s="4"/>
      <c r="IR16" s="4"/>
      <c r="IS16" s="4"/>
      <c r="IT16" s="4"/>
      <c r="IU16" s="4"/>
      <c r="IV16" s="4"/>
      <c r="IW16" s="4"/>
      <c r="IX16" s="7"/>
    </row>
    <row r="17" spans="2:258" ht="16.5" thickBot="1" x14ac:dyDescent="0.3">
      <c r="B17" s="81" t="s">
        <v>95</v>
      </c>
      <c r="C17" s="148">
        <v>1</v>
      </c>
      <c r="D17" s="464">
        <v>2</v>
      </c>
      <c r="E17" s="465">
        <v>3</v>
      </c>
      <c r="F17" s="465">
        <v>4</v>
      </c>
      <c r="G17" s="465">
        <v>5</v>
      </c>
      <c r="H17" s="465">
        <v>6</v>
      </c>
      <c r="I17" s="465">
        <v>7</v>
      </c>
      <c r="J17" s="465">
        <v>8</v>
      </c>
      <c r="K17" s="465">
        <v>9</v>
      </c>
      <c r="L17" s="465">
        <v>10</v>
      </c>
      <c r="M17" s="465">
        <v>11</v>
      </c>
      <c r="N17" s="465">
        <v>12</v>
      </c>
      <c r="O17" s="465">
        <v>13</v>
      </c>
      <c r="P17" s="465">
        <v>14</v>
      </c>
      <c r="Q17" s="465">
        <v>15</v>
      </c>
      <c r="R17" s="465">
        <v>16</v>
      </c>
      <c r="S17" s="465">
        <v>17</v>
      </c>
      <c r="T17" s="465">
        <v>18</v>
      </c>
      <c r="U17" s="465">
        <v>19</v>
      </c>
      <c r="V17" s="465">
        <v>20</v>
      </c>
      <c r="W17" s="466">
        <v>21</v>
      </c>
      <c r="X17" s="113"/>
      <c r="Y17" s="46"/>
      <c r="AT17" s="3"/>
      <c r="AU17" s="981" t="s">
        <v>14</v>
      </c>
      <c r="AV17" s="982"/>
      <c r="AW17" s="987" t="s">
        <v>15</v>
      </c>
      <c r="AX17" s="988"/>
      <c r="AY17" s="988"/>
      <c r="AZ17" s="988"/>
      <c r="BA17" s="988"/>
      <c r="BB17" s="988"/>
      <c r="BC17" s="988"/>
      <c r="BD17" s="988"/>
      <c r="BE17" s="988"/>
      <c r="BF17" s="988"/>
      <c r="BG17" s="988"/>
      <c r="BH17" s="988"/>
      <c r="BI17" s="988"/>
      <c r="BJ17" s="988"/>
      <c r="BK17" s="988"/>
      <c r="BL17" s="988"/>
      <c r="BM17" s="988"/>
      <c r="BN17" s="988"/>
      <c r="BO17" s="988"/>
      <c r="BP17" s="988"/>
      <c r="BQ17" s="988"/>
      <c r="BR17" s="988"/>
      <c r="BS17" s="988"/>
      <c r="BT17" s="988"/>
      <c r="BU17" s="988"/>
      <c r="BV17" s="988"/>
      <c r="BW17" s="988"/>
      <c r="BX17" s="988"/>
      <c r="BY17" s="988"/>
      <c r="BZ17" s="988"/>
      <c r="CA17" s="988"/>
      <c r="CB17" s="988"/>
      <c r="CC17" s="988"/>
      <c r="CD17" s="988"/>
      <c r="CE17" s="988"/>
      <c r="CF17" s="988"/>
      <c r="CG17" s="988"/>
      <c r="CH17" s="988"/>
      <c r="CI17" s="988"/>
      <c r="CJ17" s="988"/>
      <c r="CK17" s="988"/>
      <c r="CL17" s="988"/>
      <c r="CM17" s="988"/>
      <c r="CN17" s="988"/>
      <c r="CO17" s="988"/>
      <c r="CP17" s="988"/>
      <c r="CQ17" s="988"/>
      <c r="CR17" s="988"/>
      <c r="CS17" s="988"/>
      <c r="CT17" s="988"/>
      <c r="CU17" s="988"/>
      <c r="CV17" s="988"/>
      <c r="CW17" s="988"/>
      <c r="CX17" s="988"/>
      <c r="CY17" s="988"/>
      <c r="CZ17" s="988"/>
      <c r="DA17" s="988"/>
      <c r="DB17" s="988"/>
      <c r="DC17" s="988"/>
      <c r="DD17" s="988"/>
      <c r="DE17" s="988"/>
      <c r="DF17" s="988"/>
      <c r="DG17" s="988"/>
      <c r="DH17" s="988"/>
      <c r="DI17" s="988"/>
      <c r="DJ17" s="988"/>
      <c r="DK17" s="988"/>
      <c r="DL17" s="988"/>
      <c r="DM17" s="988"/>
      <c r="DN17" s="988"/>
      <c r="DO17" s="988"/>
      <c r="DP17" s="988"/>
      <c r="DQ17" s="988"/>
      <c r="DR17" s="988"/>
      <c r="DS17" s="988"/>
      <c r="DT17" s="988"/>
      <c r="DU17" s="988"/>
      <c r="DV17" s="988"/>
      <c r="DW17" s="988"/>
      <c r="DX17" s="988"/>
      <c r="DY17" s="988"/>
      <c r="DZ17" s="988"/>
      <c r="EA17" s="988"/>
      <c r="EB17" s="988"/>
      <c r="EC17" s="988"/>
      <c r="ED17" s="988"/>
      <c r="EE17" s="988"/>
      <c r="EF17" s="988"/>
      <c r="EG17" s="988"/>
      <c r="EH17" s="988"/>
      <c r="EI17" s="988"/>
      <c r="EJ17" s="988"/>
      <c r="EK17" s="988"/>
      <c r="EL17" s="988"/>
      <c r="EM17" s="988"/>
      <c r="EN17" s="988"/>
      <c r="EO17" s="988"/>
      <c r="EP17" s="988"/>
      <c r="EQ17" s="988"/>
      <c r="ER17" s="988"/>
      <c r="ES17" s="988"/>
      <c r="ET17" s="988"/>
      <c r="EU17" s="988"/>
      <c r="EV17" s="988"/>
      <c r="EW17" s="988"/>
      <c r="EX17" s="988"/>
      <c r="EY17" s="988"/>
      <c r="EZ17" s="988"/>
      <c r="FA17" s="988"/>
      <c r="FB17" s="988"/>
      <c r="FC17" s="988"/>
      <c r="FD17" s="988"/>
      <c r="FE17" s="988"/>
      <c r="FF17" s="988"/>
      <c r="FG17" s="988"/>
      <c r="FH17" s="988"/>
      <c r="FI17" s="988"/>
      <c r="FJ17" s="988"/>
      <c r="FK17" s="988"/>
      <c r="FL17" s="988"/>
      <c r="FM17" s="988"/>
      <c r="FN17" s="988"/>
      <c r="FO17" s="988"/>
      <c r="FP17" s="988"/>
      <c r="FQ17" s="988"/>
      <c r="FR17" s="988"/>
      <c r="FS17" s="988"/>
      <c r="FT17" s="988"/>
      <c r="FU17" s="988"/>
      <c r="FV17" s="988"/>
      <c r="FW17" s="988"/>
      <c r="FX17" s="988"/>
      <c r="FY17" s="988"/>
      <c r="FZ17" s="988"/>
      <c r="GA17" s="988"/>
      <c r="GB17" s="988"/>
      <c r="GC17" s="988"/>
      <c r="GD17" s="988"/>
      <c r="GE17" s="988"/>
      <c r="GF17" s="988"/>
      <c r="GG17" s="988"/>
      <c r="GH17" s="988"/>
      <c r="GI17" s="988"/>
      <c r="GJ17" s="988"/>
      <c r="GK17" s="988"/>
      <c r="GL17" s="988"/>
      <c r="GM17" s="988"/>
      <c r="GN17" s="988"/>
      <c r="GO17" s="988"/>
      <c r="GP17" s="988"/>
      <c r="GQ17" s="988"/>
      <c r="GR17" s="988"/>
      <c r="GS17" s="988"/>
      <c r="GT17" s="988"/>
      <c r="GU17" s="988"/>
      <c r="GV17" s="988"/>
      <c r="GW17" s="988"/>
      <c r="GX17" s="988"/>
      <c r="GY17" s="988"/>
      <c r="GZ17" s="988"/>
      <c r="HA17" s="988"/>
      <c r="HB17" s="988"/>
      <c r="HC17" s="988"/>
      <c r="HD17" s="988"/>
      <c r="HE17" s="988"/>
      <c r="HF17" s="988"/>
      <c r="HG17" s="988"/>
      <c r="HH17" s="988"/>
      <c r="HI17" s="988"/>
      <c r="HJ17" s="988"/>
      <c r="HK17" s="988"/>
      <c r="HL17" s="988"/>
      <c r="HM17" s="988"/>
      <c r="HN17" s="988"/>
      <c r="HO17" s="988"/>
      <c r="HP17" s="988"/>
      <c r="HQ17" s="988"/>
      <c r="HR17" s="988"/>
      <c r="HS17" s="988"/>
      <c r="HT17" s="988"/>
      <c r="HU17" s="988"/>
      <c r="HV17" s="988"/>
      <c r="HW17" s="988"/>
      <c r="HX17" s="988"/>
      <c r="HY17" s="988"/>
      <c r="HZ17" s="988"/>
      <c r="IA17" s="988"/>
      <c r="IB17" s="988"/>
      <c r="IC17" s="988"/>
      <c r="ID17" s="988"/>
      <c r="IE17" s="988"/>
      <c r="IF17" s="988"/>
      <c r="IG17" s="988"/>
      <c r="IH17" s="452"/>
      <c r="II17" s="452"/>
      <c r="IJ17" s="452"/>
      <c r="IK17" s="452"/>
      <c r="IL17" s="452"/>
      <c r="IM17" s="452"/>
      <c r="IN17" s="141"/>
      <c r="IO17" s="143"/>
      <c r="IP17" s="4"/>
      <c r="IQ17" s="8"/>
      <c r="IR17" s="8"/>
      <c r="IS17" s="8"/>
      <c r="IT17" s="8"/>
      <c r="IU17" s="8"/>
      <c r="IV17" s="8"/>
      <c r="IW17" s="8"/>
      <c r="IX17" s="7"/>
    </row>
    <row r="18" spans="2:258" ht="15" customHeight="1" thickBot="1" x14ac:dyDescent="0.3">
      <c r="B18" s="79">
        <f>H5</f>
        <v>9.5</v>
      </c>
      <c r="C18" s="149">
        <v>2</v>
      </c>
      <c r="D18" s="486"/>
      <c r="E18" s="467">
        <f>BH21/((E$16*B18)/144)</f>
        <v>0.23404824561403509</v>
      </c>
      <c r="F18" s="467">
        <f t="shared" ref="F18:F29" si="0">BR21/((F$16*$B18)/144)</f>
        <v>0.266172514619883</v>
      </c>
      <c r="G18" s="467">
        <f t="shared" ref="G18:G29" si="1">CB21/((G$16*$B18)/144)</f>
        <v>0.28223464912280699</v>
      </c>
      <c r="H18" s="467">
        <f t="shared" ref="H18:H29" si="2">CL21/((H$16*$B18)/144)</f>
        <v>0.29187192982456134</v>
      </c>
      <c r="I18" s="467">
        <f t="shared" ref="I18:I29" si="3">CV21/((I$16*$B18)/144)</f>
        <v>0.29829678362573098</v>
      </c>
      <c r="J18" s="467">
        <f t="shared" ref="J18:J29" si="4">DF21/((J$16*$B18)/144)</f>
        <v>0.30288596491228065</v>
      </c>
      <c r="K18" s="467">
        <f t="shared" ref="K18:K29" si="5">DP21/((K$16*$B18)/144)</f>
        <v>0.306327850877193</v>
      </c>
      <c r="L18" s="467">
        <f t="shared" ref="L18:L29" si="6">DZ21/((L$16*$B18)/144)</f>
        <v>0.30288596491228065</v>
      </c>
      <c r="M18" s="467">
        <f t="shared" ref="M18:M29" si="7">EJ21/((M$16*$B18)/144)</f>
        <v>0.30563947368421046</v>
      </c>
      <c r="N18" s="489"/>
      <c r="O18" s="489"/>
      <c r="P18" s="489"/>
      <c r="Q18" s="489"/>
      <c r="R18" s="489"/>
      <c r="S18" s="489"/>
      <c r="T18" s="489"/>
      <c r="U18" s="489"/>
      <c r="V18" s="489"/>
      <c r="W18" s="489"/>
      <c r="X18" s="76"/>
      <c r="Y18" s="77"/>
      <c r="Z18" s="61"/>
      <c r="AA18" s="61"/>
      <c r="AT18" s="3"/>
      <c r="AU18" s="983"/>
      <c r="AV18" s="984"/>
      <c r="AW18" s="989"/>
      <c r="AX18" s="990"/>
      <c r="AY18" s="990"/>
      <c r="AZ18" s="990"/>
      <c r="BA18" s="990"/>
      <c r="BB18" s="990"/>
      <c r="BC18" s="990"/>
      <c r="BD18" s="990"/>
      <c r="BE18" s="990"/>
      <c r="BF18" s="990"/>
      <c r="BG18" s="990"/>
      <c r="BH18" s="990"/>
      <c r="BI18" s="990"/>
      <c r="BJ18" s="990"/>
      <c r="BK18" s="990"/>
      <c r="BL18" s="990"/>
      <c r="BM18" s="990"/>
      <c r="BN18" s="990"/>
      <c r="BO18" s="990"/>
      <c r="BP18" s="990"/>
      <c r="BQ18" s="990"/>
      <c r="BR18" s="990"/>
      <c r="BS18" s="990"/>
      <c r="BT18" s="990"/>
      <c r="BU18" s="990"/>
      <c r="BV18" s="990"/>
      <c r="BW18" s="990"/>
      <c r="BX18" s="990"/>
      <c r="BY18" s="990"/>
      <c r="BZ18" s="990"/>
      <c r="CA18" s="990"/>
      <c r="CB18" s="990"/>
      <c r="CC18" s="990"/>
      <c r="CD18" s="990"/>
      <c r="CE18" s="990"/>
      <c r="CF18" s="990"/>
      <c r="CG18" s="990"/>
      <c r="CH18" s="990"/>
      <c r="CI18" s="990"/>
      <c r="CJ18" s="990"/>
      <c r="CK18" s="990"/>
      <c r="CL18" s="990"/>
      <c r="CM18" s="990"/>
      <c r="CN18" s="990"/>
      <c r="CO18" s="990"/>
      <c r="CP18" s="990"/>
      <c r="CQ18" s="990"/>
      <c r="CR18" s="990"/>
      <c r="CS18" s="990"/>
      <c r="CT18" s="990"/>
      <c r="CU18" s="990"/>
      <c r="CV18" s="990"/>
      <c r="CW18" s="990"/>
      <c r="CX18" s="990"/>
      <c r="CY18" s="990"/>
      <c r="CZ18" s="990"/>
      <c r="DA18" s="990"/>
      <c r="DB18" s="990"/>
      <c r="DC18" s="990"/>
      <c r="DD18" s="990"/>
      <c r="DE18" s="990"/>
      <c r="DF18" s="990"/>
      <c r="DG18" s="990"/>
      <c r="DH18" s="990"/>
      <c r="DI18" s="990"/>
      <c r="DJ18" s="990"/>
      <c r="DK18" s="990"/>
      <c r="DL18" s="990"/>
      <c r="DM18" s="990"/>
      <c r="DN18" s="990"/>
      <c r="DO18" s="990"/>
      <c r="DP18" s="990"/>
      <c r="DQ18" s="990"/>
      <c r="DR18" s="990"/>
      <c r="DS18" s="990"/>
      <c r="DT18" s="990"/>
      <c r="DU18" s="990"/>
      <c r="DV18" s="990"/>
      <c r="DW18" s="990"/>
      <c r="DX18" s="990"/>
      <c r="DY18" s="990"/>
      <c r="DZ18" s="990"/>
      <c r="EA18" s="990"/>
      <c r="EB18" s="990"/>
      <c r="EC18" s="990"/>
      <c r="ED18" s="990"/>
      <c r="EE18" s="990"/>
      <c r="EF18" s="990"/>
      <c r="EG18" s="990"/>
      <c r="EH18" s="990"/>
      <c r="EI18" s="990"/>
      <c r="EJ18" s="990"/>
      <c r="EK18" s="990"/>
      <c r="EL18" s="990"/>
      <c r="EM18" s="990"/>
      <c r="EN18" s="990"/>
      <c r="EO18" s="990"/>
      <c r="EP18" s="990"/>
      <c r="EQ18" s="990"/>
      <c r="ER18" s="990"/>
      <c r="ES18" s="990"/>
      <c r="ET18" s="990"/>
      <c r="EU18" s="990"/>
      <c r="EV18" s="990"/>
      <c r="EW18" s="990"/>
      <c r="EX18" s="990"/>
      <c r="EY18" s="990"/>
      <c r="EZ18" s="990"/>
      <c r="FA18" s="990"/>
      <c r="FB18" s="990"/>
      <c r="FC18" s="990"/>
      <c r="FD18" s="990"/>
      <c r="FE18" s="990"/>
      <c r="FF18" s="990"/>
      <c r="FG18" s="990"/>
      <c r="FH18" s="990"/>
      <c r="FI18" s="990"/>
      <c r="FJ18" s="990"/>
      <c r="FK18" s="990"/>
      <c r="FL18" s="990"/>
      <c r="FM18" s="990"/>
      <c r="FN18" s="990"/>
      <c r="FO18" s="990"/>
      <c r="FP18" s="990"/>
      <c r="FQ18" s="990"/>
      <c r="FR18" s="990"/>
      <c r="FS18" s="990"/>
      <c r="FT18" s="990"/>
      <c r="FU18" s="990"/>
      <c r="FV18" s="990"/>
      <c r="FW18" s="990"/>
      <c r="FX18" s="990"/>
      <c r="FY18" s="990"/>
      <c r="FZ18" s="990"/>
      <c r="GA18" s="990"/>
      <c r="GB18" s="990"/>
      <c r="GC18" s="990"/>
      <c r="GD18" s="990"/>
      <c r="GE18" s="990"/>
      <c r="GF18" s="990"/>
      <c r="GG18" s="990"/>
      <c r="GH18" s="990"/>
      <c r="GI18" s="990"/>
      <c r="GJ18" s="990"/>
      <c r="GK18" s="990"/>
      <c r="GL18" s="990"/>
      <c r="GM18" s="990"/>
      <c r="GN18" s="990"/>
      <c r="GO18" s="990"/>
      <c r="GP18" s="990"/>
      <c r="GQ18" s="990"/>
      <c r="GR18" s="990"/>
      <c r="GS18" s="990"/>
      <c r="GT18" s="990"/>
      <c r="GU18" s="990"/>
      <c r="GV18" s="990"/>
      <c r="GW18" s="990"/>
      <c r="GX18" s="990"/>
      <c r="GY18" s="990"/>
      <c r="GZ18" s="990"/>
      <c r="HA18" s="990"/>
      <c r="HB18" s="990"/>
      <c r="HC18" s="990"/>
      <c r="HD18" s="990"/>
      <c r="HE18" s="990"/>
      <c r="HF18" s="990"/>
      <c r="HG18" s="990"/>
      <c r="HH18" s="990"/>
      <c r="HI18" s="990"/>
      <c r="HJ18" s="990"/>
      <c r="HK18" s="990"/>
      <c r="HL18" s="990"/>
      <c r="HM18" s="990"/>
      <c r="HN18" s="990"/>
      <c r="HO18" s="990"/>
      <c r="HP18" s="990"/>
      <c r="HQ18" s="990"/>
      <c r="HR18" s="990"/>
      <c r="HS18" s="990"/>
      <c r="HT18" s="990"/>
      <c r="HU18" s="990"/>
      <c r="HV18" s="990"/>
      <c r="HW18" s="990"/>
      <c r="HX18" s="990"/>
      <c r="HY18" s="990"/>
      <c r="HZ18" s="990"/>
      <c r="IA18" s="990"/>
      <c r="IB18" s="990"/>
      <c r="IC18" s="990"/>
      <c r="ID18" s="990"/>
      <c r="IE18" s="990"/>
      <c r="IF18" s="990"/>
      <c r="IG18" s="990"/>
      <c r="IH18" s="453"/>
      <c r="II18" s="453"/>
      <c r="IJ18" s="453"/>
      <c r="IK18" s="453"/>
      <c r="IL18" s="453"/>
      <c r="IM18" s="453"/>
      <c r="IN18" s="142"/>
      <c r="IO18" s="144"/>
      <c r="IP18" s="4"/>
      <c r="IQ18" s="991" t="s">
        <v>16</v>
      </c>
      <c r="IR18" s="992"/>
      <c r="IS18" s="992"/>
      <c r="IT18" s="992"/>
      <c r="IU18" s="992"/>
      <c r="IV18" s="992"/>
      <c r="IW18" s="993"/>
      <c r="IX18" s="7"/>
    </row>
    <row r="19" spans="2:258" ht="15.75" thickBot="1" x14ac:dyDescent="0.3">
      <c r="B19" s="79">
        <v>12</v>
      </c>
      <c r="C19" s="148">
        <v>3</v>
      </c>
      <c r="D19" s="487"/>
      <c r="E19" s="468">
        <f t="shared" ref="E19:E29" si="8">BH22/((E$16*B19)/144)</f>
        <v>0.27990972222222221</v>
      </c>
      <c r="F19" s="468">
        <f t="shared" si="0"/>
        <v>0.3183287037037037</v>
      </c>
      <c r="G19" s="468">
        <f t="shared" si="1"/>
        <v>0.33753819444444444</v>
      </c>
      <c r="H19" s="468">
        <f t="shared" si="2"/>
        <v>0.3490638888888889</v>
      </c>
      <c r="I19" s="468">
        <f t="shared" si="3"/>
        <v>0.35674768518518518</v>
      </c>
      <c r="J19" s="468">
        <f t="shared" si="4"/>
        <v>0.36223611111111115</v>
      </c>
      <c r="K19" s="468">
        <f t="shared" si="5"/>
        <v>0.36635243055555555</v>
      </c>
      <c r="L19" s="468">
        <f t="shared" si="6"/>
        <v>0.36223611111111115</v>
      </c>
      <c r="M19" s="468">
        <f t="shared" si="7"/>
        <v>0.36552916666666663</v>
      </c>
      <c r="N19" s="488"/>
      <c r="O19" s="488"/>
      <c r="P19" s="488"/>
      <c r="Q19" s="488"/>
      <c r="R19" s="488"/>
      <c r="S19" s="488"/>
      <c r="T19" s="488"/>
      <c r="U19" s="488"/>
      <c r="V19" s="488"/>
      <c r="W19" s="488"/>
      <c r="X19" s="76"/>
      <c r="Y19" s="46"/>
      <c r="AA19" s="61"/>
      <c r="AT19" s="3"/>
      <c r="AU19" s="985"/>
      <c r="AV19" s="986"/>
      <c r="AW19" s="9"/>
      <c r="AX19" s="145">
        <v>9</v>
      </c>
      <c r="AY19" s="11" t="str">
        <f>"("&amp;ROUND(AX19*25.4/50,0)*50&amp;")"</f>
        <v>(250)</v>
      </c>
      <c r="AZ19" s="12" t="s">
        <v>17</v>
      </c>
      <c r="BA19" s="12" t="s">
        <v>18</v>
      </c>
      <c r="BB19" s="12" t="s">
        <v>19</v>
      </c>
      <c r="BC19" s="12" t="s">
        <v>20</v>
      </c>
      <c r="BD19" s="12" t="s">
        <v>21</v>
      </c>
      <c r="BE19" s="12" t="s">
        <v>22</v>
      </c>
      <c r="BF19" s="12" t="s">
        <v>23</v>
      </c>
      <c r="BG19" s="12" t="s">
        <v>24</v>
      </c>
      <c r="BH19" s="10">
        <v>12</v>
      </c>
      <c r="BI19" s="11" t="str">
        <f>"("&amp;ROUND(BH19*25.4/50,0)*50&amp;")"</f>
        <v>(300)</v>
      </c>
      <c r="BJ19" s="12" t="s">
        <v>17</v>
      </c>
      <c r="BK19" s="12" t="s">
        <v>18</v>
      </c>
      <c r="BL19" s="12" t="s">
        <v>19</v>
      </c>
      <c r="BM19" s="12" t="s">
        <v>20</v>
      </c>
      <c r="BN19" s="12" t="s">
        <v>21</v>
      </c>
      <c r="BO19" s="12" t="s">
        <v>22</v>
      </c>
      <c r="BP19" s="12" t="s">
        <v>23</v>
      </c>
      <c r="BQ19" s="12" t="s">
        <v>24</v>
      </c>
      <c r="BR19" s="10">
        <f>BH19+6</f>
        <v>18</v>
      </c>
      <c r="BS19" s="11" t="str">
        <f>"("&amp;ROUND(BR19*25.4/50,0)*50&amp;")"</f>
        <v>(450)</v>
      </c>
      <c r="BT19" s="12" t="s">
        <v>17</v>
      </c>
      <c r="BU19" s="12" t="s">
        <v>18</v>
      </c>
      <c r="BV19" s="12" t="s">
        <v>19</v>
      </c>
      <c r="BW19" s="12" t="s">
        <v>20</v>
      </c>
      <c r="BX19" s="12" t="s">
        <v>21</v>
      </c>
      <c r="BY19" s="12" t="s">
        <v>22</v>
      </c>
      <c r="BZ19" s="12" t="s">
        <v>23</v>
      </c>
      <c r="CA19" s="12" t="s">
        <v>24</v>
      </c>
      <c r="CB19" s="10">
        <f>BR19+6</f>
        <v>24</v>
      </c>
      <c r="CC19" s="11" t="str">
        <f>"("&amp;ROUND(CB19*25.4/50,0)*50&amp;")"</f>
        <v>(600)</v>
      </c>
      <c r="CD19" s="12" t="s">
        <v>17</v>
      </c>
      <c r="CE19" s="12" t="s">
        <v>18</v>
      </c>
      <c r="CF19" s="12" t="s">
        <v>19</v>
      </c>
      <c r="CG19" s="12" t="s">
        <v>20</v>
      </c>
      <c r="CH19" s="12" t="s">
        <v>21</v>
      </c>
      <c r="CI19" s="12" t="s">
        <v>22</v>
      </c>
      <c r="CJ19" s="12" t="s">
        <v>23</v>
      </c>
      <c r="CK19" s="12" t="s">
        <v>24</v>
      </c>
      <c r="CL19" s="10">
        <f>CB19+6</f>
        <v>30</v>
      </c>
      <c r="CM19" s="11" t="str">
        <f>"("&amp;ROUND(CL19*25.4/50,0)*50&amp;")"</f>
        <v>(750)</v>
      </c>
      <c r="CN19" s="12" t="s">
        <v>17</v>
      </c>
      <c r="CO19" s="12" t="s">
        <v>18</v>
      </c>
      <c r="CP19" s="12" t="s">
        <v>19</v>
      </c>
      <c r="CQ19" s="12" t="s">
        <v>20</v>
      </c>
      <c r="CR19" s="12" t="s">
        <v>21</v>
      </c>
      <c r="CS19" s="12" t="s">
        <v>22</v>
      </c>
      <c r="CT19" s="12" t="s">
        <v>23</v>
      </c>
      <c r="CU19" s="12" t="s">
        <v>24</v>
      </c>
      <c r="CV19" s="10">
        <f>CL19+6</f>
        <v>36</v>
      </c>
      <c r="CW19" s="11" t="str">
        <f>"("&amp;ROUND(CV19*25.4/50,0)*50&amp;")"</f>
        <v>(900)</v>
      </c>
      <c r="CX19" s="12" t="s">
        <v>17</v>
      </c>
      <c r="CY19" s="12" t="s">
        <v>18</v>
      </c>
      <c r="CZ19" s="12" t="s">
        <v>19</v>
      </c>
      <c r="DA19" s="12" t="s">
        <v>20</v>
      </c>
      <c r="DB19" s="12" t="s">
        <v>21</v>
      </c>
      <c r="DC19" s="12" t="s">
        <v>22</v>
      </c>
      <c r="DD19" s="12" t="s">
        <v>23</v>
      </c>
      <c r="DE19" s="12" t="s">
        <v>24</v>
      </c>
      <c r="DF19" s="10">
        <f>CV19+6</f>
        <v>42</v>
      </c>
      <c r="DG19" s="11" t="str">
        <f>"("&amp;ROUND(DF19*25.4/50,0)*50&amp;")"</f>
        <v>(1050)</v>
      </c>
      <c r="DH19" s="12" t="s">
        <v>17</v>
      </c>
      <c r="DI19" s="12" t="s">
        <v>18</v>
      </c>
      <c r="DJ19" s="12" t="s">
        <v>19</v>
      </c>
      <c r="DK19" s="12" t="s">
        <v>20</v>
      </c>
      <c r="DL19" s="12" t="s">
        <v>21</v>
      </c>
      <c r="DM19" s="12" t="s">
        <v>22</v>
      </c>
      <c r="DN19" s="12" t="s">
        <v>23</v>
      </c>
      <c r="DO19" s="12" t="s">
        <v>24</v>
      </c>
      <c r="DP19" s="10">
        <f>DF19+6</f>
        <v>48</v>
      </c>
      <c r="DQ19" s="11" t="str">
        <f>"("&amp;ROUND(DP19*25.4/50,0)*50&amp;")"</f>
        <v>(1200)</v>
      </c>
      <c r="DR19" s="12" t="s">
        <v>17</v>
      </c>
      <c r="DS19" s="12" t="s">
        <v>18</v>
      </c>
      <c r="DT19" s="12" t="s">
        <v>19</v>
      </c>
      <c r="DU19" s="12" t="s">
        <v>20</v>
      </c>
      <c r="DV19" s="12" t="s">
        <v>21</v>
      </c>
      <c r="DW19" s="12" t="s">
        <v>22</v>
      </c>
      <c r="DX19" s="12" t="s">
        <v>23</v>
      </c>
      <c r="DY19" s="12" t="s">
        <v>24</v>
      </c>
      <c r="DZ19" s="10">
        <f>DP19+6</f>
        <v>54</v>
      </c>
      <c r="EA19" s="11" t="str">
        <f>"("&amp;ROUND(DZ19*25.4/50,0)*50&amp;")"</f>
        <v>(1350)</v>
      </c>
      <c r="EB19" s="12" t="s">
        <v>17</v>
      </c>
      <c r="EC19" s="12" t="s">
        <v>18</v>
      </c>
      <c r="ED19" s="12" t="s">
        <v>19</v>
      </c>
      <c r="EE19" s="12" t="s">
        <v>20</v>
      </c>
      <c r="EF19" s="12" t="s">
        <v>21</v>
      </c>
      <c r="EG19" s="12" t="s">
        <v>22</v>
      </c>
      <c r="EH19" s="12" t="s">
        <v>23</v>
      </c>
      <c r="EI19" s="12" t="s">
        <v>24</v>
      </c>
      <c r="EJ19" s="10">
        <f>DZ19+6</f>
        <v>60</v>
      </c>
      <c r="EK19" s="11" t="str">
        <f>"("&amp;ROUND(EJ19*25.4/50,0)*50&amp;")"</f>
        <v>(1500)</v>
      </c>
      <c r="EL19" s="12" t="s">
        <v>17</v>
      </c>
      <c r="EM19" s="12" t="s">
        <v>18</v>
      </c>
      <c r="EN19" s="12" t="s">
        <v>19</v>
      </c>
      <c r="EO19" s="12" t="s">
        <v>20</v>
      </c>
      <c r="EP19" s="12" t="s">
        <v>21</v>
      </c>
      <c r="EQ19" s="12" t="s">
        <v>22</v>
      </c>
      <c r="ER19" s="12" t="s">
        <v>23</v>
      </c>
      <c r="ES19" s="12" t="s">
        <v>24</v>
      </c>
      <c r="ET19" s="10">
        <f>EJ19+6</f>
        <v>66</v>
      </c>
      <c r="EU19" s="11" t="str">
        <f>"("&amp;ROUND(ET19*25.4/50,0)*50&amp;")"</f>
        <v>(1700)</v>
      </c>
      <c r="EV19" s="12" t="s">
        <v>17</v>
      </c>
      <c r="EW19" s="12" t="s">
        <v>18</v>
      </c>
      <c r="EX19" s="12" t="s">
        <v>19</v>
      </c>
      <c r="EY19" s="12" t="s">
        <v>20</v>
      </c>
      <c r="EZ19" s="12" t="s">
        <v>21</v>
      </c>
      <c r="FA19" s="12" t="s">
        <v>22</v>
      </c>
      <c r="FB19" s="12" t="s">
        <v>23</v>
      </c>
      <c r="FC19" s="12" t="s">
        <v>24</v>
      </c>
      <c r="FD19" s="10">
        <f>ET19+6</f>
        <v>72</v>
      </c>
      <c r="FE19" s="11" t="str">
        <f>"("&amp;ROUND(FD19*25.4/50,0)*50&amp;")"</f>
        <v>(1850)</v>
      </c>
      <c r="FF19" s="12" t="s">
        <v>17</v>
      </c>
      <c r="FG19" s="12" t="s">
        <v>18</v>
      </c>
      <c r="FH19" s="12" t="s">
        <v>19</v>
      </c>
      <c r="FI19" s="12" t="s">
        <v>20</v>
      </c>
      <c r="FJ19" s="12" t="s">
        <v>21</v>
      </c>
      <c r="FK19" s="12" t="s">
        <v>22</v>
      </c>
      <c r="FL19" s="12" t="s">
        <v>23</v>
      </c>
      <c r="FM19" s="12" t="s">
        <v>24</v>
      </c>
      <c r="FN19" s="10">
        <f>FD19+6</f>
        <v>78</v>
      </c>
      <c r="FO19" s="11" t="str">
        <f>"("&amp;ROUND(FN19*25.4/50,0)*50&amp;")"</f>
        <v>(2000)</v>
      </c>
      <c r="FP19" s="12" t="s">
        <v>17</v>
      </c>
      <c r="FQ19" s="12" t="s">
        <v>18</v>
      </c>
      <c r="FR19" s="12" t="s">
        <v>19</v>
      </c>
      <c r="FS19" s="12" t="s">
        <v>20</v>
      </c>
      <c r="FT19" s="12" t="s">
        <v>21</v>
      </c>
      <c r="FU19" s="12" t="s">
        <v>22</v>
      </c>
      <c r="FV19" s="12" t="s">
        <v>23</v>
      </c>
      <c r="FW19" s="12" t="s">
        <v>24</v>
      </c>
      <c r="FX19" s="10">
        <f>FN19+6</f>
        <v>84</v>
      </c>
      <c r="FY19" s="11" t="str">
        <f>"("&amp;ROUND(FX19*25.4/50,0)*50&amp;")"</f>
        <v>(2150)</v>
      </c>
      <c r="FZ19" s="12" t="s">
        <v>17</v>
      </c>
      <c r="GA19" s="12" t="s">
        <v>18</v>
      </c>
      <c r="GB19" s="12" t="s">
        <v>19</v>
      </c>
      <c r="GC19" s="12" t="s">
        <v>20</v>
      </c>
      <c r="GD19" s="12" t="s">
        <v>21</v>
      </c>
      <c r="GE19" s="12" t="s">
        <v>22</v>
      </c>
      <c r="GF19" s="12" t="s">
        <v>23</v>
      </c>
      <c r="GG19" s="12" t="s">
        <v>24</v>
      </c>
      <c r="GH19" s="10">
        <f>FX19+6</f>
        <v>90</v>
      </c>
      <c r="GI19" s="11" t="str">
        <f>"("&amp;ROUND(GH19*25.4/50,0)*50&amp;")"</f>
        <v>(2300)</v>
      </c>
      <c r="GJ19" s="12" t="s">
        <v>17</v>
      </c>
      <c r="GK19" s="12" t="s">
        <v>18</v>
      </c>
      <c r="GL19" s="12" t="s">
        <v>19</v>
      </c>
      <c r="GM19" s="12" t="s">
        <v>20</v>
      </c>
      <c r="GN19" s="12" t="s">
        <v>21</v>
      </c>
      <c r="GO19" s="12" t="s">
        <v>22</v>
      </c>
      <c r="GP19" s="12" t="s">
        <v>23</v>
      </c>
      <c r="GQ19" s="12" t="s">
        <v>24</v>
      </c>
      <c r="GR19" s="10">
        <f>GH19+6</f>
        <v>96</v>
      </c>
      <c r="GS19" s="11" t="str">
        <f>"("&amp;ROUND(GR19*25.4/50,0)*50&amp;")"</f>
        <v>(2450)</v>
      </c>
      <c r="GT19" s="12" t="s">
        <v>17</v>
      </c>
      <c r="GU19" s="12" t="s">
        <v>18</v>
      </c>
      <c r="GV19" s="12" t="s">
        <v>19</v>
      </c>
      <c r="GW19" s="12" t="s">
        <v>20</v>
      </c>
      <c r="GX19" s="12" t="s">
        <v>21</v>
      </c>
      <c r="GY19" s="12" t="s">
        <v>22</v>
      </c>
      <c r="GZ19" s="12" t="s">
        <v>23</v>
      </c>
      <c r="HA19" s="12" t="s">
        <v>24</v>
      </c>
      <c r="HB19" s="10">
        <f>GR19+6</f>
        <v>102</v>
      </c>
      <c r="HC19" s="11" t="str">
        <f>"("&amp;ROUND(HB19*25.4/50,0)*50&amp;")"</f>
        <v>(2600)</v>
      </c>
      <c r="HD19" s="12" t="s">
        <v>17</v>
      </c>
      <c r="HE19" s="12" t="s">
        <v>18</v>
      </c>
      <c r="HF19" s="12" t="s">
        <v>19</v>
      </c>
      <c r="HG19" s="12" t="s">
        <v>20</v>
      </c>
      <c r="HH19" s="12" t="s">
        <v>21</v>
      </c>
      <c r="HI19" s="12" t="s">
        <v>22</v>
      </c>
      <c r="HJ19" s="12" t="s">
        <v>23</v>
      </c>
      <c r="HK19" s="12" t="s">
        <v>24</v>
      </c>
      <c r="HL19" s="10">
        <f>HB19+6</f>
        <v>108</v>
      </c>
      <c r="HM19" s="11" t="str">
        <f>"("&amp;ROUND(HL19*25.4/50,0)*50&amp;")"</f>
        <v>(2750)</v>
      </c>
      <c r="HN19" s="12" t="s">
        <v>17</v>
      </c>
      <c r="HO19" s="12" t="s">
        <v>18</v>
      </c>
      <c r="HP19" s="12" t="s">
        <v>19</v>
      </c>
      <c r="HQ19" s="12" t="s">
        <v>20</v>
      </c>
      <c r="HR19" s="12" t="s">
        <v>21</v>
      </c>
      <c r="HS19" s="12" t="s">
        <v>22</v>
      </c>
      <c r="HT19" s="12" t="s">
        <v>23</v>
      </c>
      <c r="HU19" s="12" t="s">
        <v>24</v>
      </c>
      <c r="HV19" s="10">
        <f>HL19+6</f>
        <v>114</v>
      </c>
      <c r="HW19" s="11" t="str">
        <f>"("&amp;ROUND(HV19*25.4/50,0)*50&amp;")"</f>
        <v>(2900)</v>
      </c>
      <c r="HX19" s="12" t="s">
        <v>17</v>
      </c>
      <c r="HY19" s="12" t="s">
        <v>18</v>
      </c>
      <c r="HZ19" s="12" t="s">
        <v>19</v>
      </c>
      <c r="IA19" s="12" t="s">
        <v>20</v>
      </c>
      <c r="IB19" s="12" t="s">
        <v>21</v>
      </c>
      <c r="IC19" s="12" t="s">
        <v>22</v>
      </c>
      <c r="ID19" s="12" t="s">
        <v>23</v>
      </c>
      <c r="IE19" s="12" t="s">
        <v>24</v>
      </c>
      <c r="IF19" s="10">
        <f>HV19+6</f>
        <v>120</v>
      </c>
      <c r="IG19" s="11" t="str">
        <f>"("&amp;ROUND(IF19*25.4/50,0)*50&amp;")"</f>
        <v>(3050)</v>
      </c>
      <c r="IH19" s="12" t="s">
        <v>17</v>
      </c>
      <c r="II19" s="12" t="s">
        <v>18</v>
      </c>
      <c r="IJ19" s="12" t="s">
        <v>19</v>
      </c>
      <c r="IK19" s="12" t="s">
        <v>20</v>
      </c>
      <c r="IL19" s="12" t="s">
        <v>21</v>
      </c>
      <c r="IM19" s="12" t="s">
        <v>22</v>
      </c>
      <c r="IN19" s="12" t="s">
        <v>23</v>
      </c>
      <c r="IO19" s="12" t="s">
        <v>24</v>
      </c>
      <c r="IP19" s="14"/>
      <c r="IQ19" s="15" t="s">
        <v>25</v>
      </c>
      <c r="IR19" s="15" t="s">
        <v>26</v>
      </c>
      <c r="IS19" s="15" t="s">
        <v>27</v>
      </c>
      <c r="IT19" s="15" t="s">
        <v>28</v>
      </c>
      <c r="IU19" s="15" t="s">
        <v>29</v>
      </c>
      <c r="IV19" s="15" t="s">
        <v>30</v>
      </c>
      <c r="IW19" s="15" t="s">
        <v>31</v>
      </c>
      <c r="IX19" s="7"/>
    </row>
    <row r="20" spans="2:258" ht="15.75" thickBot="1" x14ac:dyDescent="0.3">
      <c r="B20" s="79">
        <f>B19+6</f>
        <v>18</v>
      </c>
      <c r="C20" s="147">
        <v>4</v>
      </c>
      <c r="D20" s="487"/>
      <c r="E20" s="468">
        <f t="shared" si="8"/>
        <v>0.34755555555555545</v>
      </c>
      <c r="F20" s="468">
        <f t="shared" si="0"/>
        <v>0.39525925925925925</v>
      </c>
      <c r="G20" s="468">
        <f t="shared" si="1"/>
        <v>0.41911111111111105</v>
      </c>
      <c r="H20" s="468">
        <f t="shared" si="2"/>
        <v>0.43342222222222215</v>
      </c>
      <c r="I20" s="468">
        <f t="shared" si="3"/>
        <v>0.44296296296296295</v>
      </c>
      <c r="J20" s="468">
        <f t="shared" si="4"/>
        <v>0.44977777777777772</v>
      </c>
      <c r="K20" s="468">
        <f t="shared" si="5"/>
        <v>0.45488888888888884</v>
      </c>
      <c r="L20" s="468">
        <f t="shared" si="6"/>
        <v>0.44977777777777772</v>
      </c>
      <c r="M20" s="468">
        <f t="shared" si="7"/>
        <v>0.45386666666666658</v>
      </c>
      <c r="N20" s="488"/>
      <c r="O20" s="488"/>
      <c r="P20" s="488"/>
      <c r="Q20" s="488"/>
      <c r="R20" s="488"/>
      <c r="S20" s="488"/>
      <c r="T20" s="488"/>
      <c r="U20" s="488"/>
      <c r="V20" s="488"/>
      <c r="W20" s="488"/>
      <c r="X20" s="76"/>
      <c r="Y20" s="46"/>
      <c r="AA20" s="61"/>
      <c r="AT20" s="3"/>
      <c r="AU20" s="9"/>
      <c r="AV20" s="16"/>
      <c r="AW20" s="17"/>
      <c r="AX20" s="17"/>
      <c r="AY20" s="17"/>
      <c r="AZ20" s="11"/>
      <c r="BA20" s="11"/>
      <c r="BB20" s="11"/>
      <c r="BC20" s="11"/>
      <c r="BD20" s="11"/>
      <c r="BE20" s="11"/>
      <c r="BF20" s="11"/>
      <c r="BG20" s="11"/>
      <c r="BH20" s="10"/>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4"/>
      <c r="IQ20" s="15"/>
      <c r="IR20" s="15"/>
      <c r="IS20" s="15"/>
      <c r="IT20" s="15"/>
      <c r="IU20" s="15"/>
      <c r="IV20" s="15"/>
      <c r="IW20" s="15"/>
      <c r="IX20" s="7"/>
    </row>
    <row r="21" spans="2:258" ht="18" customHeight="1" thickBot="1" x14ac:dyDescent="0.3">
      <c r="B21" s="79">
        <f t="shared" ref="B21:B37" si="9">B20+6</f>
        <v>24</v>
      </c>
      <c r="C21" s="148">
        <v>5</v>
      </c>
      <c r="D21" s="487"/>
      <c r="E21" s="468">
        <f t="shared" si="8"/>
        <v>0.37459027777777781</v>
      </c>
      <c r="F21" s="468">
        <f t="shared" si="0"/>
        <v>0.42600462962962959</v>
      </c>
      <c r="G21" s="468">
        <f t="shared" si="1"/>
        <v>0.45171180555555551</v>
      </c>
      <c r="H21" s="468">
        <f t="shared" si="2"/>
        <v>0.46713611111111114</v>
      </c>
      <c r="I21" s="468">
        <f t="shared" si="3"/>
        <v>0.47741898148148149</v>
      </c>
      <c r="J21" s="468">
        <f t="shared" si="4"/>
        <v>0.48476388888888888</v>
      </c>
      <c r="K21" s="468">
        <f t="shared" si="5"/>
        <v>0.49027256944444442</v>
      </c>
      <c r="L21" s="468">
        <f t="shared" si="6"/>
        <v>0.48476388888888888</v>
      </c>
      <c r="M21" s="468">
        <f t="shared" si="7"/>
        <v>0.48917083333333339</v>
      </c>
      <c r="N21" s="488"/>
      <c r="O21" s="488"/>
      <c r="P21" s="488"/>
      <c r="Q21" s="488"/>
      <c r="R21" s="488"/>
      <c r="S21" s="488"/>
      <c r="T21" s="488"/>
      <c r="U21" s="488"/>
      <c r="V21" s="488"/>
      <c r="W21" s="488"/>
      <c r="X21" s="76"/>
      <c r="Y21" s="46"/>
      <c r="AA21" s="61"/>
      <c r="AT21" s="3"/>
      <c r="AU21" s="145">
        <f>H5</f>
        <v>9.5</v>
      </c>
      <c r="AV21" s="11" t="str">
        <f t="shared" ref="AV21:AV40" si="10">"("&amp;ROUND(AU21*25.4/50,0)*50&amp;")"</f>
        <v>(250)</v>
      </c>
      <c r="AW21" s="146"/>
      <c r="AX21" s="19">
        <f t="shared" ref="AX21:AX40" si="11">($IR21+(($IQ21-1)*$IS21)+$IT21)*BG21/144</f>
        <v>0.1198923611111111</v>
      </c>
      <c r="AY21" s="20" t="str">
        <f t="shared" ref="AY21:AY40" si="12">"("&amp;FIXED(AX21*0.092903,2)&amp;")"</f>
        <v>(0.01)</v>
      </c>
      <c r="AZ21" s="21">
        <v>2</v>
      </c>
      <c r="BA21" s="21">
        <f t="shared" ref="BA21:BA40" si="13">$IU$22*AZ21</f>
        <v>3.5</v>
      </c>
      <c r="BB21" s="21">
        <v>0</v>
      </c>
      <c r="BC21" s="21">
        <f t="shared" ref="BC21:BC40" si="14">$IW$22*BB21</f>
        <v>0</v>
      </c>
      <c r="BD21" s="21">
        <v>0</v>
      </c>
      <c r="BE21" s="21">
        <f t="shared" ref="BE21:BE40" si="15">$IV$22*BD21</f>
        <v>0</v>
      </c>
      <c r="BF21" s="21">
        <f t="shared" ref="BF21:BF40" si="16">BA21+BC21+BE21</f>
        <v>3.5</v>
      </c>
      <c r="BG21" s="22">
        <f t="shared" ref="BG21:BG40" si="17">AX$19-BA21-BC21-BE21</f>
        <v>5.5</v>
      </c>
      <c r="BH21" s="19">
        <f t="shared" ref="BH21:BH40" si="18">($IR21+(($IQ21-1)*$IS21)+$IT21)*BQ21/144</f>
        <v>0.18528819444444444</v>
      </c>
      <c r="BI21" s="20" t="str">
        <f t="shared" ref="BI21:BI40" si="19">"("&amp;FIXED(BH21*0.092903,2)&amp;")"</f>
        <v>(0.02)</v>
      </c>
      <c r="BJ21" s="21">
        <v>2</v>
      </c>
      <c r="BK21" s="21">
        <f t="shared" ref="BK21:BK40" si="20">$IU$22*BJ21</f>
        <v>3.5</v>
      </c>
      <c r="BL21" s="21">
        <v>0</v>
      </c>
      <c r="BM21" s="21">
        <f t="shared" ref="BM21:BM40" si="21">$IW$22*BL21</f>
        <v>0</v>
      </c>
      <c r="BN21" s="21">
        <v>0</v>
      </c>
      <c r="BO21" s="21">
        <f t="shared" ref="BO21:BO40" si="22">$IV$22*BN21</f>
        <v>0</v>
      </c>
      <c r="BP21" s="21">
        <f t="shared" ref="BP21:BP40" si="23">BK21+BM21+BO21</f>
        <v>3.5</v>
      </c>
      <c r="BQ21" s="22">
        <f t="shared" ref="BQ21:BQ40" si="24">BH$19-BK21-BM21-BO21</f>
        <v>8.5</v>
      </c>
      <c r="BR21" s="19">
        <f t="shared" ref="BR21:BR40" si="25">($IR21+(($IQ21-1)*$IS21)+$IT21)*CA21/144</f>
        <v>0.31607986111111108</v>
      </c>
      <c r="BS21" s="20" t="str">
        <f t="shared" ref="BS21:BS40" si="26">"("&amp;ROUND(BR21*0.092903,2)&amp;")"</f>
        <v>(0.03)</v>
      </c>
      <c r="BT21" s="21">
        <v>2</v>
      </c>
      <c r="BU21" s="21">
        <f t="shared" ref="BU21:BU40" si="27">$IU$22*BT21</f>
        <v>3.5</v>
      </c>
      <c r="BV21" s="21">
        <v>0</v>
      </c>
      <c r="BW21" s="21">
        <f t="shared" ref="BW21:BW40" si="28">$IW$22*BV21</f>
        <v>0</v>
      </c>
      <c r="BX21" s="21">
        <v>0</v>
      </c>
      <c r="BY21" s="21">
        <f t="shared" ref="BY21:BY40" si="29">$IV$22*BX21</f>
        <v>0</v>
      </c>
      <c r="BZ21" s="21">
        <f t="shared" ref="BZ21:BZ40" si="30">BU21+BW21+BY21</f>
        <v>3.5</v>
      </c>
      <c r="CA21" s="22">
        <f t="shared" ref="CA21:CA40" si="31">BR$19-BU21-BW21-BY21</f>
        <v>14.5</v>
      </c>
      <c r="CB21" s="19">
        <f t="shared" ref="CB21:CB40" si="32">($IR21+(($IQ21-1)*$IS21)+$IT21)*CK21/144</f>
        <v>0.44687152777777772</v>
      </c>
      <c r="CC21" s="20" t="str">
        <f t="shared" ref="CC21:CC40" si="33">"("&amp;ROUND(CB21*0.092903,2)&amp;")"</f>
        <v>(0.04)</v>
      </c>
      <c r="CD21" s="21">
        <v>2</v>
      </c>
      <c r="CE21" s="21">
        <f t="shared" ref="CE21:CE40" si="34">$IU$22*CD21</f>
        <v>3.5</v>
      </c>
      <c r="CF21" s="21">
        <v>0</v>
      </c>
      <c r="CG21" s="21">
        <f t="shared" ref="CG21:CG40" si="35">$IW$22*CF21</f>
        <v>0</v>
      </c>
      <c r="CH21" s="21">
        <v>0</v>
      </c>
      <c r="CI21" s="21">
        <f t="shared" ref="CI21:CI40" si="36">$IV$22*CH21</f>
        <v>0</v>
      </c>
      <c r="CJ21" s="21">
        <f t="shared" ref="CJ21:CJ40" si="37">CE21+CG21+CI21</f>
        <v>3.5</v>
      </c>
      <c r="CK21" s="22">
        <f t="shared" ref="CK21:CK40" si="38">CB$19-CE21-CG21-CI21</f>
        <v>20.5</v>
      </c>
      <c r="CL21" s="19">
        <f t="shared" ref="CL21:CL40" si="39">($IR21+(($IQ21-1)*$IS21)+$IT21)*CU21/144</f>
        <v>0.57766319444444436</v>
      </c>
      <c r="CM21" s="20" t="str">
        <f t="shared" ref="CM21:CM40" si="40">"("&amp;ROUND(CL21*0.092903,2)&amp;")"</f>
        <v>(0.05)</v>
      </c>
      <c r="CN21" s="21">
        <v>2</v>
      </c>
      <c r="CO21" s="21">
        <f t="shared" ref="CO21:CO40" si="41">$IU$22*CN21</f>
        <v>3.5</v>
      </c>
      <c r="CP21" s="21">
        <v>0</v>
      </c>
      <c r="CQ21" s="21">
        <f t="shared" ref="CQ21:CQ40" si="42">$IW$22*CP21</f>
        <v>0</v>
      </c>
      <c r="CR21" s="21">
        <v>0</v>
      </c>
      <c r="CS21" s="21">
        <f t="shared" ref="CS21:CS40" si="43">$IV$22*CR21</f>
        <v>0</v>
      </c>
      <c r="CT21" s="21">
        <f t="shared" ref="CT21:CT40" si="44">CO21+CQ21+CS21</f>
        <v>3.5</v>
      </c>
      <c r="CU21" s="22">
        <f t="shared" ref="CU21:CU40" si="45">CL$19-CO21-CQ21-CS21</f>
        <v>26.5</v>
      </c>
      <c r="CV21" s="19">
        <f t="shared" ref="CV21:CV40" si="46">($IR21+(($IQ21-1)*$IS21)+$IT21)*DE21/144</f>
        <v>0.70845486111111111</v>
      </c>
      <c r="CW21" s="20" t="str">
        <f t="shared" ref="CW21:CW40" si="47">"("&amp;ROUND(CV21*0.092903,2)&amp;")"</f>
        <v>(0.07)</v>
      </c>
      <c r="CX21" s="21">
        <v>2</v>
      </c>
      <c r="CY21" s="21">
        <f t="shared" ref="CY21:CY40" si="48">$IU$22*CX21</f>
        <v>3.5</v>
      </c>
      <c r="CZ21" s="21">
        <v>0</v>
      </c>
      <c r="DA21" s="21">
        <f t="shared" ref="DA21:DA40" si="49">$IW$22*CZ21</f>
        <v>0</v>
      </c>
      <c r="DB21" s="21">
        <v>0</v>
      </c>
      <c r="DC21" s="21">
        <f t="shared" ref="DC21:DC40" si="50">$IV$22*DB21</f>
        <v>0</v>
      </c>
      <c r="DD21" s="21">
        <f t="shared" ref="DD21:DD40" si="51">CY21+DA21+DC21</f>
        <v>3.5</v>
      </c>
      <c r="DE21" s="22">
        <f t="shared" ref="DE21:DE40" si="52">CV$19-CY21-DA21-DC21</f>
        <v>32.5</v>
      </c>
      <c r="DF21" s="19">
        <f t="shared" ref="DF21:DF40" si="53">($IR21+(($IQ21-1)*$IS21)+$IT21)*DO21/144</f>
        <v>0.83924652777777764</v>
      </c>
      <c r="DG21" s="20" t="str">
        <f t="shared" ref="DG21:DG40" si="54">"("&amp;ROUND(DF21*0.092903,2)&amp;")"</f>
        <v>(0.08)</v>
      </c>
      <c r="DH21" s="21">
        <v>2</v>
      </c>
      <c r="DI21" s="21">
        <f t="shared" ref="DI21:DI40" si="55">$IU$22*DH21</f>
        <v>3.5</v>
      </c>
      <c r="DJ21" s="21">
        <v>0</v>
      </c>
      <c r="DK21" s="21">
        <f t="shared" ref="DK21:DK40" si="56">$IW$22*DJ21</f>
        <v>0</v>
      </c>
      <c r="DL21" s="21">
        <v>0</v>
      </c>
      <c r="DM21" s="21">
        <f t="shared" ref="DM21:DM40" si="57">$IV$22*DL21</f>
        <v>0</v>
      </c>
      <c r="DN21" s="21">
        <f t="shared" ref="DN21:DN40" si="58">DI21+DK21+DM21</f>
        <v>3.5</v>
      </c>
      <c r="DO21" s="22">
        <f t="shared" ref="DO21:DO40" si="59">DF$19-DI21-DK21-DM21</f>
        <v>38.5</v>
      </c>
      <c r="DP21" s="19">
        <f t="shared" ref="DP21:DP40" si="60">($IR21+(($IQ21-1)*$IS21)+$IT21)*DY21/144</f>
        <v>0.97003819444444439</v>
      </c>
      <c r="DQ21" s="20" t="str">
        <f t="shared" ref="DQ21:DQ40" si="61">"("&amp;ROUND(DP21*0.092903,2)&amp;")"</f>
        <v>(0.09)</v>
      </c>
      <c r="DR21" s="21">
        <v>2</v>
      </c>
      <c r="DS21" s="21">
        <f>$IU$22*DR21</f>
        <v>3.5</v>
      </c>
      <c r="DT21" s="21">
        <v>0</v>
      </c>
      <c r="DU21" s="21">
        <f t="shared" ref="DU21:DU40" si="62">$IW$22*DT21</f>
        <v>0</v>
      </c>
      <c r="DV21" s="21">
        <v>0</v>
      </c>
      <c r="DW21" s="21">
        <f t="shared" ref="DW21:DW40" si="63">$IV$22*DV21</f>
        <v>0</v>
      </c>
      <c r="DX21" s="21">
        <f t="shared" ref="DX21:DX40" si="64">DS21+DU21+DW21</f>
        <v>3.5</v>
      </c>
      <c r="DY21" s="22">
        <f t="shared" ref="DY21:DY40" si="65">DP$19-DS21-DU21-DW21</f>
        <v>44.5</v>
      </c>
      <c r="DZ21" s="19">
        <f t="shared" ref="DZ21:DZ40" si="66">($IR21+(($IQ21-1)*$IS21)+$IT21)*EI21/144</f>
        <v>1.0790312499999999</v>
      </c>
      <c r="EA21" s="20" t="str">
        <f t="shared" ref="EA21:EA40" si="67">"("&amp;FIXED(DZ21*0.092903,2)&amp;")"</f>
        <v>(0.10)</v>
      </c>
      <c r="EB21" s="21">
        <v>2</v>
      </c>
      <c r="EC21" s="21">
        <f t="shared" ref="EC21:EC40" si="68">$IU$22*EB21</f>
        <v>3.5</v>
      </c>
      <c r="ED21" s="21">
        <v>0</v>
      </c>
      <c r="EE21" s="21">
        <f t="shared" ref="EE21:EE40" si="69">$IW$22*ED21</f>
        <v>0</v>
      </c>
      <c r="EF21" s="21">
        <v>1</v>
      </c>
      <c r="EG21" s="21">
        <f t="shared" ref="EG21:EG40" si="70">$IV$22*EF21</f>
        <v>1</v>
      </c>
      <c r="EH21" s="21">
        <f t="shared" ref="EH21:EH40" si="71">EC21+EE21+EG21</f>
        <v>4.5</v>
      </c>
      <c r="EI21" s="22">
        <f t="shared" ref="EI21:EI40" si="72">DZ$19-EC21-EE21-EG21</f>
        <v>49.5</v>
      </c>
      <c r="EJ21" s="19">
        <f t="shared" ref="EJ21:EJ40" si="73">($IR21+(($IQ21-1)*$IS21)+$IT21)*ES21/144</f>
        <v>1.2098229166666665</v>
      </c>
      <c r="EK21" s="20" t="str">
        <f t="shared" ref="EK21:EK40" si="74">"("&amp;FIXED(EJ21*0.092903,2)&amp;")"</f>
        <v>(0.11)</v>
      </c>
      <c r="EL21" s="21">
        <v>2</v>
      </c>
      <c r="EM21" s="21">
        <f t="shared" ref="EM21:EM40" si="75">$IU$22*EL21</f>
        <v>3.5</v>
      </c>
      <c r="EN21" s="21">
        <v>0</v>
      </c>
      <c r="EO21" s="21">
        <f t="shared" ref="EO21:EO40" si="76">$IW$22*EN21</f>
        <v>0</v>
      </c>
      <c r="EP21" s="21">
        <v>1</v>
      </c>
      <c r="EQ21" s="21">
        <f t="shared" ref="EQ21:EQ40" si="77">$IV$22*EP21</f>
        <v>1</v>
      </c>
      <c r="ER21" s="21">
        <f t="shared" ref="ER21:ER40" si="78">EM21+EO21+EQ21</f>
        <v>4.5</v>
      </c>
      <c r="ES21" s="22">
        <f t="shared" ref="ES21:ES40" si="79">EJ$19-EM21-EO21-EQ21</f>
        <v>55.5</v>
      </c>
      <c r="ET21" s="19">
        <f t="shared" ref="ET21:ET40" si="80">($IR21+(($IQ21-1)*$IS21)+$IT21)*FC21/144</f>
        <v>1.3406145833333332</v>
      </c>
      <c r="EU21" s="20" t="str">
        <f t="shared" ref="EU21:EU40" si="81">"("&amp;FIXED(ET21*0.092903,2)&amp;")"</f>
        <v>(0.12)</v>
      </c>
      <c r="EV21" s="21">
        <v>2</v>
      </c>
      <c r="EW21" s="21">
        <f t="shared" ref="EW21:EW40" si="82">$IU$22*EV21</f>
        <v>3.5</v>
      </c>
      <c r="EX21" s="21">
        <v>0</v>
      </c>
      <c r="EY21" s="21">
        <f t="shared" ref="EY21:EY40" si="83">$IW$22*EX21</f>
        <v>0</v>
      </c>
      <c r="EZ21" s="21">
        <v>1</v>
      </c>
      <c r="FA21" s="21">
        <f t="shared" ref="FA21:FA40" si="84">$IV$22*EZ21</f>
        <v>1</v>
      </c>
      <c r="FB21" s="21">
        <f t="shared" ref="FB21:FB40" si="85">EW21+EY21+FA21</f>
        <v>4.5</v>
      </c>
      <c r="FC21" s="22">
        <f t="shared" ref="FC21:FC40" si="86">ET$19-EW21-EY21-FA21</f>
        <v>61.5</v>
      </c>
      <c r="FD21" s="19">
        <f t="shared" ref="FD21:FD40" si="87">($IR21+(($IQ21-1)*$IS21)+$IT21)*FM21/144</f>
        <v>1.4932048611111108</v>
      </c>
      <c r="FE21" s="20" t="str">
        <f t="shared" ref="FE21:FE40" si="88">"("&amp;FIXED(FD21*0.092903,2)&amp;")"</f>
        <v>(0.14)</v>
      </c>
      <c r="FF21" s="21">
        <v>2</v>
      </c>
      <c r="FG21" s="21">
        <f t="shared" ref="FG21:FG40" si="89">$IU$22*FF21</f>
        <v>3.5</v>
      </c>
      <c r="FH21" s="469">
        <v>0</v>
      </c>
      <c r="FI21" s="21">
        <f t="shared" ref="FI21:FI40" si="90">$IW$22*FH21</f>
        <v>0</v>
      </c>
      <c r="FJ21" s="21">
        <v>0</v>
      </c>
      <c r="FK21" s="21">
        <f t="shared" ref="FK21:FK40" si="91">$IV$22*FJ21</f>
        <v>0</v>
      </c>
      <c r="FL21" s="21">
        <f t="shared" ref="FL21:FL40" si="92">FG21+FI21+FK21</f>
        <v>3.5</v>
      </c>
      <c r="FM21" s="22">
        <f t="shared" ref="FM21:FM40" si="93">FD$19-FG21-FI21-FK21</f>
        <v>68.5</v>
      </c>
      <c r="FN21" s="19">
        <f t="shared" ref="FN21:FN32" si="94">($IR21+(($IQ21-1)*$IS21)+$IT21)*FW21/144</f>
        <v>1.5994730902777776</v>
      </c>
      <c r="FO21" s="20" t="str">
        <f t="shared" ref="FO21:FO32" si="95">"("&amp;FIXED(FN21*0.092903,2)&amp;")"</f>
        <v>(0.15)</v>
      </c>
      <c r="FP21" s="21">
        <v>2</v>
      </c>
      <c r="FQ21" s="21">
        <f t="shared" ref="FQ21:FQ32" si="96">$IU$22*FP21</f>
        <v>3.5</v>
      </c>
      <c r="FR21" s="21">
        <v>1</v>
      </c>
      <c r="FS21" s="21">
        <f t="shared" ref="FS21:FS32" si="97">$IW$22*FR21</f>
        <v>1.125</v>
      </c>
      <c r="FT21" s="21">
        <v>0</v>
      </c>
      <c r="FU21" s="21">
        <f t="shared" ref="FU21:FU32" si="98">$IV$22*FT21</f>
        <v>0</v>
      </c>
      <c r="FV21" s="21">
        <f t="shared" ref="FV21:FV32" si="99">FQ21+FS21+FU21</f>
        <v>4.625</v>
      </c>
      <c r="FW21" s="22">
        <f t="shared" ref="FW21:FW32" si="100">FN$19-FQ21-FS21-FU21</f>
        <v>73.375</v>
      </c>
      <c r="FX21" s="19">
        <f t="shared" ref="FX21:FX32" si="101">($IR21+(($IQ21-1)*$IS21)+$IT21)*GG21/144</f>
        <v>1.7302647569444443</v>
      </c>
      <c r="FY21" s="20" t="str">
        <f t="shared" ref="FY21:FY32" si="102">"("&amp;FIXED(FX21*0.092903,2)&amp;")"</f>
        <v>(0.16)</v>
      </c>
      <c r="FZ21" s="21">
        <v>2</v>
      </c>
      <c r="GA21" s="21">
        <f t="shared" ref="GA21:GA32" si="103">$IU$22*FZ21</f>
        <v>3.5</v>
      </c>
      <c r="GB21" s="21">
        <v>1</v>
      </c>
      <c r="GC21" s="21">
        <f t="shared" ref="GC21:GC32" si="104">$IW$22*GB21</f>
        <v>1.125</v>
      </c>
      <c r="GD21" s="21">
        <v>0</v>
      </c>
      <c r="GE21" s="21">
        <f t="shared" ref="GE21:GE32" si="105">$IV$22*GD21</f>
        <v>0</v>
      </c>
      <c r="GF21" s="21">
        <f t="shared" ref="GF21:GF32" si="106">GA21+GC21+GE21</f>
        <v>4.625</v>
      </c>
      <c r="GG21" s="22">
        <f t="shared" ref="GG21:GG32" si="107">FX$19-GA21-GC21-GE21</f>
        <v>79.375</v>
      </c>
      <c r="GH21" s="19">
        <f t="shared" ref="GH21:GH32" si="108">($IR21+(($IQ21-1)*$IS21)+$IT21)*GQ21/144</f>
        <v>1.8610564236111111</v>
      </c>
      <c r="GI21" s="20" t="str">
        <f t="shared" ref="GI21:GI32" si="109">"("&amp;FIXED(GH21*0.092903,2)&amp;")"</f>
        <v>(0.17)</v>
      </c>
      <c r="GJ21" s="21">
        <v>2</v>
      </c>
      <c r="GK21" s="21">
        <f t="shared" ref="GK21:GK32" si="110">$IU$22*GJ21</f>
        <v>3.5</v>
      </c>
      <c r="GL21" s="21">
        <v>1</v>
      </c>
      <c r="GM21" s="21">
        <f t="shared" ref="GM21:GM32" si="111">$IW$22*GL21</f>
        <v>1.125</v>
      </c>
      <c r="GN21" s="21">
        <v>0</v>
      </c>
      <c r="GO21" s="21">
        <f t="shared" ref="GO21:GO32" si="112">$IV$22*GN21</f>
        <v>0</v>
      </c>
      <c r="GP21" s="21">
        <f t="shared" ref="GP21:GP32" si="113">GK21+GM21+GO21</f>
        <v>4.625</v>
      </c>
      <c r="GQ21" s="22">
        <f t="shared" ref="GQ21:GQ32" si="114">GH$19-GK21-GM21-GO21</f>
        <v>85.375</v>
      </c>
      <c r="GR21" s="19">
        <f t="shared" ref="GR21:GR32" si="115">($IR21+(($IQ21-1)*$IS21)+$IT21)*HA21/144</f>
        <v>1.9918480902777778</v>
      </c>
      <c r="GS21" s="20" t="str">
        <f t="shared" ref="GS21:GS32" si="116">"("&amp;FIXED(GR21*0.092903,2)&amp;")"</f>
        <v>(0.19)</v>
      </c>
      <c r="GT21" s="21">
        <v>2</v>
      </c>
      <c r="GU21" s="21">
        <f t="shared" ref="GU21:GU32" si="117">$IU$22*GT21</f>
        <v>3.5</v>
      </c>
      <c r="GV21" s="21">
        <v>1</v>
      </c>
      <c r="GW21" s="21">
        <f t="shared" ref="GW21:GW32" si="118">$IW$22*GV21</f>
        <v>1.125</v>
      </c>
      <c r="GX21" s="21">
        <v>0</v>
      </c>
      <c r="GY21" s="21">
        <f t="shared" ref="GY21:GY32" si="119">$IV$22*GX21</f>
        <v>0</v>
      </c>
      <c r="GZ21" s="21">
        <f t="shared" ref="GZ21:GZ32" si="120">GU21+GW21+GY21</f>
        <v>4.625</v>
      </c>
      <c r="HA21" s="22">
        <f t="shared" ref="HA21:HA32" si="121">GR$19-GU21-GW21-GY21</f>
        <v>91.375</v>
      </c>
      <c r="HB21" s="19">
        <f t="shared" ref="HB21:HB32" si="122">($IR21+(($IQ21-1)*$IS21)+$IT21)*HK21/144</f>
        <v>2.1226397569444444</v>
      </c>
      <c r="HC21" s="20" t="str">
        <f t="shared" ref="HC21:HC32" si="123">"("&amp;FIXED(HB21*0.092903,2)&amp;")"</f>
        <v>(0.20)</v>
      </c>
      <c r="HD21" s="21">
        <v>2</v>
      </c>
      <c r="HE21" s="21">
        <f t="shared" ref="HE21:HE32" si="124">$IU$22*HD21</f>
        <v>3.5</v>
      </c>
      <c r="HF21" s="21">
        <v>1</v>
      </c>
      <c r="HG21" s="21">
        <f t="shared" ref="HG21:HG32" si="125">$IW$22*HF21</f>
        <v>1.125</v>
      </c>
      <c r="HH21" s="21">
        <v>0</v>
      </c>
      <c r="HI21" s="21">
        <f t="shared" ref="HI21:HI32" si="126">$IV$22*HH21</f>
        <v>0</v>
      </c>
      <c r="HJ21" s="21">
        <f t="shared" ref="HJ21:HJ32" si="127">HE21+HG21+HI21</f>
        <v>4.625</v>
      </c>
      <c r="HK21" s="22">
        <f t="shared" ref="HK21:HK32" si="128">HB$19-HE21-HG21-HI21</f>
        <v>97.375</v>
      </c>
      <c r="HL21" s="19">
        <f t="shared" ref="HL21:HL32" si="129">($IR21+(($IQ21-1)*$IS21)+$IT21)*HU21/144</f>
        <v>2.2098342013888885</v>
      </c>
      <c r="HM21" s="20" t="str">
        <f t="shared" ref="HM21:HM32" si="130">"("&amp;FIXED(HL21*0.092903,2)&amp;")"</f>
        <v>(0.21)</v>
      </c>
      <c r="HN21" s="21">
        <v>2</v>
      </c>
      <c r="HO21" s="21">
        <f t="shared" ref="HO21:HO32" si="131">$IU$22*HN21</f>
        <v>3.5</v>
      </c>
      <c r="HP21" s="21">
        <v>1</v>
      </c>
      <c r="HQ21" s="21">
        <f t="shared" ref="HQ21:HQ32" si="132">$IW$22*HP21</f>
        <v>1.125</v>
      </c>
      <c r="HR21" s="21">
        <v>2</v>
      </c>
      <c r="HS21" s="21">
        <f t="shared" ref="HS21:HS32" si="133">$IV$22*HR21</f>
        <v>2</v>
      </c>
      <c r="HT21" s="21">
        <f t="shared" ref="HT21:HT32" si="134">HO21+HQ21+HS21</f>
        <v>6.625</v>
      </c>
      <c r="HU21" s="22">
        <f t="shared" ref="HU21:HU32" si="135">HL$19-HO21-HQ21-HS21</f>
        <v>101.375</v>
      </c>
      <c r="HV21" s="19">
        <f t="shared" ref="HV21:HV32" si="136">($IR21+(($IQ21-1)*$IS21)+$IT21)*IE21/144</f>
        <v>2.3406258680555556</v>
      </c>
      <c r="HW21" s="20" t="str">
        <f t="shared" ref="HW21:HW32" si="137">"("&amp;FIXED(HV21*0.092903,2)&amp;")"</f>
        <v>(0.22)</v>
      </c>
      <c r="HX21" s="21">
        <v>2</v>
      </c>
      <c r="HY21" s="21">
        <f t="shared" ref="HY21:HY32" si="138">$IU$22*HX21</f>
        <v>3.5</v>
      </c>
      <c r="HZ21" s="21">
        <v>1</v>
      </c>
      <c r="IA21" s="21">
        <f t="shared" ref="IA21:IA32" si="139">$IW$22*HZ21</f>
        <v>1.125</v>
      </c>
      <c r="IB21" s="21">
        <v>2</v>
      </c>
      <c r="IC21" s="21">
        <f t="shared" ref="IC21:IC32" si="140">$IV$22*IB21</f>
        <v>2</v>
      </c>
      <c r="ID21" s="21">
        <f t="shared" ref="ID21:ID32" si="141">HY21+IA21+IC21</f>
        <v>6.625</v>
      </c>
      <c r="IE21" s="22">
        <f t="shared" ref="IE21:IE32" si="142">HV$19-HY21-IA21-IC21</f>
        <v>107.375</v>
      </c>
      <c r="IF21" s="19">
        <f t="shared" ref="IF21:IF32" si="143">($IR21+(($IQ21-1)*$IS21)+$IT21)*IO21/144</f>
        <v>2.4714175347222223</v>
      </c>
      <c r="IG21" s="20" t="str">
        <f t="shared" ref="IG21:IG32" si="144">"("&amp;FIXED(IF21*0.092903,2)&amp;")"</f>
        <v>(0.23)</v>
      </c>
      <c r="IH21" s="21">
        <v>2</v>
      </c>
      <c r="II21" s="21">
        <f t="shared" ref="II21:II32" si="145">$IU$22*IH21</f>
        <v>3.5</v>
      </c>
      <c r="IJ21" s="21">
        <v>1</v>
      </c>
      <c r="IK21" s="21">
        <f t="shared" ref="IK21:IK32" si="146">$IW$22*IJ21</f>
        <v>1.125</v>
      </c>
      <c r="IL21" s="21">
        <v>2</v>
      </c>
      <c r="IM21" s="21">
        <f t="shared" ref="IM21:IM32" si="147">$IV$22*IL21</f>
        <v>2</v>
      </c>
      <c r="IN21" s="21">
        <f t="shared" ref="IN21:IN32" si="148">II21+IK21+IM21</f>
        <v>6.625</v>
      </c>
      <c r="IO21" s="22">
        <f t="shared" ref="IO21:IO32" si="149">IF$19-II21-IK21-IM21</f>
        <v>113.375</v>
      </c>
      <c r="IP21" s="14"/>
      <c r="IQ21" s="24">
        <v>1</v>
      </c>
      <c r="IR21" s="25">
        <v>2.65</v>
      </c>
      <c r="IS21" s="25">
        <v>2.65</v>
      </c>
      <c r="IT21" s="25">
        <v>0.48899999999999999</v>
      </c>
      <c r="IU21" s="25">
        <v>1.75</v>
      </c>
      <c r="IV21" s="25">
        <v>1</v>
      </c>
      <c r="IW21" s="25">
        <v>1.125</v>
      </c>
      <c r="IX21" s="7"/>
    </row>
    <row r="22" spans="2:258" ht="15.75" thickBot="1" x14ac:dyDescent="0.3">
      <c r="B22" s="79">
        <f t="shared" si="9"/>
        <v>30</v>
      </c>
      <c r="C22" s="147">
        <v>6</v>
      </c>
      <c r="D22" s="487"/>
      <c r="E22" s="468">
        <f t="shared" si="8"/>
        <v>0.39624166666666666</v>
      </c>
      <c r="F22" s="468">
        <f t="shared" si="0"/>
        <v>0.45062777777777779</v>
      </c>
      <c r="G22" s="468">
        <f t="shared" si="1"/>
        <v>0.47782083333333336</v>
      </c>
      <c r="H22" s="468">
        <f t="shared" si="2"/>
        <v>0.49413666666666672</v>
      </c>
      <c r="I22" s="468">
        <f t="shared" si="3"/>
        <v>0.50501388888888887</v>
      </c>
      <c r="J22" s="468">
        <f t="shared" si="4"/>
        <v>0.51278333333333326</v>
      </c>
      <c r="K22" s="468">
        <f t="shared" si="5"/>
        <v>0.51861041666666663</v>
      </c>
      <c r="L22" s="468">
        <f t="shared" si="6"/>
        <v>0.51278333333333326</v>
      </c>
      <c r="M22" s="468">
        <f t="shared" si="7"/>
        <v>0.51744499999999993</v>
      </c>
      <c r="N22" s="488"/>
      <c r="O22" s="488"/>
      <c r="P22" s="488"/>
      <c r="Q22" s="488"/>
      <c r="R22" s="488"/>
      <c r="S22" s="488"/>
      <c r="T22" s="488"/>
      <c r="U22" s="488"/>
      <c r="V22" s="488"/>
      <c r="W22" s="488"/>
      <c r="X22" s="76"/>
      <c r="Y22" s="46"/>
      <c r="AA22" s="61"/>
      <c r="AT22" s="3"/>
      <c r="AU22" s="13">
        <v>12</v>
      </c>
      <c r="AV22" s="11" t="str">
        <f t="shared" si="10"/>
        <v>(300)</v>
      </c>
      <c r="AW22" s="18"/>
      <c r="AX22" s="19">
        <f t="shared" si="11"/>
        <v>0.18111805555555555</v>
      </c>
      <c r="AY22" s="20" t="str">
        <f t="shared" si="12"/>
        <v>(0.02)</v>
      </c>
      <c r="AZ22" s="21">
        <v>2</v>
      </c>
      <c r="BA22" s="21">
        <f t="shared" si="13"/>
        <v>3.5</v>
      </c>
      <c r="BB22" s="21">
        <v>0</v>
      </c>
      <c r="BC22" s="21">
        <f t="shared" si="14"/>
        <v>0</v>
      </c>
      <c r="BD22" s="21">
        <v>0</v>
      </c>
      <c r="BE22" s="21">
        <f t="shared" si="15"/>
        <v>0</v>
      </c>
      <c r="BF22" s="21">
        <f t="shared" si="16"/>
        <v>3.5</v>
      </c>
      <c r="BG22" s="22">
        <f t="shared" si="17"/>
        <v>5.5</v>
      </c>
      <c r="BH22" s="205">
        <f t="shared" si="18"/>
        <v>0.27990972222222221</v>
      </c>
      <c r="BI22" s="206" t="str">
        <f t="shared" si="19"/>
        <v>(0.03)</v>
      </c>
      <c r="BJ22" s="207">
        <v>2</v>
      </c>
      <c r="BK22" s="207">
        <f t="shared" si="20"/>
        <v>3.5</v>
      </c>
      <c r="BL22" s="207">
        <v>0</v>
      </c>
      <c r="BM22" s="207">
        <f t="shared" si="21"/>
        <v>0</v>
      </c>
      <c r="BN22" s="207">
        <v>0</v>
      </c>
      <c r="BO22" s="207">
        <f t="shared" si="22"/>
        <v>0</v>
      </c>
      <c r="BP22" s="207">
        <f t="shared" si="23"/>
        <v>3.5</v>
      </c>
      <c r="BQ22" s="208">
        <f t="shared" si="24"/>
        <v>8.5</v>
      </c>
      <c r="BR22" s="205">
        <f t="shared" si="25"/>
        <v>0.47749305555555555</v>
      </c>
      <c r="BS22" s="206" t="str">
        <f t="shared" si="26"/>
        <v>(0.04)</v>
      </c>
      <c r="BT22" s="207">
        <v>2</v>
      </c>
      <c r="BU22" s="207">
        <f t="shared" si="27"/>
        <v>3.5</v>
      </c>
      <c r="BV22" s="207">
        <v>0</v>
      </c>
      <c r="BW22" s="207">
        <f t="shared" si="28"/>
        <v>0</v>
      </c>
      <c r="BX22" s="207">
        <v>0</v>
      </c>
      <c r="BY22" s="207">
        <f t="shared" si="29"/>
        <v>0</v>
      </c>
      <c r="BZ22" s="207">
        <f t="shared" si="30"/>
        <v>3.5</v>
      </c>
      <c r="CA22" s="208">
        <f t="shared" si="31"/>
        <v>14.5</v>
      </c>
      <c r="CB22" s="205">
        <f t="shared" si="32"/>
        <v>0.67507638888888888</v>
      </c>
      <c r="CC22" s="206" t="str">
        <f t="shared" si="33"/>
        <v>(0.06)</v>
      </c>
      <c r="CD22" s="207">
        <v>2</v>
      </c>
      <c r="CE22" s="207">
        <f t="shared" si="34"/>
        <v>3.5</v>
      </c>
      <c r="CF22" s="207">
        <v>0</v>
      </c>
      <c r="CG22" s="207">
        <f t="shared" si="35"/>
        <v>0</v>
      </c>
      <c r="CH22" s="207">
        <v>0</v>
      </c>
      <c r="CI22" s="207">
        <f t="shared" si="36"/>
        <v>0</v>
      </c>
      <c r="CJ22" s="207">
        <f t="shared" si="37"/>
        <v>3.5</v>
      </c>
      <c r="CK22" s="208">
        <f t="shared" si="38"/>
        <v>20.5</v>
      </c>
      <c r="CL22" s="205">
        <f t="shared" si="39"/>
        <v>0.87265972222222221</v>
      </c>
      <c r="CM22" s="206" t="str">
        <f t="shared" si="40"/>
        <v>(0.08)</v>
      </c>
      <c r="CN22" s="207">
        <v>2</v>
      </c>
      <c r="CO22" s="207">
        <f t="shared" si="41"/>
        <v>3.5</v>
      </c>
      <c r="CP22" s="207">
        <v>0</v>
      </c>
      <c r="CQ22" s="207">
        <f t="shared" si="42"/>
        <v>0</v>
      </c>
      <c r="CR22" s="207">
        <v>0</v>
      </c>
      <c r="CS22" s="207">
        <f t="shared" si="43"/>
        <v>0</v>
      </c>
      <c r="CT22" s="207">
        <f t="shared" si="44"/>
        <v>3.5</v>
      </c>
      <c r="CU22" s="208">
        <f t="shared" si="45"/>
        <v>26.5</v>
      </c>
      <c r="CV22" s="205">
        <f t="shared" si="46"/>
        <v>1.0702430555555555</v>
      </c>
      <c r="CW22" s="206" t="str">
        <f t="shared" si="47"/>
        <v>(0.1)</v>
      </c>
      <c r="CX22" s="207">
        <v>2</v>
      </c>
      <c r="CY22" s="207">
        <f t="shared" si="48"/>
        <v>3.5</v>
      </c>
      <c r="CZ22" s="207">
        <v>0</v>
      </c>
      <c r="DA22" s="207">
        <f t="shared" si="49"/>
        <v>0</v>
      </c>
      <c r="DB22" s="207">
        <v>0</v>
      </c>
      <c r="DC22" s="207">
        <f t="shared" si="50"/>
        <v>0</v>
      </c>
      <c r="DD22" s="207">
        <f t="shared" si="51"/>
        <v>3.5</v>
      </c>
      <c r="DE22" s="208">
        <f t="shared" si="52"/>
        <v>32.5</v>
      </c>
      <c r="DF22" s="205">
        <f t="shared" si="53"/>
        <v>1.267826388888889</v>
      </c>
      <c r="DG22" s="206" t="str">
        <f t="shared" si="54"/>
        <v>(0.12)</v>
      </c>
      <c r="DH22" s="207">
        <v>2</v>
      </c>
      <c r="DI22" s="207">
        <f t="shared" si="55"/>
        <v>3.5</v>
      </c>
      <c r="DJ22" s="207">
        <v>0</v>
      </c>
      <c r="DK22" s="207">
        <f t="shared" si="56"/>
        <v>0</v>
      </c>
      <c r="DL22" s="207">
        <v>0</v>
      </c>
      <c r="DM22" s="207">
        <f t="shared" si="57"/>
        <v>0</v>
      </c>
      <c r="DN22" s="207">
        <f t="shared" si="58"/>
        <v>3.5</v>
      </c>
      <c r="DO22" s="208">
        <f t="shared" si="59"/>
        <v>38.5</v>
      </c>
      <c r="DP22" s="205">
        <f t="shared" si="60"/>
        <v>1.4654097222222222</v>
      </c>
      <c r="DQ22" s="206" t="str">
        <f t="shared" si="61"/>
        <v>(0.14)</v>
      </c>
      <c r="DR22" s="207">
        <v>2</v>
      </c>
      <c r="DS22" s="207">
        <f t="shared" ref="DS22:DS40" si="150">$IU$22*DR22</f>
        <v>3.5</v>
      </c>
      <c r="DT22" s="207">
        <v>0</v>
      </c>
      <c r="DU22" s="207">
        <f t="shared" si="62"/>
        <v>0</v>
      </c>
      <c r="DV22" s="207">
        <v>0</v>
      </c>
      <c r="DW22" s="207">
        <f t="shared" si="63"/>
        <v>0</v>
      </c>
      <c r="DX22" s="207">
        <f t="shared" si="64"/>
        <v>3.5</v>
      </c>
      <c r="DY22" s="208">
        <f t="shared" si="65"/>
        <v>44.5</v>
      </c>
      <c r="DZ22" s="205">
        <f t="shared" si="66"/>
        <v>1.6300625000000002</v>
      </c>
      <c r="EA22" s="206" t="str">
        <f t="shared" si="67"/>
        <v>(0.15)</v>
      </c>
      <c r="EB22" s="207">
        <v>2</v>
      </c>
      <c r="EC22" s="207">
        <f t="shared" si="68"/>
        <v>3.5</v>
      </c>
      <c r="ED22" s="207">
        <v>0</v>
      </c>
      <c r="EE22" s="207">
        <f t="shared" si="69"/>
        <v>0</v>
      </c>
      <c r="EF22" s="207">
        <v>1</v>
      </c>
      <c r="EG22" s="207">
        <f t="shared" si="70"/>
        <v>1</v>
      </c>
      <c r="EH22" s="207">
        <f t="shared" si="71"/>
        <v>4.5</v>
      </c>
      <c r="EI22" s="208">
        <f t="shared" si="72"/>
        <v>49.5</v>
      </c>
      <c r="EJ22" s="205">
        <f t="shared" si="73"/>
        <v>1.8276458333333332</v>
      </c>
      <c r="EK22" s="206" t="str">
        <f t="shared" si="74"/>
        <v>(0.17)</v>
      </c>
      <c r="EL22" s="207">
        <v>2</v>
      </c>
      <c r="EM22" s="207">
        <f t="shared" si="75"/>
        <v>3.5</v>
      </c>
      <c r="EN22" s="207">
        <v>0</v>
      </c>
      <c r="EO22" s="207">
        <f t="shared" si="76"/>
        <v>0</v>
      </c>
      <c r="EP22" s="207">
        <v>1</v>
      </c>
      <c r="EQ22" s="207">
        <f t="shared" si="77"/>
        <v>1</v>
      </c>
      <c r="ER22" s="207">
        <f t="shared" si="78"/>
        <v>4.5</v>
      </c>
      <c r="ES22" s="208">
        <f t="shared" si="79"/>
        <v>55.5</v>
      </c>
      <c r="ET22" s="205">
        <f t="shared" si="80"/>
        <v>2.0252291666666666</v>
      </c>
      <c r="EU22" s="206" t="str">
        <f t="shared" si="81"/>
        <v>(0.19)</v>
      </c>
      <c r="EV22" s="207">
        <v>2</v>
      </c>
      <c r="EW22" s="207">
        <f t="shared" si="82"/>
        <v>3.5</v>
      </c>
      <c r="EX22" s="207">
        <v>0</v>
      </c>
      <c r="EY22" s="207">
        <f t="shared" si="83"/>
        <v>0</v>
      </c>
      <c r="EZ22" s="207">
        <v>1</v>
      </c>
      <c r="FA22" s="207">
        <f t="shared" si="84"/>
        <v>1</v>
      </c>
      <c r="FB22" s="207">
        <f t="shared" si="85"/>
        <v>4.5</v>
      </c>
      <c r="FC22" s="208">
        <f t="shared" si="86"/>
        <v>61.5</v>
      </c>
      <c r="FD22" s="205">
        <f t="shared" si="87"/>
        <v>2.2557430555555555</v>
      </c>
      <c r="FE22" s="206" t="str">
        <f t="shared" si="88"/>
        <v>(0.21)</v>
      </c>
      <c r="FF22" s="207">
        <v>2</v>
      </c>
      <c r="FG22" s="207">
        <f t="shared" si="89"/>
        <v>3.5</v>
      </c>
      <c r="FH22" s="469">
        <v>0</v>
      </c>
      <c r="FI22" s="207">
        <f t="shared" si="90"/>
        <v>0</v>
      </c>
      <c r="FJ22" s="207">
        <v>0</v>
      </c>
      <c r="FK22" s="207">
        <f t="shared" si="91"/>
        <v>0</v>
      </c>
      <c r="FL22" s="207">
        <f t="shared" si="92"/>
        <v>3.5</v>
      </c>
      <c r="FM22" s="208">
        <f t="shared" si="93"/>
        <v>68.5</v>
      </c>
      <c r="FN22" s="205">
        <f t="shared" si="94"/>
        <v>2.4162795138888891</v>
      </c>
      <c r="FO22" s="206" t="str">
        <f t="shared" si="95"/>
        <v>(0.22)</v>
      </c>
      <c r="FP22" s="207">
        <v>2</v>
      </c>
      <c r="FQ22" s="207">
        <f t="shared" si="96"/>
        <v>3.5</v>
      </c>
      <c r="FR22" s="207">
        <v>1</v>
      </c>
      <c r="FS22" s="207">
        <f t="shared" si="97"/>
        <v>1.125</v>
      </c>
      <c r="FT22" s="207">
        <v>0</v>
      </c>
      <c r="FU22" s="207">
        <f t="shared" si="98"/>
        <v>0</v>
      </c>
      <c r="FV22" s="207">
        <f t="shared" si="99"/>
        <v>4.625</v>
      </c>
      <c r="FW22" s="208">
        <f t="shared" si="100"/>
        <v>73.375</v>
      </c>
      <c r="FX22" s="205">
        <f t="shared" si="101"/>
        <v>2.6138628472222223</v>
      </c>
      <c r="FY22" s="206" t="str">
        <f t="shared" si="102"/>
        <v>(0.24)</v>
      </c>
      <c r="FZ22" s="207">
        <v>2</v>
      </c>
      <c r="GA22" s="207">
        <f t="shared" si="103"/>
        <v>3.5</v>
      </c>
      <c r="GB22" s="207">
        <v>1</v>
      </c>
      <c r="GC22" s="207">
        <f t="shared" si="104"/>
        <v>1.125</v>
      </c>
      <c r="GD22" s="207">
        <v>0</v>
      </c>
      <c r="GE22" s="207">
        <f t="shared" si="105"/>
        <v>0</v>
      </c>
      <c r="GF22" s="207">
        <f t="shared" si="106"/>
        <v>4.625</v>
      </c>
      <c r="GG22" s="208">
        <f t="shared" si="107"/>
        <v>79.375</v>
      </c>
      <c r="GH22" s="205">
        <f t="shared" si="108"/>
        <v>2.8114461805555555</v>
      </c>
      <c r="GI22" s="206" t="str">
        <f t="shared" si="109"/>
        <v>(0.26)</v>
      </c>
      <c r="GJ22" s="207">
        <v>2</v>
      </c>
      <c r="GK22" s="207">
        <f t="shared" si="110"/>
        <v>3.5</v>
      </c>
      <c r="GL22" s="207">
        <v>1</v>
      </c>
      <c r="GM22" s="207">
        <f t="shared" si="111"/>
        <v>1.125</v>
      </c>
      <c r="GN22" s="207">
        <v>0</v>
      </c>
      <c r="GO22" s="207">
        <f t="shared" si="112"/>
        <v>0</v>
      </c>
      <c r="GP22" s="207">
        <f t="shared" si="113"/>
        <v>4.625</v>
      </c>
      <c r="GQ22" s="208">
        <f t="shared" si="114"/>
        <v>85.375</v>
      </c>
      <c r="GR22" s="205">
        <f t="shared" si="115"/>
        <v>3.0090295138888887</v>
      </c>
      <c r="GS22" s="206" t="str">
        <f t="shared" si="116"/>
        <v>(0.28)</v>
      </c>
      <c r="GT22" s="207">
        <v>2</v>
      </c>
      <c r="GU22" s="207">
        <f t="shared" si="117"/>
        <v>3.5</v>
      </c>
      <c r="GV22" s="207">
        <v>1</v>
      </c>
      <c r="GW22" s="207">
        <f t="shared" si="118"/>
        <v>1.125</v>
      </c>
      <c r="GX22" s="207">
        <v>0</v>
      </c>
      <c r="GY22" s="207">
        <f t="shared" si="119"/>
        <v>0</v>
      </c>
      <c r="GZ22" s="207">
        <f t="shared" si="120"/>
        <v>4.625</v>
      </c>
      <c r="HA22" s="208">
        <f t="shared" si="121"/>
        <v>91.375</v>
      </c>
      <c r="HB22" s="205">
        <f t="shared" si="122"/>
        <v>3.2066128472222224</v>
      </c>
      <c r="HC22" s="206" t="str">
        <f t="shared" si="123"/>
        <v>(0.30)</v>
      </c>
      <c r="HD22" s="207">
        <v>2</v>
      </c>
      <c r="HE22" s="207">
        <f t="shared" si="124"/>
        <v>3.5</v>
      </c>
      <c r="HF22" s="207">
        <v>1</v>
      </c>
      <c r="HG22" s="207">
        <f t="shared" si="125"/>
        <v>1.125</v>
      </c>
      <c r="HH22" s="207">
        <v>0</v>
      </c>
      <c r="HI22" s="207">
        <f t="shared" si="126"/>
        <v>0</v>
      </c>
      <c r="HJ22" s="207">
        <f t="shared" si="127"/>
        <v>4.625</v>
      </c>
      <c r="HK22" s="208">
        <f t="shared" si="128"/>
        <v>97.375</v>
      </c>
      <c r="HL22" s="205">
        <f t="shared" si="129"/>
        <v>3.3383350694444447</v>
      </c>
      <c r="HM22" s="206" t="str">
        <f t="shared" si="130"/>
        <v>(0.31)</v>
      </c>
      <c r="HN22" s="207">
        <v>2</v>
      </c>
      <c r="HO22" s="207">
        <f t="shared" si="131"/>
        <v>3.5</v>
      </c>
      <c r="HP22" s="207">
        <v>1</v>
      </c>
      <c r="HQ22" s="207">
        <f t="shared" si="132"/>
        <v>1.125</v>
      </c>
      <c r="HR22" s="207">
        <v>2</v>
      </c>
      <c r="HS22" s="207">
        <f t="shared" si="133"/>
        <v>2</v>
      </c>
      <c r="HT22" s="207">
        <f t="shared" si="134"/>
        <v>6.625</v>
      </c>
      <c r="HU22" s="208">
        <f t="shared" si="135"/>
        <v>101.375</v>
      </c>
      <c r="HV22" s="205">
        <f t="shared" si="136"/>
        <v>3.5359184027777779</v>
      </c>
      <c r="HW22" s="206" t="str">
        <f t="shared" si="137"/>
        <v>(0.33)</v>
      </c>
      <c r="HX22" s="207">
        <v>2</v>
      </c>
      <c r="HY22" s="207">
        <f t="shared" si="138"/>
        <v>3.5</v>
      </c>
      <c r="HZ22" s="207">
        <v>1</v>
      </c>
      <c r="IA22" s="207">
        <f t="shared" si="139"/>
        <v>1.125</v>
      </c>
      <c r="IB22" s="207">
        <v>2</v>
      </c>
      <c r="IC22" s="207">
        <f t="shared" si="140"/>
        <v>2</v>
      </c>
      <c r="ID22" s="207">
        <f t="shared" si="141"/>
        <v>6.625</v>
      </c>
      <c r="IE22" s="208">
        <f t="shared" si="142"/>
        <v>107.375</v>
      </c>
      <c r="IF22" s="205">
        <f t="shared" si="143"/>
        <v>3.7335017361111107</v>
      </c>
      <c r="IG22" s="206" t="str">
        <f t="shared" si="144"/>
        <v>(0.35)</v>
      </c>
      <c r="IH22" s="21">
        <v>2</v>
      </c>
      <c r="II22" s="21">
        <f t="shared" si="145"/>
        <v>3.5</v>
      </c>
      <c r="IJ22" s="21">
        <v>1</v>
      </c>
      <c r="IK22" s="21">
        <f t="shared" si="146"/>
        <v>1.125</v>
      </c>
      <c r="IL22" s="21">
        <v>2</v>
      </c>
      <c r="IM22" s="21">
        <f t="shared" si="147"/>
        <v>2</v>
      </c>
      <c r="IN22" s="21">
        <f t="shared" si="148"/>
        <v>6.625</v>
      </c>
      <c r="IO22" s="22">
        <f t="shared" si="149"/>
        <v>113.375</v>
      </c>
      <c r="IP22" s="23"/>
      <c r="IQ22" s="24">
        <v>1</v>
      </c>
      <c r="IR22" s="25">
        <v>2.65</v>
      </c>
      <c r="IS22" s="25">
        <v>2.65</v>
      </c>
      <c r="IT22" s="25">
        <v>2.0920000000000001</v>
      </c>
      <c r="IU22" s="25">
        <v>1.75</v>
      </c>
      <c r="IV22" s="25">
        <v>1</v>
      </c>
      <c r="IW22" s="25">
        <v>1.125</v>
      </c>
      <c r="IX22" s="7"/>
    </row>
    <row r="23" spans="2:258" ht="15.75" thickBot="1" x14ac:dyDescent="0.3">
      <c r="B23" s="79">
        <f t="shared" si="9"/>
        <v>36</v>
      </c>
      <c r="C23" s="148">
        <v>7</v>
      </c>
      <c r="D23" s="487"/>
      <c r="E23" s="468">
        <f t="shared" si="8"/>
        <v>0.40615046296296287</v>
      </c>
      <c r="F23" s="468">
        <f t="shared" si="0"/>
        <v>0.46189660493827156</v>
      </c>
      <c r="G23" s="468">
        <f t="shared" si="1"/>
        <v>0.48976967592592585</v>
      </c>
      <c r="H23" s="468">
        <f t="shared" si="2"/>
        <v>0.50649351851851843</v>
      </c>
      <c r="I23" s="468">
        <f t="shared" si="3"/>
        <v>0.51764274691358014</v>
      </c>
      <c r="J23" s="468">
        <f t="shared" si="4"/>
        <v>0.52560648148148137</v>
      </c>
      <c r="K23" s="468">
        <f t="shared" si="5"/>
        <v>0.53157928240740737</v>
      </c>
      <c r="L23" s="468">
        <f t="shared" si="6"/>
        <v>0.52560648148148137</v>
      </c>
      <c r="M23" s="468">
        <f t="shared" si="7"/>
        <v>0.5303847222222221</v>
      </c>
      <c r="N23" s="488"/>
      <c r="O23" s="488"/>
      <c r="P23" s="488"/>
      <c r="Q23" s="488"/>
      <c r="R23" s="488"/>
      <c r="S23" s="488"/>
      <c r="T23" s="488"/>
      <c r="U23" s="488"/>
      <c r="V23" s="488"/>
      <c r="W23" s="488"/>
      <c r="X23" s="76"/>
      <c r="Y23" s="46"/>
      <c r="AA23" s="61"/>
      <c r="AT23" s="3"/>
      <c r="AU23" s="13">
        <f t="shared" ref="AU23:AU40" si="151">AU22+6</f>
        <v>18</v>
      </c>
      <c r="AV23" s="11" t="str">
        <f t="shared" si="10"/>
        <v>(450)</v>
      </c>
      <c r="AW23" s="18"/>
      <c r="AX23" s="19">
        <f t="shared" si="11"/>
        <v>0.33733333333333326</v>
      </c>
      <c r="AY23" s="20" t="str">
        <f t="shared" si="12"/>
        <v>(0.03)</v>
      </c>
      <c r="AZ23" s="21">
        <v>2</v>
      </c>
      <c r="BA23" s="21">
        <f t="shared" si="13"/>
        <v>3.5</v>
      </c>
      <c r="BB23" s="21">
        <v>0</v>
      </c>
      <c r="BC23" s="21">
        <f t="shared" si="14"/>
        <v>0</v>
      </c>
      <c r="BD23" s="21">
        <v>0</v>
      </c>
      <c r="BE23" s="21">
        <f t="shared" si="15"/>
        <v>0</v>
      </c>
      <c r="BF23" s="21">
        <f t="shared" si="16"/>
        <v>3.5</v>
      </c>
      <c r="BG23" s="22">
        <f t="shared" si="17"/>
        <v>5.5</v>
      </c>
      <c r="BH23" s="205">
        <f t="shared" si="18"/>
        <v>0.5213333333333332</v>
      </c>
      <c r="BI23" s="206" t="str">
        <f t="shared" si="19"/>
        <v>(0.05)</v>
      </c>
      <c r="BJ23" s="207">
        <v>2</v>
      </c>
      <c r="BK23" s="207">
        <f t="shared" si="20"/>
        <v>3.5</v>
      </c>
      <c r="BL23" s="207">
        <v>0</v>
      </c>
      <c r="BM23" s="207">
        <f t="shared" si="21"/>
        <v>0</v>
      </c>
      <c r="BN23" s="207">
        <v>0</v>
      </c>
      <c r="BO23" s="207">
        <f t="shared" si="22"/>
        <v>0</v>
      </c>
      <c r="BP23" s="207">
        <f t="shared" si="23"/>
        <v>3.5</v>
      </c>
      <c r="BQ23" s="208">
        <f t="shared" si="24"/>
        <v>8.5</v>
      </c>
      <c r="BR23" s="205">
        <f t="shared" si="25"/>
        <v>0.88933333333333331</v>
      </c>
      <c r="BS23" s="206" t="str">
        <f t="shared" si="26"/>
        <v>(0.08)</v>
      </c>
      <c r="BT23" s="207">
        <v>2</v>
      </c>
      <c r="BU23" s="207">
        <f t="shared" si="27"/>
        <v>3.5</v>
      </c>
      <c r="BV23" s="207">
        <v>0</v>
      </c>
      <c r="BW23" s="207">
        <f t="shared" si="28"/>
        <v>0</v>
      </c>
      <c r="BX23" s="207">
        <v>0</v>
      </c>
      <c r="BY23" s="207">
        <f t="shared" si="29"/>
        <v>0</v>
      </c>
      <c r="BZ23" s="207">
        <f t="shared" si="30"/>
        <v>3.5</v>
      </c>
      <c r="CA23" s="208">
        <f t="shared" si="31"/>
        <v>14.5</v>
      </c>
      <c r="CB23" s="205">
        <f t="shared" si="32"/>
        <v>1.2573333333333332</v>
      </c>
      <c r="CC23" s="206" t="str">
        <f t="shared" si="33"/>
        <v>(0.12)</v>
      </c>
      <c r="CD23" s="207">
        <v>2</v>
      </c>
      <c r="CE23" s="207">
        <f t="shared" si="34"/>
        <v>3.5</v>
      </c>
      <c r="CF23" s="207">
        <v>0</v>
      </c>
      <c r="CG23" s="207">
        <f t="shared" si="35"/>
        <v>0</v>
      </c>
      <c r="CH23" s="207">
        <v>0</v>
      </c>
      <c r="CI23" s="207">
        <f t="shared" si="36"/>
        <v>0</v>
      </c>
      <c r="CJ23" s="207">
        <f t="shared" si="37"/>
        <v>3.5</v>
      </c>
      <c r="CK23" s="208">
        <f t="shared" si="38"/>
        <v>20.5</v>
      </c>
      <c r="CL23" s="205">
        <f t="shared" si="39"/>
        <v>1.6253333333333331</v>
      </c>
      <c r="CM23" s="206" t="str">
        <f t="shared" si="40"/>
        <v>(0.15)</v>
      </c>
      <c r="CN23" s="207">
        <v>2</v>
      </c>
      <c r="CO23" s="207">
        <f t="shared" si="41"/>
        <v>3.5</v>
      </c>
      <c r="CP23" s="207">
        <v>0</v>
      </c>
      <c r="CQ23" s="207">
        <f t="shared" si="42"/>
        <v>0</v>
      </c>
      <c r="CR23" s="207">
        <v>0</v>
      </c>
      <c r="CS23" s="207">
        <f t="shared" si="43"/>
        <v>0</v>
      </c>
      <c r="CT23" s="207">
        <f t="shared" si="44"/>
        <v>3.5</v>
      </c>
      <c r="CU23" s="208">
        <f t="shared" si="45"/>
        <v>26.5</v>
      </c>
      <c r="CV23" s="205">
        <f t="shared" si="46"/>
        <v>1.9933333333333332</v>
      </c>
      <c r="CW23" s="206" t="str">
        <f t="shared" si="47"/>
        <v>(0.19)</v>
      </c>
      <c r="CX23" s="207">
        <v>2</v>
      </c>
      <c r="CY23" s="207">
        <f t="shared" si="48"/>
        <v>3.5</v>
      </c>
      <c r="CZ23" s="207">
        <v>0</v>
      </c>
      <c r="DA23" s="207">
        <f t="shared" si="49"/>
        <v>0</v>
      </c>
      <c r="DB23" s="207">
        <v>0</v>
      </c>
      <c r="DC23" s="207">
        <f t="shared" si="50"/>
        <v>0</v>
      </c>
      <c r="DD23" s="207">
        <f t="shared" si="51"/>
        <v>3.5</v>
      </c>
      <c r="DE23" s="208">
        <f t="shared" si="52"/>
        <v>32.5</v>
      </c>
      <c r="DF23" s="205">
        <f t="shared" si="53"/>
        <v>2.3613333333333331</v>
      </c>
      <c r="DG23" s="206" t="str">
        <f t="shared" si="54"/>
        <v>(0.22)</v>
      </c>
      <c r="DH23" s="207">
        <v>2</v>
      </c>
      <c r="DI23" s="207">
        <f t="shared" si="55"/>
        <v>3.5</v>
      </c>
      <c r="DJ23" s="207">
        <v>0</v>
      </c>
      <c r="DK23" s="207">
        <f t="shared" si="56"/>
        <v>0</v>
      </c>
      <c r="DL23" s="207">
        <v>0</v>
      </c>
      <c r="DM23" s="207">
        <f t="shared" si="57"/>
        <v>0</v>
      </c>
      <c r="DN23" s="207">
        <f t="shared" si="58"/>
        <v>3.5</v>
      </c>
      <c r="DO23" s="208">
        <f t="shared" si="59"/>
        <v>38.5</v>
      </c>
      <c r="DP23" s="205">
        <f t="shared" si="60"/>
        <v>2.7293333333333329</v>
      </c>
      <c r="DQ23" s="206" t="str">
        <f t="shared" si="61"/>
        <v>(0.25)</v>
      </c>
      <c r="DR23" s="207">
        <v>2</v>
      </c>
      <c r="DS23" s="207">
        <f t="shared" si="150"/>
        <v>3.5</v>
      </c>
      <c r="DT23" s="207">
        <v>0</v>
      </c>
      <c r="DU23" s="207">
        <f t="shared" si="62"/>
        <v>0</v>
      </c>
      <c r="DV23" s="207">
        <v>0</v>
      </c>
      <c r="DW23" s="207">
        <f t="shared" si="63"/>
        <v>0</v>
      </c>
      <c r="DX23" s="207">
        <f t="shared" si="64"/>
        <v>3.5</v>
      </c>
      <c r="DY23" s="208">
        <f t="shared" si="65"/>
        <v>44.5</v>
      </c>
      <c r="DZ23" s="205">
        <f t="shared" si="66"/>
        <v>3.0359999999999996</v>
      </c>
      <c r="EA23" s="206" t="str">
        <f t="shared" si="67"/>
        <v>(0.28)</v>
      </c>
      <c r="EB23" s="207">
        <v>2</v>
      </c>
      <c r="EC23" s="207">
        <f t="shared" si="68"/>
        <v>3.5</v>
      </c>
      <c r="ED23" s="207">
        <v>0</v>
      </c>
      <c r="EE23" s="207">
        <f t="shared" si="69"/>
        <v>0</v>
      </c>
      <c r="EF23" s="207">
        <v>1</v>
      </c>
      <c r="EG23" s="207">
        <f t="shared" si="70"/>
        <v>1</v>
      </c>
      <c r="EH23" s="207">
        <f t="shared" si="71"/>
        <v>4.5</v>
      </c>
      <c r="EI23" s="208">
        <f t="shared" si="72"/>
        <v>49.5</v>
      </c>
      <c r="EJ23" s="205">
        <f t="shared" si="73"/>
        <v>3.4039999999999995</v>
      </c>
      <c r="EK23" s="206" t="str">
        <f t="shared" si="74"/>
        <v>(0.32)</v>
      </c>
      <c r="EL23" s="207">
        <v>2</v>
      </c>
      <c r="EM23" s="207">
        <f t="shared" si="75"/>
        <v>3.5</v>
      </c>
      <c r="EN23" s="207">
        <v>0</v>
      </c>
      <c r="EO23" s="207">
        <f t="shared" si="76"/>
        <v>0</v>
      </c>
      <c r="EP23" s="207">
        <v>1</v>
      </c>
      <c r="EQ23" s="207">
        <f t="shared" si="77"/>
        <v>1</v>
      </c>
      <c r="ER23" s="207">
        <f t="shared" si="78"/>
        <v>4.5</v>
      </c>
      <c r="ES23" s="208">
        <f t="shared" si="79"/>
        <v>55.5</v>
      </c>
      <c r="ET23" s="205">
        <f t="shared" si="80"/>
        <v>3.7719999999999994</v>
      </c>
      <c r="EU23" s="206" t="str">
        <f t="shared" si="81"/>
        <v>(0.35)</v>
      </c>
      <c r="EV23" s="207">
        <v>2</v>
      </c>
      <c r="EW23" s="207">
        <f t="shared" si="82"/>
        <v>3.5</v>
      </c>
      <c r="EX23" s="207">
        <v>0</v>
      </c>
      <c r="EY23" s="207">
        <f t="shared" si="83"/>
        <v>0</v>
      </c>
      <c r="EZ23" s="207">
        <v>1</v>
      </c>
      <c r="FA23" s="207">
        <f t="shared" si="84"/>
        <v>1</v>
      </c>
      <c r="FB23" s="207">
        <f t="shared" si="85"/>
        <v>4.5</v>
      </c>
      <c r="FC23" s="208">
        <f t="shared" si="86"/>
        <v>61.5</v>
      </c>
      <c r="FD23" s="205">
        <f t="shared" si="87"/>
        <v>4.2013333333333334</v>
      </c>
      <c r="FE23" s="206" t="str">
        <f t="shared" si="88"/>
        <v>(0.39)</v>
      </c>
      <c r="FF23" s="207">
        <v>2</v>
      </c>
      <c r="FG23" s="207">
        <f t="shared" si="89"/>
        <v>3.5</v>
      </c>
      <c r="FH23" s="469">
        <v>0</v>
      </c>
      <c r="FI23" s="207">
        <f t="shared" si="90"/>
        <v>0</v>
      </c>
      <c r="FJ23" s="207">
        <v>0</v>
      </c>
      <c r="FK23" s="207">
        <f t="shared" si="91"/>
        <v>0</v>
      </c>
      <c r="FL23" s="207">
        <f t="shared" si="92"/>
        <v>3.5</v>
      </c>
      <c r="FM23" s="208">
        <f t="shared" si="93"/>
        <v>68.5</v>
      </c>
      <c r="FN23" s="205">
        <f t="shared" si="94"/>
        <v>4.5003333333333329</v>
      </c>
      <c r="FO23" s="206" t="str">
        <f t="shared" si="95"/>
        <v>(0.42)</v>
      </c>
      <c r="FP23" s="207">
        <v>2</v>
      </c>
      <c r="FQ23" s="207">
        <f t="shared" si="96"/>
        <v>3.5</v>
      </c>
      <c r="FR23" s="207">
        <v>1</v>
      </c>
      <c r="FS23" s="207">
        <f t="shared" si="97"/>
        <v>1.125</v>
      </c>
      <c r="FT23" s="207">
        <v>0</v>
      </c>
      <c r="FU23" s="207">
        <f t="shared" si="98"/>
        <v>0</v>
      </c>
      <c r="FV23" s="207">
        <f t="shared" si="99"/>
        <v>4.625</v>
      </c>
      <c r="FW23" s="208">
        <f t="shared" si="100"/>
        <v>73.375</v>
      </c>
      <c r="FX23" s="205">
        <f t="shared" si="101"/>
        <v>4.8683333333333332</v>
      </c>
      <c r="FY23" s="206" t="str">
        <f t="shared" si="102"/>
        <v>(0.45)</v>
      </c>
      <c r="FZ23" s="207">
        <v>2</v>
      </c>
      <c r="GA23" s="207">
        <f t="shared" si="103"/>
        <v>3.5</v>
      </c>
      <c r="GB23" s="207">
        <v>1</v>
      </c>
      <c r="GC23" s="207">
        <f t="shared" si="104"/>
        <v>1.125</v>
      </c>
      <c r="GD23" s="207">
        <v>0</v>
      </c>
      <c r="GE23" s="207">
        <f t="shared" si="105"/>
        <v>0</v>
      </c>
      <c r="GF23" s="207">
        <f t="shared" si="106"/>
        <v>4.625</v>
      </c>
      <c r="GG23" s="208">
        <f t="shared" si="107"/>
        <v>79.375</v>
      </c>
      <c r="GH23" s="205">
        <f t="shared" si="108"/>
        <v>5.2363333333333326</v>
      </c>
      <c r="GI23" s="206" t="str">
        <f t="shared" si="109"/>
        <v>(0.49)</v>
      </c>
      <c r="GJ23" s="207">
        <v>2</v>
      </c>
      <c r="GK23" s="207">
        <f t="shared" si="110"/>
        <v>3.5</v>
      </c>
      <c r="GL23" s="207">
        <v>1</v>
      </c>
      <c r="GM23" s="207">
        <f t="shared" si="111"/>
        <v>1.125</v>
      </c>
      <c r="GN23" s="207">
        <v>0</v>
      </c>
      <c r="GO23" s="207">
        <f t="shared" si="112"/>
        <v>0</v>
      </c>
      <c r="GP23" s="207">
        <f t="shared" si="113"/>
        <v>4.625</v>
      </c>
      <c r="GQ23" s="208">
        <f t="shared" si="114"/>
        <v>85.375</v>
      </c>
      <c r="GR23" s="205">
        <f t="shared" si="115"/>
        <v>5.6043333333333329</v>
      </c>
      <c r="GS23" s="206" t="str">
        <f t="shared" si="116"/>
        <v>(0.52)</v>
      </c>
      <c r="GT23" s="207">
        <v>2</v>
      </c>
      <c r="GU23" s="207">
        <f t="shared" si="117"/>
        <v>3.5</v>
      </c>
      <c r="GV23" s="207">
        <v>1</v>
      </c>
      <c r="GW23" s="207">
        <f t="shared" si="118"/>
        <v>1.125</v>
      </c>
      <c r="GX23" s="207">
        <v>0</v>
      </c>
      <c r="GY23" s="207">
        <f t="shared" si="119"/>
        <v>0</v>
      </c>
      <c r="GZ23" s="207">
        <f t="shared" si="120"/>
        <v>4.625</v>
      </c>
      <c r="HA23" s="208">
        <f t="shared" si="121"/>
        <v>91.375</v>
      </c>
      <c r="HB23" s="205">
        <f t="shared" si="122"/>
        <v>5.9723333333333324</v>
      </c>
      <c r="HC23" s="206" t="str">
        <f t="shared" si="123"/>
        <v>(0.55)</v>
      </c>
      <c r="HD23" s="207">
        <v>2</v>
      </c>
      <c r="HE23" s="207">
        <f t="shared" si="124"/>
        <v>3.5</v>
      </c>
      <c r="HF23" s="207">
        <v>1</v>
      </c>
      <c r="HG23" s="207">
        <f t="shared" si="125"/>
        <v>1.125</v>
      </c>
      <c r="HH23" s="207">
        <v>0</v>
      </c>
      <c r="HI23" s="207">
        <f t="shared" si="126"/>
        <v>0</v>
      </c>
      <c r="HJ23" s="207">
        <f t="shared" si="127"/>
        <v>4.625</v>
      </c>
      <c r="HK23" s="208">
        <f t="shared" si="128"/>
        <v>97.375</v>
      </c>
      <c r="HL23" s="205">
        <f t="shared" si="129"/>
        <v>6.2176666666666662</v>
      </c>
      <c r="HM23" s="206" t="str">
        <f t="shared" si="130"/>
        <v>(0.58)</v>
      </c>
      <c r="HN23" s="207">
        <v>2</v>
      </c>
      <c r="HO23" s="207">
        <f t="shared" si="131"/>
        <v>3.5</v>
      </c>
      <c r="HP23" s="207">
        <v>1</v>
      </c>
      <c r="HQ23" s="207">
        <f t="shared" si="132"/>
        <v>1.125</v>
      </c>
      <c r="HR23" s="207">
        <v>2</v>
      </c>
      <c r="HS23" s="207">
        <f t="shared" si="133"/>
        <v>2</v>
      </c>
      <c r="HT23" s="207">
        <f t="shared" si="134"/>
        <v>6.625</v>
      </c>
      <c r="HU23" s="208">
        <f t="shared" si="135"/>
        <v>101.375</v>
      </c>
      <c r="HV23" s="205">
        <f t="shared" si="136"/>
        <v>6.5856666666666657</v>
      </c>
      <c r="HW23" s="206" t="str">
        <f t="shared" si="137"/>
        <v>(0.61)</v>
      </c>
      <c r="HX23" s="207">
        <v>2</v>
      </c>
      <c r="HY23" s="207">
        <f t="shared" si="138"/>
        <v>3.5</v>
      </c>
      <c r="HZ23" s="207">
        <v>1</v>
      </c>
      <c r="IA23" s="207">
        <f t="shared" si="139"/>
        <v>1.125</v>
      </c>
      <c r="IB23" s="207">
        <v>2</v>
      </c>
      <c r="IC23" s="207">
        <f t="shared" si="140"/>
        <v>2</v>
      </c>
      <c r="ID23" s="207">
        <f t="shared" si="141"/>
        <v>6.625</v>
      </c>
      <c r="IE23" s="208">
        <f t="shared" si="142"/>
        <v>107.375</v>
      </c>
      <c r="IF23" s="205">
        <f t="shared" si="143"/>
        <v>6.953666666666666</v>
      </c>
      <c r="IG23" s="206" t="str">
        <f t="shared" si="144"/>
        <v>(0.65)</v>
      </c>
      <c r="IH23" s="21">
        <v>2</v>
      </c>
      <c r="II23" s="21">
        <f t="shared" si="145"/>
        <v>3.5</v>
      </c>
      <c r="IJ23" s="21">
        <v>1</v>
      </c>
      <c r="IK23" s="21">
        <f t="shared" si="146"/>
        <v>1.125</v>
      </c>
      <c r="IL23" s="21">
        <v>2</v>
      </c>
      <c r="IM23" s="21">
        <f t="shared" si="147"/>
        <v>2</v>
      </c>
      <c r="IN23" s="21">
        <f t="shared" si="148"/>
        <v>6.625</v>
      </c>
      <c r="IO23" s="22">
        <f t="shared" si="149"/>
        <v>113.375</v>
      </c>
      <c r="IP23" s="23"/>
      <c r="IQ23" s="24">
        <v>3</v>
      </c>
      <c r="IR23" s="25">
        <v>2.65</v>
      </c>
      <c r="IS23" s="25">
        <v>2.65</v>
      </c>
      <c r="IT23" s="25">
        <v>0.88200000000000001</v>
      </c>
      <c r="IU23" s="25">
        <v>1.75</v>
      </c>
      <c r="IV23" s="25">
        <v>1</v>
      </c>
      <c r="IW23" s="25">
        <v>1.125</v>
      </c>
      <c r="IX23" s="7"/>
    </row>
    <row r="24" spans="2:258" ht="15.75" thickBot="1" x14ac:dyDescent="0.3">
      <c r="B24" s="79">
        <f t="shared" si="9"/>
        <v>42</v>
      </c>
      <c r="C24" s="147">
        <v>8</v>
      </c>
      <c r="D24" s="487"/>
      <c r="E24" s="468">
        <f t="shared" si="8"/>
        <v>0.41710714285714279</v>
      </c>
      <c r="F24" s="468">
        <f t="shared" si="0"/>
        <v>0.47435714285714281</v>
      </c>
      <c r="G24" s="468">
        <f t="shared" si="1"/>
        <v>0.50298214285714282</v>
      </c>
      <c r="H24" s="468">
        <f t="shared" si="2"/>
        <v>0.52015714285714287</v>
      </c>
      <c r="I24" s="468">
        <f t="shared" si="3"/>
        <v>0.53160714285714283</v>
      </c>
      <c r="J24" s="468">
        <f t="shared" si="4"/>
        <v>0.53978571428571431</v>
      </c>
      <c r="K24" s="468">
        <f>DP27/((K$16*$B24)/144)</f>
        <v>0.54591964285714289</v>
      </c>
      <c r="L24" s="468">
        <f t="shared" si="6"/>
        <v>0.5397857142857142</v>
      </c>
      <c r="M24" s="468">
        <f t="shared" si="7"/>
        <v>0.5446928571428572</v>
      </c>
      <c r="N24" s="488"/>
      <c r="O24" s="488"/>
      <c r="P24" s="488"/>
      <c r="Q24" s="488"/>
      <c r="R24" s="488"/>
      <c r="S24" s="488"/>
      <c r="T24" s="488"/>
      <c r="U24" s="488"/>
      <c r="V24" s="488"/>
      <c r="W24" s="488"/>
      <c r="X24" s="76"/>
      <c r="Y24" s="46"/>
      <c r="AA24" s="61"/>
      <c r="AT24" s="3"/>
      <c r="AU24" s="13">
        <f t="shared" si="151"/>
        <v>24</v>
      </c>
      <c r="AV24" s="11" t="str">
        <f t="shared" si="10"/>
        <v>(600)</v>
      </c>
      <c r="AW24" s="18"/>
      <c r="AX24" s="19">
        <f t="shared" si="11"/>
        <v>0.48476388888888888</v>
      </c>
      <c r="AY24" s="20" t="str">
        <f t="shared" si="12"/>
        <v>(0.05)</v>
      </c>
      <c r="AZ24" s="21">
        <v>2</v>
      </c>
      <c r="BA24" s="21">
        <f t="shared" si="13"/>
        <v>3.5</v>
      </c>
      <c r="BB24" s="21">
        <v>0</v>
      </c>
      <c r="BC24" s="21">
        <f t="shared" si="14"/>
        <v>0</v>
      </c>
      <c r="BD24" s="21">
        <v>0</v>
      </c>
      <c r="BE24" s="21">
        <f t="shared" si="15"/>
        <v>0</v>
      </c>
      <c r="BF24" s="21">
        <f t="shared" si="16"/>
        <v>3.5</v>
      </c>
      <c r="BG24" s="22">
        <f t="shared" si="17"/>
        <v>5.5</v>
      </c>
      <c r="BH24" s="205">
        <f>($IR24+(($IQ24-1)*$IS24)+$IT24)*BQ24/144</f>
        <v>0.74918055555555563</v>
      </c>
      <c r="BI24" s="206" t="str">
        <f t="shared" si="19"/>
        <v>(0.07)</v>
      </c>
      <c r="BJ24" s="207">
        <v>2</v>
      </c>
      <c r="BK24" s="207">
        <f t="shared" si="20"/>
        <v>3.5</v>
      </c>
      <c r="BL24" s="207">
        <v>0</v>
      </c>
      <c r="BM24" s="207">
        <f t="shared" si="21"/>
        <v>0</v>
      </c>
      <c r="BN24" s="207">
        <v>0</v>
      </c>
      <c r="BO24" s="207">
        <f t="shared" si="22"/>
        <v>0</v>
      </c>
      <c r="BP24" s="207">
        <f t="shared" si="23"/>
        <v>3.5</v>
      </c>
      <c r="BQ24" s="208">
        <f t="shared" si="24"/>
        <v>8.5</v>
      </c>
      <c r="BR24" s="205">
        <f t="shared" si="25"/>
        <v>1.2780138888888888</v>
      </c>
      <c r="BS24" s="206" t="str">
        <f t="shared" si="26"/>
        <v>(0.12)</v>
      </c>
      <c r="BT24" s="207">
        <v>2</v>
      </c>
      <c r="BU24" s="207">
        <f t="shared" si="27"/>
        <v>3.5</v>
      </c>
      <c r="BV24" s="207">
        <v>0</v>
      </c>
      <c r="BW24" s="207">
        <f t="shared" si="28"/>
        <v>0</v>
      </c>
      <c r="BX24" s="207">
        <v>0</v>
      </c>
      <c r="BY24" s="207">
        <f t="shared" si="29"/>
        <v>0</v>
      </c>
      <c r="BZ24" s="207">
        <f t="shared" si="30"/>
        <v>3.5</v>
      </c>
      <c r="CA24" s="208">
        <f t="shared" si="31"/>
        <v>14.5</v>
      </c>
      <c r="CB24" s="205">
        <f t="shared" si="32"/>
        <v>1.806847222222222</v>
      </c>
      <c r="CC24" s="206" t="str">
        <f t="shared" si="33"/>
        <v>(0.17)</v>
      </c>
      <c r="CD24" s="207">
        <v>2</v>
      </c>
      <c r="CE24" s="207">
        <f t="shared" si="34"/>
        <v>3.5</v>
      </c>
      <c r="CF24" s="207">
        <v>0</v>
      </c>
      <c r="CG24" s="207">
        <f t="shared" si="35"/>
        <v>0</v>
      </c>
      <c r="CH24" s="207">
        <v>0</v>
      </c>
      <c r="CI24" s="207">
        <f t="shared" si="36"/>
        <v>0</v>
      </c>
      <c r="CJ24" s="207">
        <f t="shared" si="37"/>
        <v>3.5</v>
      </c>
      <c r="CK24" s="208">
        <f t="shared" si="38"/>
        <v>20.5</v>
      </c>
      <c r="CL24" s="205">
        <f t="shared" si="39"/>
        <v>2.3356805555555558</v>
      </c>
      <c r="CM24" s="206" t="str">
        <f t="shared" si="40"/>
        <v>(0.22)</v>
      </c>
      <c r="CN24" s="207">
        <v>2</v>
      </c>
      <c r="CO24" s="207">
        <f t="shared" si="41"/>
        <v>3.5</v>
      </c>
      <c r="CP24" s="207">
        <v>0</v>
      </c>
      <c r="CQ24" s="207">
        <f t="shared" si="42"/>
        <v>0</v>
      </c>
      <c r="CR24" s="207">
        <v>0</v>
      </c>
      <c r="CS24" s="207">
        <f t="shared" si="43"/>
        <v>0</v>
      </c>
      <c r="CT24" s="207">
        <f t="shared" si="44"/>
        <v>3.5</v>
      </c>
      <c r="CU24" s="208">
        <f t="shared" si="45"/>
        <v>26.5</v>
      </c>
      <c r="CV24" s="205">
        <f t="shared" si="46"/>
        <v>2.8645138888888888</v>
      </c>
      <c r="CW24" s="206" t="str">
        <f t="shared" si="47"/>
        <v>(0.27)</v>
      </c>
      <c r="CX24" s="207">
        <v>2</v>
      </c>
      <c r="CY24" s="207">
        <f t="shared" si="48"/>
        <v>3.5</v>
      </c>
      <c r="CZ24" s="207">
        <v>0</v>
      </c>
      <c r="DA24" s="207">
        <f t="shared" si="49"/>
        <v>0</v>
      </c>
      <c r="DB24" s="207">
        <v>0</v>
      </c>
      <c r="DC24" s="207">
        <f t="shared" si="50"/>
        <v>0</v>
      </c>
      <c r="DD24" s="207">
        <f t="shared" si="51"/>
        <v>3.5</v>
      </c>
      <c r="DE24" s="208">
        <f t="shared" si="52"/>
        <v>32.5</v>
      </c>
      <c r="DF24" s="205">
        <f t="shared" si="53"/>
        <v>3.3933472222222223</v>
      </c>
      <c r="DG24" s="206" t="str">
        <f t="shared" si="54"/>
        <v>(0.32)</v>
      </c>
      <c r="DH24" s="207">
        <v>2</v>
      </c>
      <c r="DI24" s="207">
        <f t="shared" si="55"/>
        <v>3.5</v>
      </c>
      <c r="DJ24" s="207">
        <v>0</v>
      </c>
      <c r="DK24" s="207">
        <f t="shared" si="56"/>
        <v>0</v>
      </c>
      <c r="DL24" s="207">
        <v>0</v>
      </c>
      <c r="DM24" s="207">
        <f t="shared" si="57"/>
        <v>0</v>
      </c>
      <c r="DN24" s="207">
        <f t="shared" si="58"/>
        <v>3.5</v>
      </c>
      <c r="DO24" s="208">
        <f t="shared" si="59"/>
        <v>38.5</v>
      </c>
      <c r="DP24" s="205">
        <f t="shared" si="60"/>
        <v>3.9221805555555553</v>
      </c>
      <c r="DQ24" s="206" t="str">
        <f t="shared" si="61"/>
        <v>(0.36)</v>
      </c>
      <c r="DR24" s="207">
        <v>2</v>
      </c>
      <c r="DS24" s="207">
        <f t="shared" si="150"/>
        <v>3.5</v>
      </c>
      <c r="DT24" s="207">
        <v>0</v>
      </c>
      <c r="DU24" s="207">
        <f t="shared" si="62"/>
        <v>0</v>
      </c>
      <c r="DV24" s="207">
        <v>0</v>
      </c>
      <c r="DW24" s="207">
        <f t="shared" si="63"/>
        <v>0</v>
      </c>
      <c r="DX24" s="207">
        <f t="shared" si="64"/>
        <v>3.5</v>
      </c>
      <c r="DY24" s="208">
        <f t="shared" si="65"/>
        <v>44.5</v>
      </c>
      <c r="DZ24" s="205">
        <f t="shared" si="66"/>
        <v>4.3628749999999998</v>
      </c>
      <c r="EA24" s="206" t="str">
        <f t="shared" si="67"/>
        <v>(0.41)</v>
      </c>
      <c r="EB24" s="207">
        <v>2</v>
      </c>
      <c r="EC24" s="207">
        <f t="shared" si="68"/>
        <v>3.5</v>
      </c>
      <c r="ED24" s="207">
        <v>0</v>
      </c>
      <c r="EE24" s="207">
        <f t="shared" si="69"/>
        <v>0</v>
      </c>
      <c r="EF24" s="207">
        <v>1</v>
      </c>
      <c r="EG24" s="207">
        <f t="shared" si="70"/>
        <v>1</v>
      </c>
      <c r="EH24" s="207">
        <f t="shared" si="71"/>
        <v>4.5</v>
      </c>
      <c r="EI24" s="208">
        <f t="shared" si="72"/>
        <v>49.5</v>
      </c>
      <c r="EJ24" s="205">
        <f t="shared" si="73"/>
        <v>4.8917083333333338</v>
      </c>
      <c r="EK24" s="206" t="str">
        <f t="shared" si="74"/>
        <v>(0.45)</v>
      </c>
      <c r="EL24" s="207">
        <v>2</v>
      </c>
      <c r="EM24" s="207">
        <f t="shared" si="75"/>
        <v>3.5</v>
      </c>
      <c r="EN24" s="207">
        <v>0</v>
      </c>
      <c r="EO24" s="207">
        <f t="shared" si="76"/>
        <v>0</v>
      </c>
      <c r="EP24" s="207">
        <v>1</v>
      </c>
      <c r="EQ24" s="207">
        <f t="shared" si="77"/>
        <v>1</v>
      </c>
      <c r="ER24" s="207">
        <f t="shared" si="78"/>
        <v>4.5</v>
      </c>
      <c r="ES24" s="208">
        <f t="shared" si="79"/>
        <v>55.5</v>
      </c>
      <c r="ET24" s="205">
        <f t="shared" si="80"/>
        <v>5.4205416666666668</v>
      </c>
      <c r="EU24" s="206" t="str">
        <f t="shared" si="81"/>
        <v>(0.50)</v>
      </c>
      <c r="EV24" s="207">
        <v>2</v>
      </c>
      <c r="EW24" s="207">
        <f t="shared" si="82"/>
        <v>3.5</v>
      </c>
      <c r="EX24" s="207">
        <v>0</v>
      </c>
      <c r="EY24" s="207">
        <f t="shared" si="83"/>
        <v>0</v>
      </c>
      <c r="EZ24" s="207">
        <v>1</v>
      </c>
      <c r="FA24" s="207">
        <f t="shared" si="84"/>
        <v>1</v>
      </c>
      <c r="FB24" s="207">
        <f t="shared" si="85"/>
        <v>4.5</v>
      </c>
      <c r="FC24" s="208">
        <f t="shared" si="86"/>
        <v>61.5</v>
      </c>
      <c r="FD24" s="205">
        <f t="shared" si="87"/>
        <v>6.0375138888888893</v>
      </c>
      <c r="FE24" s="206" t="str">
        <f t="shared" si="88"/>
        <v>(0.56)</v>
      </c>
      <c r="FF24" s="207">
        <v>2</v>
      </c>
      <c r="FG24" s="207">
        <f t="shared" si="89"/>
        <v>3.5</v>
      </c>
      <c r="FH24" s="469">
        <v>0</v>
      </c>
      <c r="FI24" s="207">
        <f t="shared" si="90"/>
        <v>0</v>
      </c>
      <c r="FJ24" s="207">
        <v>0</v>
      </c>
      <c r="FK24" s="207">
        <f t="shared" si="91"/>
        <v>0</v>
      </c>
      <c r="FL24" s="207">
        <f t="shared" si="92"/>
        <v>3.5</v>
      </c>
      <c r="FM24" s="208">
        <f t="shared" si="93"/>
        <v>68.5</v>
      </c>
      <c r="FN24" s="205">
        <f t="shared" si="94"/>
        <v>6.4671909722222223</v>
      </c>
      <c r="FO24" s="206" t="str">
        <f t="shared" si="95"/>
        <v>(0.60)</v>
      </c>
      <c r="FP24" s="207">
        <v>2</v>
      </c>
      <c r="FQ24" s="207">
        <f t="shared" si="96"/>
        <v>3.5</v>
      </c>
      <c r="FR24" s="207">
        <v>1</v>
      </c>
      <c r="FS24" s="207">
        <f t="shared" si="97"/>
        <v>1.125</v>
      </c>
      <c r="FT24" s="207">
        <v>0</v>
      </c>
      <c r="FU24" s="207">
        <f t="shared" si="98"/>
        <v>0</v>
      </c>
      <c r="FV24" s="207">
        <f t="shared" si="99"/>
        <v>4.625</v>
      </c>
      <c r="FW24" s="208">
        <f t="shared" si="100"/>
        <v>73.375</v>
      </c>
      <c r="FX24" s="205">
        <f t="shared" si="101"/>
        <v>6.9960243055555553</v>
      </c>
      <c r="FY24" s="206" t="str">
        <f t="shared" si="102"/>
        <v>(0.65)</v>
      </c>
      <c r="FZ24" s="207">
        <v>2</v>
      </c>
      <c r="GA24" s="207">
        <f t="shared" si="103"/>
        <v>3.5</v>
      </c>
      <c r="GB24" s="207">
        <v>1</v>
      </c>
      <c r="GC24" s="207">
        <f t="shared" si="104"/>
        <v>1.125</v>
      </c>
      <c r="GD24" s="207">
        <v>0</v>
      </c>
      <c r="GE24" s="207">
        <f t="shared" si="105"/>
        <v>0</v>
      </c>
      <c r="GF24" s="207">
        <f t="shared" si="106"/>
        <v>4.625</v>
      </c>
      <c r="GG24" s="208">
        <f t="shared" si="107"/>
        <v>79.375</v>
      </c>
      <c r="GH24" s="205">
        <f t="shared" si="108"/>
        <v>7.5248576388888893</v>
      </c>
      <c r="GI24" s="206" t="str">
        <f t="shared" si="109"/>
        <v>(0.70)</v>
      </c>
      <c r="GJ24" s="207">
        <v>2</v>
      </c>
      <c r="GK24" s="207">
        <f t="shared" si="110"/>
        <v>3.5</v>
      </c>
      <c r="GL24" s="207">
        <v>1</v>
      </c>
      <c r="GM24" s="207">
        <f t="shared" si="111"/>
        <v>1.125</v>
      </c>
      <c r="GN24" s="207">
        <v>0</v>
      </c>
      <c r="GO24" s="207">
        <f t="shared" si="112"/>
        <v>0</v>
      </c>
      <c r="GP24" s="207">
        <f t="shared" si="113"/>
        <v>4.625</v>
      </c>
      <c r="GQ24" s="208">
        <f t="shared" si="114"/>
        <v>85.375</v>
      </c>
      <c r="GR24" s="205">
        <f t="shared" si="115"/>
        <v>8.0536909722222223</v>
      </c>
      <c r="GS24" s="206" t="str">
        <f t="shared" si="116"/>
        <v>(0.75)</v>
      </c>
      <c r="GT24" s="207">
        <v>2</v>
      </c>
      <c r="GU24" s="207">
        <f t="shared" si="117"/>
        <v>3.5</v>
      </c>
      <c r="GV24" s="207">
        <v>1</v>
      </c>
      <c r="GW24" s="207">
        <f t="shared" si="118"/>
        <v>1.125</v>
      </c>
      <c r="GX24" s="207">
        <v>0</v>
      </c>
      <c r="GY24" s="207">
        <f t="shared" si="119"/>
        <v>0</v>
      </c>
      <c r="GZ24" s="207">
        <f t="shared" si="120"/>
        <v>4.625</v>
      </c>
      <c r="HA24" s="208">
        <f t="shared" si="121"/>
        <v>91.375</v>
      </c>
      <c r="HB24" s="205">
        <f t="shared" si="122"/>
        <v>8.5825243055555553</v>
      </c>
      <c r="HC24" s="206" t="str">
        <f t="shared" si="123"/>
        <v>(0.80)</v>
      </c>
      <c r="HD24" s="207">
        <v>2</v>
      </c>
      <c r="HE24" s="207">
        <f t="shared" si="124"/>
        <v>3.5</v>
      </c>
      <c r="HF24" s="207">
        <v>1</v>
      </c>
      <c r="HG24" s="207">
        <f t="shared" si="125"/>
        <v>1.125</v>
      </c>
      <c r="HH24" s="207">
        <v>0</v>
      </c>
      <c r="HI24" s="207">
        <f t="shared" si="126"/>
        <v>0</v>
      </c>
      <c r="HJ24" s="207">
        <f t="shared" si="127"/>
        <v>4.625</v>
      </c>
      <c r="HK24" s="208">
        <f t="shared" si="128"/>
        <v>97.375</v>
      </c>
      <c r="HL24" s="205">
        <f t="shared" si="129"/>
        <v>8.9350798611111113</v>
      </c>
      <c r="HM24" s="206" t="str">
        <f t="shared" si="130"/>
        <v>(0.83)</v>
      </c>
      <c r="HN24" s="207">
        <v>2</v>
      </c>
      <c r="HO24" s="207">
        <f t="shared" si="131"/>
        <v>3.5</v>
      </c>
      <c r="HP24" s="207">
        <v>1</v>
      </c>
      <c r="HQ24" s="207">
        <f t="shared" si="132"/>
        <v>1.125</v>
      </c>
      <c r="HR24" s="207">
        <v>2</v>
      </c>
      <c r="HS24" s="207">
        <f t="shared" si="133"/>
        <v>2</v>
      </c>
      <c r="HT24" s="207">
        <f t="shared" si="134"/>
        <v>6.625</v>
      </c>
      <c r="HU24" s="208">
        <f t="shared" si="135"/>
        <v>101.375</v>
      </c>
      <c r="HV24" s="205">
        <f t="shared" si="136"/>
        <v>9.4639131944444443</v>
      </c>
      <c r="HW24" s="206" t="str">
        <f t="shared" si="137"/>
        <v>(0.88)</v>
      </c>
      <c r="HX24" s="207">
        <v>2</v>
      </c>
      <c r="HY24" s="207">
        <f t="shared" si="138"/>
        <v>3.5</v>
      </c>
      <c r="HZ24" s="207">
        <v>1</v>
      </c>
      <c r="IA24" s="207">
        <f t="shared" si="139"/>
        <v>1.125</v>
      </c>
      <c r="IB24" s="207">
        <v>2</v>
      </c>
      <c r="IC24" s="207">
        <f t="shared" si="140"/>
        <v>2</v>
      </c>
      <c r="ID24" s="207">
        <f t="shared" si="141"/>
        <v>6.625</v>
      </c>
      <c r="IE24" s="208">
        <f t="shared" si="142"/>
        <v>107.375</v>
      </c>
      <c r="IF24" s="205">
        <f t="shared" si="143"/>
        <v>9.9927465277777774</v>
      </c>
      <c r="IG24" s="206" t="str">
        <f t="shared" si="144"/>
        <v>(0.93)</v>
      </c>
      <c r="IH24" s="21">
        <v>2</v>
      </c>
      <c r="II24" s="21">
        <f t="shared" si="145"/>
        <v>3.5</v>
      </c>
      <c r="IJ24" s="21">
        <v>1</v>
      </c>
      <c r="IK24" s="21">
        <f t="shared" si="146"/>
        <v>1.125</v>
      </c>
      <c r="IL24" s="21">
        <v>2</v>
      </c>
      <c r="IM24" s="21">
        <f t="shared" si="147"/>
        <v>2</v>
      </c>
      <c r="IN24" s="21">
        <f t="shared" si="148"/>
        <v>6.625</v>
      </c>
      <c r="IO24" s="22">
        <f t="shared" si="149"/>
        <v>113.375</v>
      </c>
      <c r="IP24" s="23"/>
      <c r="IQ24" s="24">
        <v>4</v>
      </c>
      <c r="IR24" s="25">
        <v>2.65</v>
      </c>
      <c r="IS24" s="25">
        <v>2.65</v>
      </c>
      <c r="IT24" s="25">
        <v>2.0920000000000001</v>
      </c>
      <c r="IU24" s="25">
        <v>1.75</v>
      </c>
      <c r="IV24" s="25">
        <v>1</v>
      </c>
      <c r="IW24" s="25">
        <v>1.125</v>
      </c>
      <c r="IX24" s="7"/>
    </row>
    <row r="25" spans="2:258" ht="15.75" thickBot="1" x14ac:dyDescent="0.3">
      <c r="B25" s="80">
        <f t="shared" si="9"/>
        <v>48</v>
      </c>
      <c r="C25" s="148">
        <v>9</v>
      </c>
      <c r="D25" s="487"/>
      <c r="E25" s="468">
        <f t="shared" si="8"/>
        <v>0.42193055555555548</v>
      </c>
      <c r="F25" s="468">
        <f t="shared" si="0"/>
        <v>0.47984259259259249</v>
      </c>
      <c r="G25" s="468">
        <f t="shared" si="1"/>
        <v>0.50879861111111102</v>
      </c>
      <c r="H25" s="468">
        <f>CL28/((H$16*$B25)/144)</f>
        <v>0.52617222222222215</v>
      </c>
      <c r="I25" s="468">
        <f t="shared" si="3"/>
        <v>0.5377546296296295</v>
      </c>
      <c r="J25" s="468">
        <f t="shared" si="4"/>
        <v>0.54602777777777767</v>
      </c>
      <c r="K25" s="468">
        <f t="shared" si="5"/>
        <v>0.55223263888888885</v>
      </c>
      <c r="L25" s="468">
        <f t="shared" si="6"/>
        <v>0.54602777777777767</v>
      </c>
      <c r="M25" s="468">
        <f t="shared" si="7"/>
        <v>0.55099166666666655</v>
      </c>
      <c r="N25" s="488"/>
      <c r="O25" s="488"/>
      <c r="P25" s="488"/>
      <c r="Q25" s="488"/>
      <c r="R25" s="488"/>
      <c r="S25" s="488"/>
      <c r="T25" s="488"/>
      <c r="U25" s="488"/>
      <c r="V25" s="488"/>
      <c r="W25" s="488"/>
      <c r="X25" s="76"/>
      <c r="Y25" s="46"/>
      <c r="AA25" s="61"/>
      <c r="AT25" s="3"/>
      <c r="AU25" s="26">
        <f t="shared" si="151"/>
        <v>30</v>
      </c>
      <c r="AV25" s="27" t="str">
        <f t="shared" si="10"/>
        <v>(750)</v>
      </c>
      <c r="AW25" s="18"/>
      <c r="AX25" s="19">
        <f t="shared" si="11"/>
        <v>0.64097916666666666</v>
      </c>
      <c r="AY25" s="28" t="str">
        <f t="shared" si="12"/>
        <v>(0.06)</v>
      </c>
      <c r="AZ25" s="21">
        <v>2</v>
      </c>
      <c r="BA25" s="21">
        <f t="shared" si="13"/>
        <v>3.5</v>
      </c>
      <c r="BB25" s="29">
        <v>0</v>
      </c>
      <c r="BC25" s="21">
        <f t="shared" si="14"/>
        <v>0</v>
      </c>
      <c r="BD25" s="29">
        <v>0</v>
      </c>
      <c r="BE25" s="21">
        <f t="shared" si="15"/>
        <v>0</v>
      </c>
      <c r="BF25" s="21">
        <f t="shared" si="16"/>
        <v>3.5</v>
      </c>
      <c r="BG25" s="22">
        <f t="shared" si="17"/>
        <v>5.5</v>
      </c>
      <c r="BH25" s="205">
        <f t="shared" si="18"/>
        <v>0.99060416666666662</v>
      </c>
      <c r="BI25" s="206" t="str">
        <f t="shared" si="19"/>
        <v>(0.09)</v>
      </c>
      <c r="BJ25" s="207">
        <v>2</v>
      </c>
      <c r="BK25" s="207">
        <f t="shared" si="20"/>
        <v>3.5</v>
      </c>
      <c r="BL25" s="207">
        <v>0</v>
      </c>
      <c r="BM25" s="207">
        <f t="shared" si="21"/>
        <v>0</v>
      </c>
      <c r="BN25" s="207">
        <v>0</v>
      </c>
      <c r="BO25" s="207">
        <f t="shared" si="22"/>
        <v>0</v>
      </c>
      <c r="BP25" s="207">
        <f t="shared" si="23"/>
        <v>3.5</v>
      </c>
      <c r="BQ25" s="208">
        <f t="shared" si="24"/>
        <v>8.5</v>
      </c>
      <c r="BR25" s="205">
        <f t="shared" si="25"/>
        <v>1.6898541666666667</v>
      </c>
      <c r="BS25" s="206" t="str">
        <f t="shared" si="26"/>
        <v>(0.16)</v>
      </c>
      <c r="BT25" s="207">
        <v>2</v>
      </c>
      <c r="BU25" s="207">
        <f t="shared" si="27"/>
        <v>3.5</v>
      </c>
      <c r="BV25" s="207">
        <v>0</v>
      </c>
      <c r="BW25" s="207">
        <f t="shared" si="28"/>
        <v>0</v>
      </c>
      <c r="BX25" s="207">
        <v>0</v>
      </c>
      <c r="BY25" s="207">
        <f t="shared" si="29"/>
        <v>0</v>
      </c>
      <c r="BZ25" s="207">
        <f t="shared" si="30"/>
        <v>3.5</v>
      </c>
      <c r="CA25" s="208">
        <f t="shared" si="31"/>
        <v>14.5</v>
      </c>
      <c r="CB25" s="205">
        <f t="shared" si="32"/>
        <v>2.3891041666666668</v>
      </c>
      <c r="CC25" s="206" t="str">
        <f t="shared" si="33"/>
        <v>(0.22)</v>
      </c>
      <c r="CD25" s="207">
        <v>2</v>
      </c>
      <c r="CE25" s="207">
        <f t="shared" si="34"/>
        <v>3.5</v>
      </c>
      <c r="CF25" s="207">
        <v>0</v>
      </c>
      <c r="CG25" s="207">
        <f t="shared" si="35"/>
        <v>0</v>
      </c>
      <c r="CH25" s="207">
        <v>0</v>
      </c>
      <c r="CI25" s="207">
        <f t="shared" si="36"/>
        <v>0</v>
      </c>
      <c r="CJ25" s="207">
        <f t="shared" si="37"/>
        <v>3.5</v>
      </c>
      <c r="CK25" s="208">
        <f t="shared" si="38"/>
        <v>20.5</v>
      </c>
      <c r="CL25" s="205">
        <f t="shared" si="39"/>
        <v>3.088354166666667</v>
      </c>
      <c r="CM25" s="206" t="str">
        <f t="shared" si="40"/>
        <v>(0.29)</v>
      </c>
      <c r="CN25" s="207">
        <v>2</v>
      </c>
      <c r="CO25" s="207">
        <f t="shared" si="41"/>
        <v>3.5</v>
      </c>
      <c r="CP25" s="207">
        <v>0</v>
      </c>
      <c r="CQ25" s="207">
        <f t="shared" si="42"/>
        <v>0</v>
      </c>
      <c r="CR25" s="207">
        <v>0</v>
      </c>
      <c r="CS25" s="207">
        <f t="shared" si="43"/>
        <v>0</v>
      </c>
      <c r="CT25" s="207">
        <f t="shared" si="44"/>
        <v>3.5</v>
      </c>
      <c r="CU25" s="208">
        <f t="shared" si="45"/>
        <v>26.5</v>
      </c>
      <c r="CV25" s="205">
        <f t="shared" si="46"/>
        <v>3.7876041666666662</v>
      </c>
      <c r="CW25" s="206" t="str">
        <f t="shared" si="47"/>
        <v>(0.35)</v>
      </c>
      <c r="CX25" s="207">
        <v>2</v>
      </c>
      <c r="CY25" s="207">
        <f t="shared" si="48"/>
        <v>3.5</v>
      </c>
      <c r="CZ25" s="207">
        <v>0</v>
      </c>
      <c r="DA25" s="207">
        <f t="shared" si="49"/>
        <v>0</v>
      </c>
      <c r="DB25" s="207">
        <v>0</v>
      </c>
      <c r="DC25" s="207">
        <f t="shared" si="50"/>
        <v>0</v>
      </c>
      <c r="DD25" s="207">
        <f t="shared" si="51"/>
        <v>3.5</v>
      </c>
      <c r="DE25" s="208">
        <f t="shared" si="52"/>
        <v>32.5</v>
      </c>
      <c r="DF25" s="205">
        <f t="shared" si="53"/>
        <v>4.4868541666666664</v>
      </c>
      <c r="DG25" s="206" t="str">
        <f t="shared" si="54"/>
        <v>(0.42)</v>
      </c>
      <c r="DH25" s="207">
        <v>2</v>
      </c>
      <c r="DI25" s="207">
        <f t="shared" si="55"/>
        <v>3.5</v>
      </c>
      <c r="DJ25" s="207">
        <v>0</v>
      </c>
      <c r="DK25" s="207">
        <f t="shared" si="56"/>
        <v>0</v>
      </c>
      <c r="DL25" s="207">
        <v>0</v>
      </c>
      <c r="DM25" s="207">
        <f t="shared" si="57"/>
        <v>0</v>
      </c>
      <c r="DN25" s="207">
        <f t="shared" si="58"/>
        <v>3.5</v>
      </c>
      <c r="DO25" s="208">
        <f t="shared" si="59"/>
        <v>38.5</v>
      </c>
      <c r="DP25" s="205">
        <f t="shared" si="60"/>
        <v>5.1861041666666665</v>
      </c>
      <c r="DQ25" s="206" t="str">
        <f t="shared" si="61"/>
        <v>(0.48)</v>
      </c>
      <c r="DR25" s="207">
        <v>2</v>
      </c>
      <c r="DS25" s="207">
        <f t="shared" si="150"/>
        <v>3.5</v>
      </c>
      <c r="DT25" s="207">
        <v>0</v>
      </c>
      <c r="DU25" s="207">
        <f t="shared" si="62"/>
        <v>0</v>
      </c>
      <c r="DV25" s="207">
        <v>0</v>
      </c>
      <c r="DW25" s="207">
        <f t="shared" si="63"/>
        <v>0</v>
      </c>
      <c r="DX25" s="207">
        <f t="shared" si="64"/>
        <v>3.5</v>
      </c>
      <c r="DY25" s="208">
        <f t="shared" si="65"/>
        <v>44.5</v>
      </c>
      <c r="DZ25" s="205">
        <f t="shared" si="66"/>
        <v>5.7688124999999992</v>
      </c>
      <c r="EA25" s="206" t="str">
        <f t="shared" si="67"/>
        <v>(0.54)</v>
      </c>
      <c r="EB25" s="207">
        <v>2</v>
      </c>
      <c r="EC25" s="207">
        <f t="shared" si="68"/>
        <v>3.5</v>
      </c>
      <c r="ED25" s="207">
        <v>0</v>
      </c>
      <c r="EE25" s="207">
        <f t="shared" si="69"/>
        <v>0</v>
      </c>
      <c r="EF25" s="207">
        <v>1</v>
      </c>
      <c r="EG25" s="207">
        <f t="shared" si="70"/>
        <v>1</v>
      </c>
      <c r="EH25" s="207">
        <f t="shared" si="71"/>
        <v>4.5</v>
      </c>
      <c r="EI25" s="208">
        <f t="shared" si="72"/>
        <v>49.5</v>
      </c>
      <c r="EJ25" s="205">
        <f t="shared" si="73"/>
        <v>6.4680624999999994</v>
      </c>
      <c r="EK25" s="206" t="str">
        <f t="shared" si="74"/>
        <v>(0.60)</v>
      </c>
      <c r="EL25" s="207">
        <v>2</v>
      </c>
      <c r="EM25" s="207">
        <f t="shared" si="75"/>
        <v>3.5</v>
      </c>
      <c r="EN25" s="207">
        <v>0</v>
      </c>
      <c r="EO25" s="207">
        <f t="shared" si="76"/>
        <v>0</v>
      </c>
      <c r="EP25" s="207">
        <v>1</v>
      </c>
      <c r="EQ25" s="207">
        <f t="shared" si="77"/>
        <v>1</v>
      </c>
      <c r="ER25" s="207">
        <f t="shared" si="78"/>
        <v>4.5</v>
      </c>
      <c r="ES25" s="208">
        <f t="shared" si="79"/>
        <v>55.5</v>
      </c>
      <c r="ET25" s="205">
        <f t="shared" si="80"/>
        <v>7.1673125000000004</v>
      </c>
      <c r="EU25" s="206" t="str">
        <f t="shared" si="81"/>
        <v>(0.67)</v>
      </c>
      <c r="EV25" s="207">
        <v>2</v>
      </c>
      <c r="EW25" s="207">
        <f t="shared" si="82"/>
        <v>3.5</v>
      </c>
      <c r="EX25" s="207">
        <v>0</v>
      </c>
      <c r="EY25" s="207">
        <f t="shared" si="83"/>
        <v>0</v>
      </c>
      <c r="EZ25" s="207">
        <v>1</v>
      </c>
      <c r="FA25" s="207">
        <f t="shared" si="84"/>
        <v>1</v>
      </c>
      <c r="FB25" s="207">
        <f t="shared" si="85"/>
        <v>4.5</v>
      </c>
      <c r="FC25" s="208">
        <f t="shared" si="86"/>
        <v>61.5</v>
      </c>
      <c r="FD25" s="205">
        <f t="shared" si="87"/>
        <v>7.9831041666666671</v>
      </c>
      <c r="FE25" s="206" t="str">
        <f t="shared" si="88"/>
        <v>(0.74)</v>
      </c>
      <c r="FF25" s="207">
        <v>2</v>
      </c>
      <c r="FG25" s="207">
        <f t="shared" si="89"/>
        <v>3.5</v>
      </c>
      <c r="FH25" s="469">
        <v>0</v>
      </c>
      <c r="FI25" s="207">
        <f t="shared" si="90"/>
        <v>0</v>
      </c>
      <c r="FJ25" s="207">
        <v>0</v>
      </c>
      <c r="FK25" s="207">
        <f t="shared" si="91"/>
        <v>0</v>
      </c>
      <c r="FL25" s="207">
        <f t="shared" si="92"/>
        <v>3.5</v>
      </c>
      <c r="FM25" s="208">
        <f t="shared" si="93"/>
        <v>68.5</v>
      </c>
      <c r="FN25" s="205">
        <f t="shared" si="94"/>
        <v>8.551244791666667</v>
      </c>
      <c r="FO25" s="206" t="str">
        <f t="shared" si="95"/>
        <v>(0.79)</v>
      </c>
      <c r="FP25" s="207">
        <v>2</v>
      </c>
      <c r="FQ25" s="207">
        <f t="shared" si="96"/>
        <v>3.5</v>
      </c>
      <c r="FR25" s="207">
        <v>1</v>
      </c>
      <c r="FS25" s="207">
        <f t="shared" si="97"/>
        <v>1.125</v>
      </c>
      <c r="FT25" s="207">
        <v>0</v>
      </c>
      <c r="FU25" s="207">
        <f t="shared" si="98"/>
        <v>0</v>
      </c>
      <c r="FV25" s="207">
        <f t="shared" si="99"/>
        <v>4.625</v>
      </c>
      <c r="FW25" s="208">
        <f t="shared" si="100"/>
        <v>73.375</v>
      </c>
      <c r="FX25" s="205">
        <f t="shared" si="101"/>
        <v>9.2504947916666662</v>
      </c>
      <c r="FY25" s="206" t="str">
        <f t="shared" si="102"/>
        <v>(0.86)</v>
      </c>
      <c r="FZ25" s="207">
        <v>2</v>
      </c>
      <c r="GA25" s="207">
        <f t="shared" si="103"/>
        <v>3.5</v>
      </c>
      <c r="GB25" s="207">
        <v>1</v>
      </c>
      <c r="GC25" s="207">
        <f t="shared" si="104"/>
        <v>1.125</v>
      </c>
      <c r="GD25" s="207">
        <v>0</v>
      </c>
      <c r="GE25" s="207">
        <f t="shared" si="105"/>
        <v>0</v>
      </c>
      <c r="GF25" s="207">
        <f t="shared" si="106"/>
        <v>4.625</v>
      </c>
      <c r="GG25" s="208">
        <f t="shared" si="107"/>
        <v>79.375</v>
      </c>
      <c r="GH25" s="205">
        <f t="shared" si="108"/>
        <v>9.9497447916666673</v>
      </c>
      <c r="GI25" s="206" t="str">
        <f t="shared" si="109"/>
        <v>(0.92)</v>
      </c>
      <c r="GJ25" s="207">
        <v>2</v>
      </c>
      <c r="GK25" s="207">
        <f t="shared" si="110"/>
        <v>3.5</v>
      </c>
      <c r="GL25" s="207">
        <v>1</v>
      </c>
      <c r="GM25" s="207">
        <f t="shared" si="111"/>
        <v>1.125</v>
      </c>
      <c r="GN25" s="207">
        <v>0</v>
      </c>
      <c r="GO25" s="207">
        <f t="shared" si="112"/>
        <v>0</v>
      </c>
      <c r="GP25" s="207">
        <f t="shared" si="113"/>
        <v>4.625</v>
      </c>
      <c r="GQ25" s="208">
        <f t="shared" si="114"/>
        <v>85.375</v>
      </c>
      <c r="GR25" s="205">
        <f t="shared" si="115"/>
        <v>10.648994791666667</v>
      </c>
      <c r="GS25" s="206" t="str">
        <f t="shared" si="116"/>
        <v>(0.99)</v>
      </c>
      <c r="GT25" s="207">
        <v>2</v>
      </c>
      <c r="GU25" s="207">
        <f t="shared" si="117"/>
        <v>3.5</v>
      </c>
      <c r="GV25" s="207">
        <v>1</v>
      </c>
      <c r="GW25" s="207">
        <f t="shared" si="118"/>
        <v>1.125</v>
      </c>
      <c r="GX25" s="207">
        <v>0</v>
      </c>
      <c r="GY25" s="207">
        <f t="shared" si="119"/>
        <v>0</v>
      </c>
      <c r="GZ25" s="207">
        <f t="shared" si="120"/>
        <v>4.625</v>
      </c>
      <c r="HA25" s="208">
        <f t="shared" si="121"/>
        <v>91.375</v>
      </c>
      <c r="HB25" s="205">
        <f t="shared" si="122"/>
        <v>11.348244791666666</v>
      </c>
      <c r="HC25" s="206" t="str">
        <f t="shared" si="123"/>
        <v>(1.05)</v>
      </c>
      <c r="HD25" s="207">
        <v>2</v>
      </c>
      <c r="HE25" s="207">
        <f t="shared" si="124"/>
        <v>3.5</v>
      </c>
      <c r="HF25" s="207">
        <v>1</v>
      </c>
      <c r="HG25" s="207">
        <f t="shared" si="125"/>
        <v>1.125</v>
      </c>
      <c r="HH25" s="207">
        <v>0</v>
      </c>
      <c r="HI25" s="207">
        <f t="shared" si="126"/>
        <v>0</v>
      </c>
      <c r="HJ25" s="207">
        <f t="shared" si="127"/>
        <v>4.625</v>
      </c>
      <c r="HK25" s="208">
        <f t="shared" si="128"/>
        <v>97.375</v>
      </c>
      <c r="HL25" s="205">
        <f t="shared" si="129"/>
        <v>11.814411458333332</v>
      </c>
      <c r="HM25" s="206" t="str">
        <f t="shared" si="130"/>
        <v>(1.10)</v>
      </c>
      <c r="HN25" s="207">
        <v>2</v>
      </c>
      <c r="HO25" s="207">
        <f t="shared" si="131"/>
        <v>3.5</v>
      </c>
      <c r="HP25" s="207">
        <v>1</v>
      </c>
      <c r="HQ25" s="207">
        <f t="shared" si="132"/>
        <v>1.125</v>
      </c>
      <c r="HR25" s="207">
        <v>2</v>
      </c>
      <c r="HS25" s="207">
        <f t="shared" si="133"/>
        <v>2</v>
      </c>
      <c r="HT25" s="207">
        <f t="shared" si="134"/>
        <v>6.625</v>
      </c>
      <c r="HU25" s="208">
        <f t="shared" si="135"/>
        <v>101.375</v>
      </c>
      <c r="HV25" s="205">
        <f t="shared" si="136"/>
        <v>12.513661458333333</v>
      </c>
      <c r="HW25" s="206" t="str">
        <f t="shared" si="137"/>
        <v>(1.16)</v>
      </c>
      <c r="HX25" s="207">
        <v>2</v>
      </c>
      <c r="HY25" s="207">
        <f t="shared" si="138"/>
        <v>3.5</v>
      </c>
      <c r="HZ25" s="207">
        <v>1</v>
      </c>
      <c r="IA25" s="207">
        <f t="shared" si="139"/>
        <v>1.125</v>
      </c>
      <c r="IB25" s="207">
        <v>2</v>
      </c>
      <c r="IC25" s="207">
        <f t="shared" si="140"/>
        <v>2</v>
      </c>
      <c r="ID25" s="207">
        <f t="shared" si="141"/>
        <v>6.625</v>
      </c>
      <c r="IE25" s="208">
        <f t="shared" si="142"/>
        <v>107.375</v>
      </c>
      <c r="IF25" s="205">
        <f t="shared" si="143"/>
        <v>13.212911458333332</v>
      </c>
      <c r="IG25" s="206" t="str">
        <f t="shared" si="144"/>
        <v>(1.23)</v>
      </c>
      <c r="IH25" s="21">
        <v>2</v>
      </c>
      <c r="II25" s="21">
        <f t="shared" si="145"/>
        <v>3.5</v>
      </c>
      <c r="IJ25" s="29">
        <v>1</v>
      </c>
      <c r="IK25" s="21">
        <f t="shared" si="146"/>
        <v>1.125</v>
      </c>
      <c r="IL25" s="21">
        <v>2</v>
      </c>
      <c r="IM25" s="21">
        <f t="shared" si="147"/>
        <v>2</v>
      </c>
      <c r="IN25" s="21">
        <f t="shared" si="148"/>
        <v>6.625</v>
      </c>
      <c r="IO25" s="22">
        <f t="shared" si="149"/>
        <v>113.375</v>
      </c>
      <c r="IP25" s="23"/>
      <c r="IQ25" s="24">
        <v>6</v>
      </c>
      <c r="IR25" s="25">
        <v>2.65</v>
      </c>
      <c r="IS25" s="25">
        <v>2.65</v>
      </c>
      <c r="IT25" s="25">
        <v>0.88200000000000001</v>
      </c>
      <c r="IU25" s="25">
        <v>1.75</v>
      </c>
      <c r="IV25" s="25">
        <v>1</v>
      </c>
      <c r="IW25" s="25">
        <v>1.125</v>
      </c>
      <c r="IX25" s="7"/>
    </row>
    <row r="26" spans="2:258" ht="15.75" thickBot="1" x14ac:dyDescent="0.3">
      <c r="B26" s="79">
        <f t="shared" si="9"/>
        <v>54</v>
      </c>
      <c r="C26" s="147">
        <v>10</v>
      </c>
      <c r="D26" s="487"/>
      <c r="E26" s="468">
        <f t="shared" si="8"/>
        <v>0.39393827160493822</v>
      </c>
      <c r="F26" s="468">
        <f t="shared" si="0"/>
        <v>0.4480082304526749</v>
      </c>
      <c r="G26" s="468">
        <f t="shared" si="1"/>
        <v>0.47504320987654314</v>
      </c>
      <c r="H26" s="468">
        <f t="shared" si="2"/>
        <v>0.4912641975308642</v>
      </c>
      <c r="I26" s="468">
        <f t="shared" si="3"/>
        <v>0.50207818930041148</v>
      </c>
      <c r="J26" s="468">
        <f t="shared" si="4"/>
        <v>0.50980246913580241</v>
      </c>
      <c r="K26" s="468">
        <f t="shared" si="5"/>
        <v>0.51559567901234571</v>
      </c>
      <c r="L26" s="468">
        <f t="shared" si="6"/>
        <v>0.50980246913580252</v>
      </c>
      <c r="M26" s="468">
        <f t="shared" si="7"/>
        <v>0.51443703703703703</v>
      </c>
      <c r="N26" s="488"/>
      <c r="O26" s="488"/>
      <c r="P26" s="488"/>
      <c r="Q26" s="488"/>
      <c r="R26" s="488"/>
      <c r="S26" s="488"/>
      <c r="T26" s="488"/>
      <c r="U26" s="488"/>
      <c r="V26" s="488"/>
      <c r="W26" s="488"/>
      <c r="X26" s="76"/>
      <c r="Y26" s="46"/>
      <c r="AA26" s="61"/>
      <c r="AT26" s="3"/>
      <c r="AU26" s="13">
        <f t="shared" si="151"/>
        <v>36</v>
      </c>
      <c r="AV26" s="11" t="str">
        <f t="shared" si="10"/>
        <v>(900)</v>
      </c>
      <c r="AW26" s="18"/>
      <c r="AX26" s="19">
        <f t="shared" si="11"/>
        <v>0.78840972222222205</v>
      </c>
      <c r="AY26" s="20" t="str">
        <f t="shared" si="12"/>
        <v>(0.07)</v>
      </c>
      <c r="AZ26" s="21">
        <v>2</v>
      </c>
      <c r="BA26" s="21">
        <f t="shared" si="13"/>
        <v>3.5</v>
      </c>
      <c r="BB26" s="21">
        <v>0</v>
      </c>
      <c r="BC26" s="21">
        <f t="shared" si="14"/>
        <v>0</v>
      </c>
      <c r="BD26" s="21">
        <v>0</v>
      </c>
      <c r="BE26" s="21">
        <f t="shared" si="15"/>
        <v>0</v>
      </c>
      <c r="BF26" s="21">
        <f t="shared" si="16"/>
        <v>3.5</v>
      </c>
      <c r="BG26" s="22">
        <f t="shared" si="17"/>
        <v>5.5</v>
      </c>
      <c r="BH26" s="205">
        <f t="shared" si="18"/>
        <v>1.2184513888888886</v>
      </c>
      <c r="BI26" s="206" t="str">
        <f t="shared" si="19"/>
        <v>(0.11)</v>
      </c>
      <c r="BJ26" s="207">
        <v>2</v>
      </c>
      <c r="BK26" s="207">
        <f t="shared" si="20"/>
        <v>3.5</v>
      </c>
      <c r="BL26" s="207">
        <v>0</v>
      </c>
      <c r="BM26" s="207">
        <f t="shared" si="21"/>
        <v>0</v>
      </c>
      <c r="BN26" s="207">
        <v>0</v>
      </c>
      <c r="BO26" s="207">
        <f t="shared" si="22"/>
        <v>0</v>
      </c>
      <c r="BP26" s="207">
        <f t="shared" si="23"/>
        <v>3.5</v>
      </c>
      <c r="BQ26" s="208">
        <f t="shared" si="24"/>
        <v>8.5</v>
      </c>
      <c r="BR26" s="205">
        <f t="shared" si="25"/>
        <v>2.0785347222222219</v>
      </c>
      <c r="BS26" s="206" t="str">
        <f t="shared" si="26"/>
        <v>(0.19)</v>
      </c>
      <c r="BT26" s="207">
        <v>2</v>
      </c>
      <c r="BU26" s="207">
        <f t="shared" si="27"/>
        <v>3.5</v>
      </c>
      <c r="BV26" s="207">
        <v>0</v>
      </c>
      <c r="BW26" s="207">
        <f t="shared" si="28"/>
        <v>0</v>
      </c>
      <c r="BX26" s="207">
        <v>0</v>
      </c>
      <c r="BY26" s="207">
        <f t="shared" si="29"/>
        <v>0</v>
      </c>
      <c r="BZ26" s="207">
        <f t="shared" si="30"/>
        <v>3.5</v>
      </c>
      <c r="CA26" s="208">
        <f t="shared" si="31"/>
        <v>14.5</v>
      </c>
      <c r="CB26" s="205">
        <f t="shared" si="32"/>
        <v>2.9386180555555552</v>
      </c>
      <c r="CC26" s="206" t="str">
        <f t="shared" si="33"/>
        <v>(0.27)</v>
      </c>
      <c r="CD26" s="207">
        <v>2</v>
      </c>
      <c r="CE26" s="207">
        <f t="shared" si="34"/>
        <v>3.5</v>
      </c>
      <c r="CF26" s="207">
        <v>0</v>
      </c>
      <c r="CG26" s="207">
        <f t="shared" si="35"/>
        <v>0</v>
      </c>
      <c r="CH26" s="207">
        <v>0</v>
      </c>
      <c r="CI26" s="207">
        <f t="shared" si="36"/>
        <v>0</v>
      </c>
      <c r="CJ26" s="207">
        <f t="shared" si="37"/>
        <v>3.5</v>
      </c>
      <c r="CK26" s="208">
        <f t="shared" si="38"/>
        <v>20.5</v>
      </c>
      <c r="CL26" s="205">
        <f t="shared" si="39"/>
        <v>3.7987013888888885</v>
      </c>
      <c r="CM26" s="206" t="str">
        <f t="shared" si="40"/>
        <v>(0.35)</v>
      </c>
      <c r="CN26" s="207">
        <v>2</v>
      </c>
      <c r="CO26" s="207">
        <f t="shared" si="41"/>
        <v>3.5</v>
      </c>
      <c r="CP26" s="207">
        <v>0</v>
      </c>
      <c r="CQ26" s="207">
        <f t="shared" si="42"/>
        <v>0</v>
      </c>
      <c r="CR26" s="207">
        <v>0</v>
      </c>
      <c r="CS26" s="207">
        <f t="shared" si="43"/>
        <v>0</v>
      </c>
      <c r="CT26" s="207">
        <f t="shared" si="44"/>
        <v>3.5</v>
      </c>
      <c r="CU26" s="208">
        <f t="shared" si="45"/>
        <v>26.5</v>
      </c>
      <c r="CV26" s="205">
        <f t="shared" si="46"/>
        <v>4.6587847222222214</v>
      </c>
      <c r="CW26" s="206" t="str">
        <f t="shared" si="47"/>
        <v>(0.43)</v>
      </c>
      <c r="CX26" s="207">
        <v>2</v>
      </c>
      <c r="CY26" s="207">
        <f t="shared" si="48"/>
        <v>3.5</v>
      </c>
      <c r="CZ26" s="207">
        <v>0</v>
      </c>
      <c r="DA26" s="207">
        <f t="shared" si="49"/>
        <v>0</v>
      </c>
      <c r="DB26" s="207">
        <v>0</v>
      </c>
      <c r="DC26" s="207">
        <f t="shared" si="50"/>
        <v>0</v>
      </c>
      <c r="DD26" s="207">
        <f t="shared" si="51"/>
        <v>3.5</v>
      </c>
      <c r="DE26" s="208">
        <f t="shared" si="52"/>
        <v>32.5</v>
      </c>
      <c r="DF26" s="205">
        <f t="shared" si="53"/>
        <v>5.5188680555555543</v>
      </c>
      <c r="DG26" s="206" t="str">
        <f t="shared" si="54"/>
        <v>(0.51)</v>
      </c>
      <c r="DH26" s="207">
        <v>2</v>
      </c>
      <c r="DI26" s="207">
        <f t="shared" si="55"/>
        <v>3.5</v>
      </c>
      <c r="DJ26" s="207">
        <v>0</v>
      </c>
      <c r="DK26" s="207">
        <f t="shared" si="56"/>
        <v>0</v>
      </c>
      <c r="DL26" s="207">
        <v>0</v>
      </c>
      <c r="DM26" s="207">
        <f t="shared" si="57"/>
        <v>0</v>
      </c>
      <c r="DN26" s="207">
        <f t="shared" si="58"/>
        <v>3.5</v>
      </c>
      <c r="DO26" s="208">
        <f t="shared" si="59"/>
        <v>38.5</v>
      </c>
      <c r="DP26" s="205">
        <f t="shared" si="60"/>
        <v>6.378951388888888</v>
      </c>
      <c r="DQ26" s="206" t="str">
        <f t="shared" si="61"/>
        <v>(0.59)</v>
      </c>
      <c r="DR26" s="207">
        <v>2</v>
      </c>
      <c r="DS26" s="207">
        <f t="shared" si="150"/>
        <v>3.5</v>
      </c>
      <c r="DT26" s="207">
        <v>0</v>
      </c>
      <c r="DU26" s="207">
        <f t="shared" si="62"/>
        <v>0</v>
      </c>
      <c r="DV26" s="207">
        <v>0</v>
      </c>
      <c r="DW26" s="207">
        <f t="shared" si="63"/>
        <v>0</v>
      </c>
      <c r="DX26" s="207">
        <f t="shared" si="64"/>
        <v>3.5</v>
      </c>
      <c r="DY26" s="208">
        <f t="shared" si="65"/>
        <v>44.5</v>
      </c>
      <c r="DZ26" s="205">
        <f t="shared" si="66"/>
        <v>7.0956874999999986</v>
      </c>
      <c r="EA26" s="206" t="str">
        <f t="shared" si="67"/>
        <v>(0.66)</v>
      </c>
      <c r="EB26" s="207">
        <v>2</v>
      </c>
      <c r="EC26" s="207">
        <f t="shared" si="68"/>
        <v>3.5</v>
      </c>
      <c r="ED26" s="207">
        <v>0</v>
      </c>
      <c r="EE26" s="207">
        <f t="shared" si="69"/>
        <v>0</v>
      </c>
      <c r="EF26" s="207">
        <v>1</v>
      </c>
      <c r="EG26" s="207">
        <f t="shared" si="70"/>
        <v>1</v>
      </c>
      <c r="EH26" s="207">
        <f t="shared" si="71"/>
        <v>4.5</v>
      </c>
      <c r="EI26" s="208">
        <f t="shared" si="72"/>
        <v>49.5</v>
      </c>
      <c r="EJ26" s="205">
        <f t="shared" si="73"/>
        <v>7.9557708333333323</v>
      </c>
      <c r="EK26" s="206" t="str">
        <f t="shared" si="74"/>
        <v>(0.74)</v>
      </c>
      <c r="EL26" s="207">
        <v>2</v>
      </c>
      <c r="EM26" s="207">
        <f t="shared" si="75"/>
        <v>3.5</v>
      </c>
      <c r="EN26" s="207">
        <v>0</v>
      </c>
      <c r="EO26" s="207">
        <f t="shared" si="76"/>
        <v>0</v>
      </c>
      <c r="EP26" s="207">
        <v>1</v>
      </c>
      <c r="EQ26" s="207">
        <f t="shared" si="77"/>
        <v>1</v>
      </c>
      <c r="ER26" s="207">
        <f t="shared" si="78"/>
        <v>4.5</v>
      </c>
      <c r="ES26" s="208">
        <f t="shared" si="79"/>
        <v>55.5</v>
      </c>
      <c r="ET26" s="205">
        <f t="shared" si="80"/>
        <v>8.8158541666666643</v>
      </c>
      <c r="EU26" s="206" t="str">
        <f t="shared" si="81"/>
        <v>(0.82)</v>
      </c>
      <c r="EV26" s="207">
        <v>2</v>
      </c>
      <c r="EW26" s="207">
        <f t="shared" si="82"/>
        <v>3.5</v>
      </c>
      <c r="EX26" s="207">
        <v>0</v>
      </c>
      <c r="EY26" s="207">
        <f t="shared" si="83"/>
        <v>0</v>
      </c>
      <c r="EZ26" s="207">
        <v>1</v>
      </c>
      <c r="FA26" s="207">
        <f t="shared" si="84"/>
        <v>1</v>
      </c>
      <c r="FB26" s="207">
        <f t="shared" si="85"/>
        <v>4.5</v>
      </c>
      <c r="FC26" s="208">
        <f t="shared" si="86"/>
        <v>61.5</v>
      </c>
      <c r="FD26" s="205">
        <f t="shared" si="87"/>
        <v>9.8192847222222195</v>
      </c>
      <c r="FE26" s="206" t="str">
        <f t="shared" si="88"/>
        <v>(0.91)</v>
      </c>
      <c r="FF26" s="207">
        <v>2</v>
      </c>
      <c r="FG26" s="207">
        <f t="shared" si="89"/>
        <v>3.5</v>
      </c>
      <c r="FH26" s="469">
        <v>0</v>
      </c>
      <c r="FI26" s="207">
        <f t="shared" si="90"/>
        <v>0</v>
      </c>
      <c r="FJ26" s="207">
        <v>0</v>
      </c>
      <c r="FK26" s="207">
        <f t="shared" si="91"/>
        <v>0</v>
      </c>
      <c r="FL26" s="207">
        <f t="shared" si="92"/>
        <v>3.5</v>
      </c>
      <c r="FM26" s="208">
        <f t="shared" si="93"/>
        <v>68.5</v>
      </c>
      <c r="FN26" s="205">
        <f t="shared" si="94"/>
        <v>10.518102430555553</v>
      </c>
      <c r="FO26" s="206" t="str">
        <f t="shared" si="95"/>
        <v>(0.98)</v>
      </c>
      <c r="FP26" s="207">
        <v>2</v>
      </c>
      <c r="FQ26" s="207">
        <f t="shared" si="96"/>
        <v>3.5</v>
      </c>
      <c r="FR26" s="207">
        <v>1</v>
      </c>
      <c r="FS26" s="207">
        <f t="shared" si="97"/>
        <v>1.125</v>
      </c>
      <c r="FT26" s="207">
        <v>0</v>
      </c>
      <c r="FU26" s="207">
        <f t="shared" si="98"/>
        <v>0</v>
      </c>
      <c r="FV26" s="207">
        <f t="shared" si="99"/>
        <v>4.625</v>
      </c>
      <c r="FW26" s="208">
        <f t="shared" si="100"/>
        <v>73.375</v>
      </c>
      <c r="FX26" s="205">
        <f t="shared" si="101"/>
        <v>11.378185763888887</v>
      </c>
      <c r="FY26" s="206" t="str">
        <f t="shared" si="102"/>
        <v>(1.06)</v>
      </c>
      <c r="FZ26" s="207">
        <v>2</v>
      </c>
      <c r="GA26" s="207">
        <f t="shared" si="103"/>
        <v>3.5</v>
      </c>
      <c r="GB26" s="207">
        <v>1</v>
      </c>
      <c r="GC26" s="207">
        <f t="shared" si="104"/>
        <v>1.125</v>
      </c>
      <c r="GD26" s="207">
        <v>0</v>
      </c>
      <c r="GE26" s="207">
        <f t="shared" si="105"/>
        <v>0</v>
      </c>
      <c r="GF26" s="207">
        <f t="shared" si="106"/>
        <v>4.625</v>
      </c>
      <c r="GG26" s="208">
        <f t="shared" si="107"/>
        <v>79.375</v>
      </c>
      <c r="GH26" s="205">
        <f t="shared" si="108"/>
        <v>12.23826909722222</v>
      </c>
      <c r="GI26" s="206" t="str">
        <f t="shared" si="109"/>
        <v>(1.14)</v>
      </c>
      <c r="GJ26" s="207">
        <v>2</v>
      </c>
      <c r="GK26" s="207">
        <f t="shared" si="110"/>
        <v>3.5</v>
      </c>
      <c r="GL26" s="207">
        <v>1</v>
      </c>
      <c r="GM26" s="207">
        <f t="shared" si="111"/>
        <v>1.125</v>
      </c>
      <c r="GN26" s="207">
        <v>0</v>
      </c>
      <c r="GO26" s="207">
        <f t="shared" si="112"/>
        <v>0</v>
      </c>
      <c r="GP26" s="207">
        <f t="shared" si="113"/>
        <v>4.625</v>
      </c>
      <c r="GQ26" s="208">
        <f t="shared" si="114"/>
        <v>85.375</v>
      </c>
      <c r="GR26" s="205">
        <f t="shared" si="115"/>
        <v>13.098352430555554</v>
      </c>
      <c r="GS26" s="206" t="str">
        <f t="shared" si="116"/>
        <v>(1.22)</v>
      </c>
      <c r="GT26" s="207">
        <v>2</v>
      </c>
      <c r="GU26" s="207">
        <f t="shared" si="117"/>
        <v>3.5</v>
      </c>
      <c r="GV26" s="207">
        <v>1</v>
      </c>
      <c r="GW26" s="207">
        <f t="shared" si="118"/>
        <v>1.125</v>
      </c>
      <c r="GX26" s="207">
        <v>0</v>
      </c>
      <c r="GY26" s="207">
        <f t="shared" si="119"/>
        <v>0</v>
      </c>
      <c r="GZ26" s="207">
        <f t="shared" si="120"/>
        <v>4.625</v>
      </c>
      <c r="HA26" s="208">
        <f t="shared" si="121"/>
        <v>91.375</v>
      </c>
      <c r="HB26" s="205">
        <f t="shared" si="122"/>
        <v>13.958435763888886</v>
      </c>
      <c r="HC26" s="206" t="str">
        <f t="shared" si="123"/>
        <v>(1.30)</v>
      </c>
      <c r="HD26" s="207">
        <v>2</v>
      </c>
      <c r="HE26" s="207">
        <f t="shared" si="124"/>
        <v>3.5</v>
      </c>
      <c r="HF26" s="207">
        <v>1</v>
      </c>
      <c r="HG26" s="207">
        <f t="shared" si="125"/>
        <v>1.125</v>
      </c>
      <c r="HH26" s="207">
        <v>0</v>
      </c>
      <c r="HI26" s="207">
        <f t="shared" si="126"/>
        <v>0</v>
      </c>
      <c r="HJ26" s="207">
        <f t="shared" si="127"/>
        <v>4.625</v>
      </c>
      <c r="HK26" s="208">
        <f t="shared" si="128"/>
        <v>97.375</v>
      </c>
      <c r="HL26" s="205">
        <f t="shared" si="129"/>
        <v>14.531824652777775</v>
      </c>
      <c r="HM26" s="206" t="str">
        <f t="shared" si="130"/>
        <v>(1.35)</v>
      </c>
      <c r="HN26" s="207">
        <v>2</v>
      </c>
      <c r="HO26" s="207">
        <f t="shared" si="131"/>
        <v>3.5</v>
      </c>
      <c r="HP26" s="207">
        <v>1</v>
      </c>
      <c r="HQ26" s="207">
        <f t="shared" si="132"/>
        <v>1.125</v>
      </c>
      <c r="HR26" s="207">
        <v>2</v>
      </c>
      <c r="HS26" s="207">
        <f t="shared" si="133"/>
        <v>2</v>
      </c>
      <c r="HT26" s="207">
        <f t="shared" si="134"/>
        <v>6.625</v>
      </c>
      <c r="HU26" s="208">
        <f t="shared" si="135"/>
        <v>101.375</v>
      </c>
      <c r="HV26" s="205">
        <f t="shared" si="136"/>
        <v>15.391907986111107</v>
      </c>
      <c r="HW26" s="206" t="str">
        <f t="shared" si="137"/>
        <v>(1.43)</v>
      </c>
      <c r="HX26" s="207">
        <v>2</v>
      </c>
      <c r="HY26" s="207">
        <f t="shared" si="138"/>
        <v>3.5</v>
      </c>
      <c r="HZ26" s="207">
        <v>1</v>
      </c>
      <c r="IA26" s="207">
        <f t="shared" si="139"/>
        <v>1.125</v>
      </c>
      <c r="IB26" s="207">
        <v>2</v>
      </c>
      <c r="IC26" s="207">
        <f t="shared" si="140"/>
        <v>2</v>
      </c>
      <c r="ID26" s="207">
        <f t="shared" si="141"/>
        <v>6.625</v>
      </c>
      <c r="IE26" s="208">
        <f t="shared" si="142"/>
        <v>107.375</v>
      </c>
      <c r="IF26" s="205">
        <f t="shared" si="143"/>
        <v>16.251991319444443</v>
      </c>
      <c r="IG26" s="206" t="str">
        <f t="shared" si="144"/>
        <v>(1.51)</v>
      </c>
      <c r="IH26" s="21">
        <v>2</v>
      </c>
      <c r="II26" s="21">
        <f t="shared" si="145"/>
        <v>3.5</v>
      </c>
      <c r="IJ26" s="21">
        <v>1</v>
      </c>
      <c r="IK26" s="21">
        <f t="shared" si="146"/>
        <v>1.125</v>
      </c>
      <c r="IL26" s="21">
        <v>2</v>
      </c>
      <c r="IM26" s="21">
        <f t="shared" si="147"/>
        <v>2</v>
      </c>
      <c r="IN26" s="21">
        <f t="shared" si="148"/>
        <v>6.625</v>
      </c>
      <c r="IO26" s="22">
        <f t="shared" si="149"/>
        <v>113.375</v>
      </c>
      <c r="IP26" s="23"/>
      <c r="IQ26" s="24">
        <v>7</v>
      </c>
      <c r="IR26" s="25">
        <v>2.65</v>
      </c>
      <c r="IS26" s="25">
        <v>2.65</v>
      </c>
      <c r="IT26" s="25">
        <v>2.0920000000000001</v>
      </c>
      <c r="IU26" s="25">
        <v>1.75</v>
      </c>
      <c r="IV26" s="25">
        <v>1</v>
      </c>
      <c r="IW26" s="25">
        <v>1.125</v>
      </c>
      <c r="IX26" s="7"/>
    </row>
    <row r="27" spans="2:258" ht="15.75" thickBot="1" x14ac:dyDescent="0.3">
      <c r="B27" s="79">
        <f t="shared" si="9"/>
        <v>60</v>
      </c>
      <c r="C27" s="148">
        <v>11</v>
      </c>
      <c r="D27" s="487"/>
      <c r="E27" s="468">
        <f t="shared" si="8"/>
        <v>0.43139861111111105</v>
      </c>
      <c r="F27" s="468">
        <f t="shared" si="0"/>
        <v>0.49061018518518507</v>
      </c>
      <c r="G27" s="468">
        <f t="shared" si="1"/>
        <v>0.52021597222222216</v>
      </c>
      <c r="H27" s="468">
        <f t="shared" si="2"/>
        <v>0.53797944444444434</v>
      </c>
      <c r="I27" s="468">
        <f t="shared" si="3"/>
        <v>0.54982175925925914</v>
      </c>
      <c r="J27" s="468">
        <f t="shared" si="4"/>
        <v>0.55828055555555545</v>
      </c>
      <c r="K27" s="468">
        <f t="shared" si="5"/>
        <v>0.56462465277777762</v>
      </c>
      <c r="L27" s="468">
        <f t="shared" si="6"/>
        <v>0.55828055555555545</v>
      </c>
      <c r="M27" s="468">
        <f t="shared" si="7"/>
        <v>0.56335583333333328</v>
      </c>
      <c r="N27" s="488"/>
      <c r="O27" s="488"/>
      <c r="P27" s="488"/>
      <c r="Q27" s="488"/>
      <c r="R27" s="488"/>
      <c r="S27" s="488"/>
      <c r="T27" s="488"/>
      <c r="U27" s="488"/>
      <c r="V27" s="488"/>
      <c r="W27" s="488"/>
      <c r="X27" s="76"/>
      <c r="Y27" s="46"/>
      <c r="AA27" s="61"/>
      <c r="AT27" s="3"/>
      <c r="AU27" s="13">
        <f t="shared" si="151"/>
        <v>42</v>
      </c>
      <c r="AV27" s="11" t="str">
        <f t="shared" si="10"/>
        <v>(1050)</v>
      </c>
      <c r="AW27" s="18"/>
      <c r="AX27" s="19">
        <f t="shared" si="11"/>
        <v>0.94462500000000005</v>
      </c>
      <c r="AY27" s="20" t="str">
        <f t="shared" si="12"/>
        <v>(0.09)</v>
      </c>
      <c r="AZ27" s="21">
        <v>2</v>
      </c>
      <c r="BA27" s="21">
        <f t="shared" si="13"/>
        <v>3.5</v>
      </c>
      <c r="BB27" s="21">
        <v>0</v>
      </c>
      <c r="BC27" s="21">
        <f t="shared" si="14"/>
        <v>0</v>
      </c>
      <c r="BD27" s="21">
        <v>0</v>
      </c>
      <c r="BE27" s="21">
        <f t="shared" si="15"/>
        <v>0</v>
      </c>
      <c r="BF27" s="21">
        <f t="shared" si="16"/>
        <v>3.5</v>
      </c>
      <c r="BG27" s="22">
        <f t="shared" si="17"/>
        <v>5.5</v>
      </c>
      <c r="BH27" s="205">
        <f t="shared" si="18"/>
        <v>1.4598749999999998</v>
      </c>
      <c r="BI27" s="206" t="str">
        <f t="shared" si="19"/>
        <v>(0.14)</v>
      </c>
      <c r="BJ27" s="207">
        <v>2</v>
      </c>
      <c r="BK27" s="207">
        <f t="shared" si="20"/>
        <v>3.5</v>
      </c>
      <c r="BL27" s="207">
        <v>0</v>
      </c>
      <c r="BM27" s="207">
        <f t="shared" si="21"/>
        <v>0</v>
      </c>
      <c r="BN27" s="207">
        <v>0</v>
      </c>
      <c r="BO27" s="207">
        <f t="shared" si="22"/>
        <v>0</v>
      </c>
      <c r="BP27" s="207">
        <f t="shared" si="23"/>
        <v>3.5</v>
      </c>
      <c r="BQ27" s="208">
        <f t="shared" si="24"/>
        <v>8.5</v>
      </c>
      <c r="BR27" s="205">
        <f t="shared" si="25"/>
        <v>2.4903749999999998</v>
      </c>
      <c r="BS27" s="206" t="str">
        <f t="shared" si="26"/>
        <v>(0.23)</v>
      </c>
      <c r="BT27" s="207">
        <v>2</v>
      </c>
      <c r="BU27" s="207">
        <f t="shared" si="27"/>
        <v>3.5</v>
      </c>
      <c r="BV27" s="207">
        <v>0</v>
      </c>
      <c r="BW27" s="207">
        <f t="shared" si="28"/>
        <v>0</v>
      </c>
      <c r="BX27" s="207">
        <v>0</v>
      </c>
      <c r="BY27" s="207">
        <f t="shared" si="29"/>
        <v>0</v>
      </c>
      <c r="BZ27" s="207">
        <f t="shared" si="30"/>
        <v>3.5</v>
      </c>
      <c r="CA27" s="208">
        <f t="shared" si="31"/>
        <v>14.5</v>
      </c>
      <c r="CB27" s="205">
        <f t="shared" si="32"/>
        <v>3.5208749999999998</v>
      </c>
      <c r="CC27" s="206" t="str">
        <f t="shared" si="33"/>
        <v>(0.33)</v>
      </c>
      <c r="CD27" s="207">
        <v>2</v>
      </c>
      <c r="CE27" s="207">
        <f t="shared" si="34"/>
        <v>3.5</v>
      </c>
      <c r="CF27" s="207">
        <v>0</v>
      </c>
      <c r="CG27" s="207">
        <f t="shared" si="35"/>
        <v>0</v>
      </c>
      <c r="CH27" s="207">
        <v>0</v>
      </c>
      <c r="CI27" s="207">
        <f t="shared" si="36"/>
        <v>0</v>
      </c>
      <c r="CJ27" s="207">
        <f t="shared" si="37"/>
        <v>3.5</v>
      </c>
      <c r="CK27" s="208">
        <f t="shared" si="38"/>
        <v>20.5</v>
      </c>
      <c r="CL27" s="205">
        <f t="shared" si="39"/>
        <v>4.5513750000000002</v>
      </c>
      <c r="CM27" s="206" t="str">
        <f t="shared" si="40"/>
        <v>(0.42)</v>
      </c>
      <c r="CN27" s="207">
        <v>2</v>
      </c>
      <c r="CO27" s="207">
        <f t="shared" si="41"/>
        <v>3.5</v>
      </c>
      <c r="CP27" s="207">
        <v>0</v>
      </c>
      <c r="CQ27" s="207">
        <f t="shared" si="42"/>
        <v>0</v>
      </c>
      <c r="CR27" s="207">
        <v>0</v>
      </c>
      <c r="CS27" s="207">
        <f t="shared" si="43"/>
        <v>0</v>
      </c>
      <c r="CT27" s="207">
        <f t="shared" si="44"/>
        <v>3.5</v>
      </c>
      <c r="CU27" s="208">
        <f t="shared" si="45"/>
        <v>26.5</v>
      </c>
      <c r="CV27" s="205">
        <f t="shared" si="46"/>
        <v>5.5818750000000001</v>
      </c>
      <c r="CW27" s="206" t="str">
        <f t="shared" si="47"/>
        <v>(0.52)</v>
      </c>
      <c r="CX27" s="207">
        <v>2</v>
      </c>
      <c r="CY27" s="207">
        <f t="shared" si="48"/>
        <v>3.5</v>
      </c>
      <c r="CZ27" s="207">
        <v>0</v>
      </c>
      <c r="DA27" s="207">
        <f t="shared" si="49"/>
        <v>0</v>
      </c>
      <c r="DB27" s="207">
        <v>0</v>
      </c>
      <c r="DC27" s="207">
        <f t="shared" si="50"/>
        <v>0</v>
      </c>
      <c r="DD27" s="207">
        <f t="shared" si="51"/>
        <v>3.5</v>
      </c>
      <c r="DE27" s="208">
        <f t="shared" si="52"/>
        <v>32.5</v>
      </c>
      <c r="DF27" s="205">
        <f t="shared" si="53"/>
        <v>6.6123750000000001</v>
      </c>
      <c r="DG27" s="206" t="str">
        <f t="shared" si="54"/>
        <v>(0.61)</v>
      </c>
      <c r="DH27" s="207">
        <v>2</v>
      </c>
      <c r="DI27" s="207">
        <f t="shared" si="55"/>
        <v>3.5</v>
      </c>
      <c r="DJ27" s="207">
        <v>0</v>
      </c>
      <c r="DK27" s="207">
        <f t="shared" si="56"/>
        <v>0</v>
      </c>
      <c r="DL27" s="207">
        <v>0</v>
      </c>
      <c r="DM27" s="207">
        <f t="shared" si="57"/>
        <v>0</v>
      </c>
      <c r="DN27" s="207">
        <f t="shared" si="58"/>
        <v>3.5</v>
      </c>
      <c r="DO27" s="208">
        <f t="shared" si="59"/>
        <v>38.5</v>
      </c>
      <c r="DP27" s="205">
        <f t="shared" si="60"/>
        <v>7.6428750000000001</v>
      </c>
      <c r="DQ27" s="206" t="str">
        <f t="shared" si="61"/>
        <v>(0.71)</v>
      </c>
      <c r="DR27" s="207">
        <v>2</v>
      </c>
      <c r="DS27" s="207">
        <f t="shared" si="150"/>
        <v>3.5</v>
      </c>
      <c r="DT27" s="207">
        <v>0</v>
      </c>
      <c r="DU27" s="207">
        <f t="shared" si="62"/>
        <v>0</v>
      </c>
      <c r="DV27" s="207">
        <v>0</v>
      </c>
      <c r="DW27" s="207">
        <f t="shared" si="63"/>
        <v>0</v>
      </c>
      <c r="DX27" s="207">
        <f t="shared" si="64"/>
        <v>3.5</v>
      </c>
      <c r="DY27" s="208">
        <f t="shared" si="65"/>
        <v>44.5</v>
      </c>
      <c r="DZ27" s="205">
        <f t="shared" si="66"/>
        <v>8.5016249999999989</v>
      </c>
      <c r="EA27" s="206" t="str">
        <f t="shared" si="67"/>
        <v>(0.79)</v>
      </c>
      <c r="EB27" s="207">
        <v>2</v>
      </c>
      <c r="EC27" s="207">
        <f t="shared" si="68"/>
        <v>3.5</v>
      </c>
      <c r="ED27" s="207">
        <v>0</v>
      </c>
      <c r="EE27" s="207">
        <f t="shared" si="69"/>
        <v>0</v>
      </c>
      <c r="EF27" s="207">
        <v>1</v>
      </c>
      <c r="EG27" s="207">
        <f t="shared" si="70"/>
        <v>1</v>
      </c>
      <c r="EH27" s="207">
        <f t="shared" si="71"/>
        <v>4.5</v>
      </c>
      <c r="EI27" s="208">
        <f t="shared" si="72"/>
        <v>49.5</v>
      </c>
      <c r="EJ27" s="205">
        <f t="shared" si="73"/>
        <v>9.5321250000000006</v>
      </c>
      <c r="EK27" s="206" t="str">
        <f t="shared" si="74"/>
        <v>(0.89)</v>
      </c>
      <c r="EL27" s="207">
        <v>2</v>
      </c>
      <c r="EM27" s="207">
        <f t="shared" si="75"/>
        <v>3.5</v>
      </c>
      <c r="EN27" s="207">
        <v>0</v>
      </c>
      <c r="EO27" s="207">
        <f t="shared" si="76"/>
        <v>0</v>
      </c>
      <c r="EP27" s="207">
        <v>1</v>
      </c>
      <c r="EQ27" s="207">
        <f t="shared" si="77"/>
        <v>1</v>
      </c>
      <c r="ER27" s="207">
        <f t="shared" si="78"/>
        <v>4.5</v>
      </c>
      <c r="ES27" s="208">
        <f t="shared" si="79"/>
        <v>55.5</v>
      </c>
      <c r="ET27" s="205">
        <f t="shared" si="80"/>
        <v>10.562625000000001</v>
      </c>
      <c r="EU27" s="206" t="str">
        <f t="shared" si="81"/>
        <v>(0.98)</v>
      </c>
      <c r="EV27" s="207">
        <v>2</v>
      </c>
      <c r="EW27" s="207">
        <f t="shared" si="82"/>
        <v>3.5</v>
      </c>
      <c r="EX27" s="207">
        <v>0</v>
      </c>
      <c r="EY27" s="207">
        <f t="shared" si="83"/>
        <v>0</v>
      </c>
      <c r="EZ27" s="207">
        <v>1</v>
      </c>
      <c r="FA27" s="207">
        <f t="shared" si="84"/>
        <v>1</v>
      </c>
      <c r="FB27" s="207">
        <f t="shared" si="85"/>
        <v>4.5</v>
      </c>
      <c r="FC27" s="208">
        <f t="shared" si="86"/>
        <v>61.5</v>
      </c>
      <c r="FD27" s="205">
        <f t="shared" si="87"/>
        <v>11.764875</v>
      </c>
      <c r="FE27" s="206" t="str">
        <f t="shared" si="88"/>
        <v>(1.09)</v>
      </c>
      <c r="FF27" s="207">
        <v>2</v>
      </c>
      <c r="FG27" s="207">
        <f t="shared" si="89"/>
        <v>3.5</v>
      </c>
      <c r="FH27" s="469">
        <v>0</v>
      </c>
      <c r="FI27" s="207">
        <f t="shared" si="90"/>
        <v>0</v>
      </c>
      <c r="FJ27" s="207">
        <v>0</v>
      </c>
      <c r="FK27" s="207">
        <f t="shared" si="91"/>
        <v>0</v>
      </c>
      <c r="FL27" s="207">
        <f t="shared" si="92"/>
        <v>3.5</v>
      </c>
      <c r="FM27" s="208">
        <f t="shared" si="93"/>
        <v>68.5</v>
      </c>
      <c r="FN27" s="205">
        <f t="shared" si="94"/>
        <v>12.60215625</v>
      </c>
      <c r="FO27" s="206" t="str">
        <f t="shared" si="95"/>
        <v>(1.17)</v>
      </c>
      <c r="FP27" s="207">
        <v>2</v>
      </c>
      <c r="FQ27" s="207">
        <f t="shared" si="96"/>
        <v>3.5</v>
      </c>
      <c r="FR27" s="207">
        <v>1</v>
      </c>
      <c r="FS27" s="207">
        <f t="shared" si="97"/>
        <v>1.125</v>
      </c>
      <c r="FT27" s="207">
        <v>0</v>
      </c>
      <c r="FU27" s="207">
        <f t="shared" si="98"/>
        <v>0</v>
      </c>
      <c r="FV27" s="207">
        <f t="shared" si="99"/>
        <v>4.625</v>
      </c>
      <c r="FW27" s="208">
        <f t="shared" si="100"/>
        <v>73.375</v>
      </c>
      <c r="FX27" s="205">
        <f t="shared" si="101"/>
        <v>13.63265625</v>
      </c>
      <c r="FY27" s="206" t="str">
        <f t="shared" si="102"/>
        <v>(1.27)</v>
      </c>
      <c r="FZ27" s="207">
        <v>2</v>
      </c>
      <c r="GA27" s="207">
        <f t="shared" si="103"/>
        <v>3.5</v>
      </c>
      <c r="GB27" s="207">
        <v>1</v>
      </c>
      <c r="GC27" s="207">
        <f t="shared" si="104"/>
        <v>1.125</v>
      </c>
      <c r="GD27" s="207">
        <v>0</v>
      </c>
      <c r="GE27" s="207">
        <f t="shared" si="105"/>
        <v>0</v>
      </c>
      <c r="GF27" s="207">
        <f t="shared" si="106"/>
        <v>4.625</v>
      </c>
      <c r="GG27" s="208">
        <f t="shared" si="107"/>
        <v>79.375</v>
      </c>
      <c r="GH27" s="205">
        <f t="shared" si="108"/>
        <v>14.663156249999998</v>
      </c>
      <c r="GI27" s="206" t="str">
        <f t="shared" si="109"/>
        <v>(1.36)</v>
      </c>
      <c r="GJ27" s="207">
        <v>2</v>
      </c>
      <c r="GK27" s="207">
        <f t="shared" si="110"/>
        <v>3.5</v>
      </c>
      <c r="GL27" s="207">
        <v>1</v>
      </c>
      <c r="GM27" s="207">
        <f t="shared" si="111"/>
        <v>1.125</v>
      </c>
      <c r="GN27" s="207">
        <v>0</v>
      </c>
      <c r="GO27" s="207">
        <f t="shared" si="112"/>
        <v>0</v>
      </c>
      <c r="GP27" s="207">
        <f t="shared" si="113"/>
        <v>4.625</v>
      </c>
      <c r="GQ27" s="208">
        <f t="shared" si="114"/>
        <v>85.375</v>
      </c>
      <c r="GR27" s="205">
        <f t="shared" si="115"/>
        <v>15.69365625</v>
      </c>
      <c r="GS27" s="206" t="str">
        <f t="shared" si="116"/>
        <v>(1.46)</v>
      </c>
      <c r="GT27" s="207">
        <v>2</v>
      </c>
      <c r="GU27" s="207">
        <f t="shared" si="117"/>
        <v>3.5</v>
      </c>
      <c r="GV27" s="207">
        <v>1</v>
      </c>
      <c r="GW27" s="207">
        <f t="shared" si="118"/>
        <v>1.125</v>
      </c>
      <c r="GX27" s="207">
        <v>0</v>
      </c>
      <c r="GY27" s="207">
        <f t="shared" si="119"/>
        <v>0</v>
      </c>
      <c r="GZ27" s="207">
        <f t="shared" si="120"/>
        <v>4.625</v>
      </c>
      <c r="HA27" s="208">
        <f t="shared" si="121"/>
        <v>91.375</v>
      </c>
      <c r="HB27" s="205">
        <f t="shared" si="122"/>
        <v>16.72415625</v>
      </c>
      <c r="HC27" s="206" t="str">
        <f t="shared" si="123"/>
        <v>(1.55)</v>
      </c>
      <c r="HD27" s="207">
        <v>2</v>
      </c>
      <c r="HE27" s="207">
        <f t="shared" si="124"/>
        <v>3.5</v>
      </c>
      <c r="HF27" s="207">
        <v>1</v>
      </c>
      <c r="HG27" s="207">
        <f t="shared" si="125"/>
        <v>1.125</v>
      </c>
      <c r="HH27" s="207">
        <v>0</v>
      </c>
      <c r="HI27" s="207">
        <f t="shared" si="126"/>
        <v>0</v>
      </c>
      <c r="HJ27" s="207">
        <f t="shared" si="127"/>
        <v>4.625</v>
      </c>
      <c r="HK27" s="208">
        <f t="shared" si="128"/>
        <v>97.375</v>
      </c>
      <c r="HL27" s="205">
        <f t="shared" si="129"/>
        <v>17.411156249999998</v>
      </c>
      <c r="HM27" s="206" t="str">
        <f t="shared" si="130"/>
        <v>(1.62)</v>
      </c>
      <c r="HN27" s="207">
        <v>2</v>
      </c>
      <c r="HO27" s="207">
        <f t="shared" si="131"/>
        <v>3.5</v>
      </c>
      <c r="HP27" s="207">
        <v>1</v>
      </c>
      <c r="HQ27" s="207">
        <f t="shared" si="132"/>
        <v>1.125</v>
      </c>
      <c r="HR27" s="207">
        <v>2</v>
      </c>
      <c r="HS27" s="207">
        <f t="shared" si="133"/>
        <v>2</v>
      </c>
      <c r="HT27" s="207">
        <f t="shared" si="134"/>
        <v>6.625</v>
      </c>
      <c r="HU27" s="208">
        <f t="shared" si="135"/>
        <v>101.375</v>
      </c>
      <c r="HV27" s="205">
        <f t="shared" si="136"/>
        <v>18.441656250000001</v>
      </c>
      <c r="HW27" s="206" t="str">
        <f t="shared" si="137"/>
        <v>(1.71)</v>
      </c>
      <c r="HX27" s="207">
        <v>2</v>
      </c>
      <c r="HY27" s="207">
        <f t="shared" si="138"/>
        <v>3.5</v>
      </c>
      <c r="HZ27" s="207">
        <v>1</v>
      </c>
      <c r="IA27" s="207">
        <f t="shared" si="139"/>
        <v>1.125</v>
      </c>
      <c r="IB27" s="207">
        <v>2</v>
      </c>
      <c r="IC27" s="207">
        <f t="shared" si="140"/>
        <v>2</v>
      </c>
      <c r="ID27" s="207">
        <f t="shared" si="141"/>
        <v>6.625</v>
      </c>
      <c r="IE27" s="208">
        <f t="shared" si="142"/>
        <v>107.375</v>
      </c>
      <c r="IF27" s="205">
        <f t="shared" si="143"/>
        <v>19.472156249999998</v>
      </c>
      <c r="IG27" s="206" t="str">
        <f t="shared" si="144"/>
        <v>(1.81)</v>
      </c>
      <c r="IH27" s="21">
        <v>2</v>
      </c>
      <c r="II27" s="21">
        <f t="shared" si="145"/>
        <v>3.5</v>
      </c>
      <c r="IJ27" s="21">
        <v>1</v>
      </c>
      <c r="IK27" s="21">
        <f t="shared" si="146"/>
        <v>1.125</v>
      </c>
      <c r="IL27" s="21">
        <v>2</v>
      </c>
      <c r="IM27" s="21">
        <f t="shared" si="147"/>
        <v>2</v>
      </c>
      <c r="IN27" s="21">
        <f t="shared" si="148"/>
        <v>6.625</v>
      </c>
      <c r="IO27" s="22">
        <f t="shared" si="149"/>
        <v>113.375</v>
      </c>
      <c r="IP27" s="23"/>
      <c r="IQ27" s="24">
        <v>9</v>
      </c>
      <c r="IR27" s="25">
        <v>2.65</v>
      </c>
      <c r="IS27" s="25">
        <v>2.65</v>
      </c>
      <c r="IT27" s="25">
        <v>0.88200000000000001</v>
      </c>
      <c r="IU27" s="25">
        <v>1.75</v>
      </c>
      <c r="IV27" s="25">
        <v>1</v>
      </c>
      <c r="IW27" s="25">
        <v>1.125</v>
      </c>
      <c r="IX27" s="7"/>
    </row>
    <row r="28" spans="2:258" ht="15.75" thickBot="1" x14ac:dyDescent="0.3">
      <c r="B28" s="79">
        <f t="shared" si="9"/>
        <v>66</v>
      </c>
      <c r="C28" s="147">
        <v>12</v>
      </c>
      <c r="D28" s="487"/>
      <c r="E28" s="468">
        <f t="shared" si="8"/>
        <v>0.43607575757575751</v>
      </c>
      <c r="F28" s="468">
        <f t="shared" si="0"/>
        <v>0.49592929292929289</v>
      </c>
      <c r="G28" s="468">
        <f t="shared" si="1"/>
        <v>0.5258560606060606</v>
      </c>
      <c r="H28" s="468">
        <f t="shared" si="2"/>
        <v>0.54381212121212119</v>
      </c>
      <c r="I28" s="468">
        <f t="shared" si="3"/>
        <v>0.55578282828282821</v>
      </c>
      <c r="J28" s="468">
        <f t="shared" si="4"/>
        <v>0.56433333333333324</v>
      </c>
      <c r="K28" s="468">
        <f t="shared" si="5"/>
        <v>0.57074621212121202</v>
      </c>
      <c r="L28" s="468">
        <f t="shared" si="6"/>
        <v>0.56433333333333335</v>
      </c>
      <c r="M28" s="468">
        <f t="shared" si="7"/>
        <v>0.56946363636363639</v>
      </c>
      <c r="N28" s="488"/>
      <c r="O28" s="488"/>
      <c r="P28" s="488"/>
      <c r="Q28" s="488"/>
      <c r="R28" s="488"/>
      <c r="S28" s="488"/>
      <c r="T28" s="488"/>
      <c r="U28" s="488"/>
      <c r="V28" s="488"/>
      <c r="W28" s="488"/>
      <c r="X28" s="76"/>
      <c r="Y28" s="46"/>
      <c r="AA28" s="61"/>
      <c r="AT28" s="3"/>
      <c r="AU28" s="13">
        <f t="shared" si="151"/>
        <v>48</v>
      </c>
      <c r="AV28" s="11" t="str">
        <f t="shared" si="10"/>
        <v>(1200)</v>
      </c>
      <c r="AW28" s="18"/>
      <c r="AX28" s="19">
        <f t="shared" si="11"/>
        <v>1.0920555555555553</v>
      </c>
      <c r="AY28" s="20" t="str">
        <f t="shared" si="12"/>
        <v>(0.10)</v>
      </c>
      <c r="AZ28" s="21">
        <v>2</v>
      </c>
      <c r="BA28" s="21">
        <f t="shared" si="13"/>
        <v>3.5</v>
      </c>
      <c r="BB28" s="21">
        <v>0</v>
      </c>
      <c r="BC28" s="21">
        <f t="shared" si="14"/>
        <v>0</v>
      </c>
      <c r="BD28" s="21">
        <v>0</v>
      </c>
      <c r="BE28" s="21">
        <f t="shared" si="15"/>
        <v>0</v>
      </c>
      <c r="BF28" s="21">
        <f t="shared" si="16"/>
        <v>3.5</v>
      </c>
      <c r="BG28" s="22">
        <f t="shared" si="17"/>
        <v>5.5</v>
      </c>
      <c r="BH28" s="205">
        <f t="shared" si="18"/>
        <v>1.6877222222222219</v>
      </c>
      <c r="BI28" s="206" t="str">
        <f t="shared" si="19"/>
        <v>(0.16)</v>
      </c>
      <c r="BJ28" s="207">
        <v>2</v>
      </c>
      <c r="BK28" s="207">
        <f t="shared" si="20"/>
        <v>3.5</v>
      </c>
      <c r="BL28" s="207">
        <v>0</v>
      </c>
      <c r="BM28" s="207">
        <f t="shared" si="21"/>
        <v>0</v>
      </c>
      <c r="BN28" s="207">
        <v>0</v>
      </c>
      <c r="BO28" s="207">
        <f t="shared" si="22"/>
        <v>0</v>
      </c>
      <c r="BP28" s="207">
        <f t="shared" si="23"/>
        <v>3.5</v>
      </c>
      <c r="BQ28" s="208">
        <f t="shared" si="24"/>
        <v>8.5</v>
      </c>
      <c r="BR28" s="205">
        <f t="shared" si="25"/>
        <v>2.879055555555555</v>
      </c>
      <c r="BS28" s="206" t="str">
        <f t="shared" si="26"/>
        <v>(0.27)</v>
      </c>
      <c r="BT28" s="207">
        <v>2</v>
      </c>
      <c r="BU28" s="207">
        <f t="shared" si="27"/>
        <v>3.5</v>
      </c>
      <c r="BV28" s="207">
        <v>0</v>
      </c>
      <c r="BW28" s="207">
        <f t="shared" si="28"/>
        <v>0</v>
      </c>
      <c r="BX28" s="207">
        <v>0</v>
      </c>
      <c r="BY28" s="207">
        <f t="shared" si="29"/>
        <v>0</v>
      </c>
      <c r="BZ28" s="207">
        <f t="shared" si="30"/>
        <v>3.5</v>
      </c>
      <c r="CA28" s="208">
        <f t="shared" si="31"/>
        <v>14.5</v>
      </c>
      <c r="CB28" s="205">
        <f t="shared" si="32"/>
        <v>4.0703888888888882</v>
      </c>
      <c r="CC28" s="206" t="str">
        <f t="shared" si="33"/>
        <v>(0.38)</v>
      </c>
      <c r="CD28" s="207">
        <v>2</v>
      </c>
      <c r="CE28" s="207">
        <f t="shared" si="34"/>
        <v>3.5</v>
      </c>
      <c r="CF28" s="207">
        <v>0</v>
      </c>
      <c r="CG28" s="207">
        <f t="shared" si="35"/>
        <v>0</v>
      </c>
      <c r="CH28" s="207">
        <v>0</v>
      </c>
      <c r="CI28" s="207">
        <f t="shared" si="36"/>
        <v>0</v>
      </c>
      <c r="CJ28" s="207">
        <f t="shared" si="37"/>
        <v>3.5</v>
      </c>
      <c r="CK28" s="208">
        <f t="shared" si="38"/>
        <v>20.5</v>
      </c>
      <c r="CL28" s="205">
        <f t="shared" si="39"/>
        <v>5.2617222222222217</v>
      </c>
      <c r="CM28" s="206" t="str">
        <f t="shared" si="40"/>
        <v>(0.49)</v>
      </c>
      <c r="CN28" s="207">
        <v>2</v>
      </c>
      <c r="CO28" s="207">
        <f t="shared" si="41"/>
        <v>3.5</v>
      </c>
      <c r="CP28" s="207">
        <v>0</v>
      </c>
      <c r="CQ28" s="207">
        <f t="shared" si="42"/>
        <v>0</v>
      </c>
      <c r="CR28" s="207">
        <v>0</v>
      </c>
      <c r="CS28" s="207">
        <f t="shared" si="43"/>
        <v>0</v>
      </c>
      <c r="CT28" s="207">
        <f t="shared" si="44"/>
        <v>3.5</v>
      </c>
      <c r="CU28" s="208">
        <f t="shared" si="45"/>
        <v>26.5</v>
      </c>
      <c r="CV28" s="205">
        <f t="shared" si="46"/>
        <v>6.4530555555555544</v>
      </c>
      <c r="CW28" s="206" t="str">
        <f t="shared" si="47"/>
        <v>(0.6)</v>
      </c>
      <c r="CX28" s="207">
        <v>2</v>
      </c>
      <c r="CY28" s="207">
        <f t="shared" si="48"/>
        <v>3.5</v>
      </c>
      <c r="CZ28" s="207">
        <v>0</v>
      </c>
      <c r="DA28" s="207">
        <f t="shared" si="49"/>
        <v>0</v>
      </c>
      <c r="DB28" s="207">
        <v>0</v>
      </c>
      <c r="DC28" s="207">
        <f t="shared" si="50"/>
        <v>0</v>
      </c>
      <c r="DD28" s="207">
        <f t="shared" si="51"/>
        <v>3.5</v>
      </c>
      <c r="DE28" s="208">
        <f t="shared" si="52"/>
        <v>32.5</v>
      </c>
      <c r="DF28" s="205">
        <f t="shared" si="53"/>
        <v>7.644388888888888</v>
      </c>
      <c r="DG28" s="206" t="str">
        <f t="shared" si="54"/>
        <v>(0.71)</v>
      </c>
      <c r="DH28" s="207">
        <v>2</v>
      </c>
      <c r="DI28" s="207">
        <f t="shared" si="55"/>
        <v>3.5</v>
      </c>
      <c r="DJ28" s="207">
        <v>0</v>
      </c>
      <c r="DK28" s="207">
        <f t="shared" si="56"/>
        <v>0</v>
      </c>
      <c r="DL28" s="207">
        <v>0</v>
      </c>
      <c r="DM28" s="207">
        <f t="shared" si="57"/>
        <v>0</v>
      </c>
      <c r="DN28" s="207">
        <f t="shared" si="58"/>
        <v>3.5</v>
      </c>
      <c r="DO28" s="208">
        <f t="shared" si="59"/>
        <v>38.5</v>
      </c>
      <c r="DP28" s="209">
        <f>($IR28+(($IQ28-1)*$IS28)+$IT28)*DY28/144</f>
        <v>8.8357222222222216</v>
      </c>
      <c r="DQ28" s="210" t="str">
        <f t="shared" si="61"/>
        <v>(0.82)</v>
      </c>
      <c r="DR28" s="207">
        <v>2</v>
      </c>
      <c r="DS28" s="207">
        <f t="shared" si="150"/>
        <v>3.5</v>
      </c>
      <c r="DT28" s="207">
        <v>0</v>
      </c>
      <c r="DU28" s="207">
        <f t="shared" si="62"/>
        <v>0</v>
      </c>
      <c r="DV28" s="207">
        <v>0</v>
      </c>
      <c r="DW28" s="207">
        <f t="shared" si="63"/>
        <v>0</v>
      </c>
      <c r="DX28" s="207">
        <f t="shared" si="64"/>
        <v>3.5</v>
      </c>
      <c r="DY28" s="208">
        <f t="shared" si="65"/>
        <v>44.5</v>
      </c>
      <c r="DZ28" s="205">
        <f t="shared" si="66"/>
        <v>9.8284999999999982</v>
      </c>
      <c r="EA28" s="206" t="str">
        <f t="shared" si="67"/>
        <v>(0.91)</v>
      </c>
      <c r="EB28" s="207">
        <v>2</v>
      </c>
      <c r="EC28" s="207">
        <f t="shared" si="68"/>
        <v>3.5</v>
      </c>
      <c r="ED28" s="207">
        <v>0</v>
      </c>
      <c r="EE28" s="207">
        <f t="shared" si="69"/>
        <v>0</v>
      </c>
      <c r="EF28" s="207">
        <v>1</v>
      </c>
      <c r="EG28" s="207">
        <f t="shared" si="70"/>
        <v>1</v>
      </c>
      <c r="EH28" s="207">
        <f t="shared" si="71"/>
        <v>4.5</v>
      </c>
      <c r="EI28" s="208">
        <f t="shared" si="72"/>
        <v>49.5</v>
      </c>
      <c r="EJ28" s="205">
        <f t="shared" si="73"/>
        <v>11.019833333333331</v>
      </c>
      <c r="EK28" s="206" t="str">
        <f t="shared" si="74"/>
        <v>(1.02)</v>
      </c>
      <c r="EL28" s="207">
        <v>2</v>
      </c>
      <c r="EM28" s="207">
        <f t="shared" si="75"/>
        <v>3.5</v>
      </c>
      <c r="EN28" s="207">
        <v>0</v>
      </c>
      <c r="EO28" s="207">
        <f t="shared" si="76"/>
        <v>0</v>
      </c>
      <c r="EP28" s="207">
        <v>1</v>
      </c>
      <c r="EQ28" s="207">
        <f t="shared" si="77"/>
        <v>1</v>
      </c>
      <c r="ER28" s="207">
        <f t="shared" si="78"/>
        <v>4.5</v>
      </c>
      <c r="ES28" s="208">
        <f t="shared" si="79"/>
        <v>55.5</v>
      </c>
      <c r="ET28" s="205">
        <f t="shared" si="80"/>
        <v>12.211166666666664</v>
      </c>
      <c r="EU28" s="206" t="str">
        <f t="shared" si="81"/>
        <v>(1.13)</v>
      </c>
      <c r="EV28" s="207">
        <v>2</v>
      </c>
      <c r="EW28" s="207">
        <f t="shared" si="82"/>
        <v>3.5</v>
      </c>
      <c r="EX28" s="207">
        <v>0</v>
      </c>
      <c r="EY28" s="207">
        <f t="shared" si="83"/>
        <v>0</v>
      </c>
      <c r="EZ28" s="207">
        <v>1</v>
      </c>
      <c r="FA28" s="207">
        <f t="shared" si="84"/>
        <v>1</v>
      </c>
      <c r="FB28" s="207">
        <f t="shared" si="85"/>
        <v>4.5</v>
      </c>
      <c r="FC28" s="208">
        <f t="shared" si="86"/>
        <v>61.5</v>
      </c>
      <c r="FD28" s="205">
        <f t="shared" si="87"/>
        <v>13.601055555555554</v>
      </c>
      <c r="FE28" s="206" t="str">
        <f t="shared" si="88"/>
        <v>(1.26)</v>
      </c>
      <c r="FF28" s="207">
        <v>2</v>
      </c>
      <c r="FG28" s="207">
        <f t="shared" si="89"/>
        <v>3.5</v>
      </c>
      <c r="FH28" s="469">
        <v>0</v>
      </c>
      <c r="FI28" s="207">
        <f t="shared" si="90"/>
        <v>0</v>
      </c>
      <c r="FJ28" s="207">
        <v>0</v>
      </c>
      <c r="FK28" s="207">
        <f t="shared" si="91"/>
        <v>0</v>
      </c>
      <c r="FL28" s="207">
        <f t="shared" si="92"/>
        <v>3.5</v>
      </c>
      <c r="FM28" s="208">
        <f t="shared" si="93"/>
        <v>68.5</v>
      </c>
      <c r="FN28" s="205">
        <f t="shared" si="94"/>
        <v>14.569013888888886</v>
      </c>
      <c r="FO28" s="206" t="str">
        <f t="shared" si="95"/>
        <v>(1.35)</v>
      </c>
      <c r="FP28" s="207">
        <v>2</v>
      </c>
      <c r="FQ28" s="207">
        <f t="shared" si="96"/>
        <v>3.5</v>
      </c>
      <c r="FR28" s="207">
        <v>1</v>
      </c>
      <c r="FS28" s="207">
        <f t="shared" si="97"/>
        <v>1.125</v>
      </c>
      <c r="FT28" s="207">
        <v>0</v>
      </c>
      <c r="FU28" s="207">
        <f t="shared" si="98"/>
        <v>0</v>
      </c>
      <c r="FV28" s="207">
        <f t="shared" si="99"/>
        <v>4.625</v>
      </c>
      <c r="FW28" s="208">
        <f t="shared" si="100"/>
        <v>73.375</v>
      </c>
      <c r="FX28" s="205">
        <f t="shared" si="101"/>
        <v>15.760347222222221</v>
      </c>
      <c r="FY28" s="206" t="str">
        <f t="shared" si="102"/>
        <v>(1.46)</v>
      </c>
      <c r="FZ28" s="207">
        <v>2</v>
      </c>
      <c r="GA28" s="207">
        <f t="shared" si="103"/>
        <v>3.5</v>
      </c>
      <c r="GB28" s="207">
        <v>1</v>
      </c>
      <c r="GC28" s="207">
        <f t="shared" si="104"/>
        <v>1.125</v>
      </c>
      <c r="GD28" s="207">
        <v>0</v>
      </c>
      <c r="GE28" s="207">
        <f t="shared" si="105"/>
        <v>0</v>
      </c>
      <c r="GF28" s="207">
        <f t="shared" si="106"/>
        <v>4.625</v>
      </c>
      <c r="GG28" s="208">
        <f t="shared" si="107"/>
        <v>79.375</v>
      </c>
      <c r="GH28" s="205">
        <f t="shared" si="108"/>
        <v>16.951680555555551</v>
      </c>
      <c r="GI28" s="206" t="str">
        <f t="shared" si="109"/>
        <v>(1.57)</v>
      </c>
      <c r="GJ28" s="207">
        <v>2</v>
      </c>
      <c r="GK28" s="207">
        <f t="shared" si="110"/>
        <v>3.5</v>
      </c>
      <c r="GL28" s="207">
        <v>1</v>
      </c>
      <c r="GM28" s="207">
        <f t="shared" si="111"/>
        <v>1.125</v>
      </c>
      <c r="GN28" s="207">
        <v>0</v>
      </c>
      <c r="GO28" s="207">
        <f t="shared" si="112"/>
        <v>0</v>
      </c>
      <c r="GP28" s="207">
        <f t="shared" si="113"/>
        <v>4.625</v>
      </c>
      <c r="GQ28" s="208">
        <f t="shared" si="114"/>
        <v>85.375</v>
      </c>
      <c r="GR28" s="205">
        <f t="shared" si="115"/>
        <v>18.143013888888888</v>
      </c>
      <c r="GS28" s="206" t="str">
        <f t="shared" si="116"/>
        <v>(1.69)</v>
      </c>
      <c r="GT28" s="207">
        <v>2</v>
      </c>
      <c r="GU28" s="207">
        <f t="shared" si="117"/>
        <v>3.5</v>
      </c>
      <c r="GV28" s="207">
        <v>1</v>
      </c>
      <c r="GW28" s="207">
        <f t="shared" si="118"/>
        <v>1.125</v>
      </c>
      <c r="GX28" s="207">
        <v>0</v>
      </c>
      <c r="GY28" s="207">
        <f t="shared" si="119"/>
        <v>0</v>
      </c>
      <c r="GZ28" s="207">
        <f t="shared" si="120"/>
        <v>4.625</v>
      </c>
      <c r="HA28" s="208">
        <f t="shared" si="121"/>
        <v>91.375</v>
      </c>
      <c r="HB28" s="205">
        <f t="shared" si="122"/>
        <v>19.33434722222222</v>
      </c>
      <c r="HC28" s="206" t="str">
        <f t="shared" si="123"/>
        <v>(1.80)</v>
      </c>
      <c r="HD28" s="207">
        <v>2</v>
      </c>
      <c r="HE28" s="207">
        <f t="shared" si="124"/>
        <v>3.5</v>
      </c>
      <c r="HF28" s="207">
        <v>1</v>
      </c>
      <c r="HG28" s="207">
        <f t="shared" si="125"/>
        <v>1.125</v>
      </c>
      <c r="HH28" s="207">
        <v>0</v>
      </c>
      <c r="HI28" s="207">
        <f t="shared" si="126"/>
        <v>0</v>
      </c>
      <c r="HJ28" s="207">
        <f t="shared" si="127"/>
        <v>4.625</v>
      </c>
      <c r="HK28" s="208">
        <f t="shared" si="128"/>
        <v>97.375</v>
      </c>
      <c r="HL28" s="205">
        <f t="shared" si="129"/>
        <v>20.128569444444441</v>
      </c>
      <c r="HM28" s="206" t="str">
        <f t="shared" si="130"/>
        <v>(1.87)</v>
      </c>
      <c r="HN28" s="207">
        <v>2</v>
      </c>
      <c r="HO28" s="207">
        <f t="shared" si="131"/>
        <v>3.5</v>
      </c>
      <c r="HP28" s="207">
        <v>1</v>
      </c>
      <c r="HQ28" s="207">
        <f t="shared" si="132"/>
        <v>1.125</v>
      </c>
      <c r="HR28" s="207">
        <v>2</v>
      </c>
      <c r="HS28" s="207">
        <f t="shared" si="133"/>
        <v>2</v>
      </c>
      <c r="HT28" s="207">
        <f t="shared" si="134"/>
        <v>6.625</v>
      </c>
      <c r="HU28" s="208">
        <f t="shared" si="135"/>
        <v>101.375</v>
      </c>
      <c r="HV28" s="205">
        <f t="shared" si="136"/>
        <v>21.319902777777774</v>
      </c>
      <c r="HW28" s="206" t="str">
        <f t="shared" si="137"/>
        <v>(1.98)</v>
      </c>
      <c r="HX28" s="207">
        <v>2</v>
      </c>
      <c r="HY28" s="207">
        <f t="shared" si="138"/>
        <v>3.5</v>
      </c>
      <c r="HZ28" s="207">
        <v>1</v>
      </c>
      <c r="IA28" s="207">
        <f t="shared" si="139"/>
        <v>1.125</v>
      </c>
      <c r="IB28" s="207">
        <v>2</v>
      </c>
      <c r="IC28" s="207">
        <f t="shared" si="140"/>
        <v>2</v>
      </c>
      <c r="ID28" s="207">
        <f t="shared" si="141"/>
        <v>6.625</v>
      </c>
      <c r="IE28" s="208">
        <f t="shared" si="142"/>
        <v>107.375</v>
      </c>
      <c r="IF28" s="205">
        <f t="shared" si="143"/>
        <v>22.511236111111106</v>
      </c>
      <c r="IG28" s="206" t="str">
        <f t="shared" si="144"/>
        <v>(2.09)</v>
      </c>
      <c r="IH28" s="21">
        <v>2</v>
      </c>
      <c r="II28" s="21">
        <f t="shared" si="145"/>
        <v>3.5</v>
      </c>
      <c r="IJ28" s="21">
        <v>1</v>
      </c>
      <c r="IK28" s="21">
        <f t="shared" si="146"/>
        <v>1.125</v>
      </c>
      <c r="IL28" s="21">
        <v>2</v>
      </c>
      <c r="IM28" s="21">
        <f t="shared" si="147"/>
        <v>2</v>
      </c>
      <c r="IN28" s="21">
        <f t="shared" si="148"/>
        <v>6.625</v>
      </c>
      <c r="IO28" s="22">
        <f t="shared" si="149"/>
        <v>113.375</v>
      </c>
      <c r="IP28" s="23"/>
      <c r="IQ28" s="24">
        <v>10</v>
      </c>
      <c r="IR28" s="25">
        <v>2.65</v>
      </c>
      <c r="IS28" s="25">
        <v>2.65</v>
      </c>
      <c r="IT28" s="25">
        <v>2.0920000000000001</v>
      </c>
      <c r="IU28" s="25">
        <v>1.75</v>
      </c>
      <c r="IV28" s="25">
        <v>1</v>
      </c>
      <c r="IW28" s="25">
        <v>1.125</v>
      </c>
      <c r="IX28" s="7"/>
    </row>
    <row r="29" spans="2:258" ht="15.75" thickBot="1" x14ac:dyDescent="0.3">
      <c r="B29" s="79">
        <f t="shared" si="9"/>
        <v>72</v>
      </c>
      <c r="C29" s="148">
        <v>13</v>
      </c>
      <c r="D29" s="487"/>
      <c r="E29" s="468">
        <f t="shared" si="8"/>
        <v>0.43771064814814808</v>
      </c>
      <c r="F29" s="468">
        <f t="shared" si="0"/>
        <v>0.49778858024691364</v>
      </c>
      <c r="G29" s="468">
        <f t="shared" si="1"/>
        <v>0.52782754629629625</v>
      </c>
      <c r="H29" s="468">
        <f t="shared" si="2"/>
        <v>0.54585092592592588</v>
      </c>
      <c r="I29" s="468">
        <f t="shared" si="3"/>
        <v>0.55786651234567897</v>
      </c>
      <c r="J29" s="468">
        <f t="shared" si="4"/>
        <v>0.56644907407407408</v>
      </c>
      <c r="K29" s="468">
        <f t="shared" si="5"/>
        <v>0.57288599537037033</v>
      </c>
      <c r="L29" s="468">
        <f t="shared" si="6"/>
        <v>0.56644907407407408</v>
      </c>
      <c r="M29" s="468">
        <f t="shared" si="7"/>
        <v>0.57159861111111121</v>
      </c>
      <c r="N29" s="488"/>
      <c r="O29" s="488"/>
      <c r="P29" s="488"/>
      <c r="Q29" s="488"/>
      <c r="R29" s="488"/>
      <c r="S29" s="488"/>
      <c r="T29" s="488"/>
      <c r="U29" s="488"/>
      <c r="V29" s="488"/>
      <c r="W29" s="488"/>
      <c r="X29" s="76"/>
      <c r="Y29" s="46"/>
      <c r="AA29" s="61"/>
      <c r="AT29" s="3"/>
      <c r="AU29" s="13">
        <f t="shared" si="151"/>
        <v>54</v>
      </c>
      <c r="AV29" s="11" t="str">
        <f t="shared" si="10"/>
        <v>(1350)</v>
      </c>
      <c r="AW29" s="18"/>
      <c r="AX29" s="19">
        <f t="shared" si="11"/>
        <v>1.1470555555555555</v>
      </c>
      <c r="AY29" s="20" t="str">
        <f t="shared" si="12"/>
        <v>(0.11)</v>
      </c>
      <c r="AZ29" s="21">
        <v>2</v>
      </c>
      <c r="BA29" s="21">
        <f t="shared" si="13"/>
        <v>3.5</v>
      </c>
      <c r="BB29" s="21">
        <v>0</v>
      </c>
      <c r="BC29" s="21">
        <f t="shared" si="14"/>
        <v>0</v>
      </c>
      <c r="BD29" s="21">
        <v>0</v>
      </c>
      <c r="BE29" s="21">
        <f t="shared" si="15"/>
        <v>0</v>
      </c>
      <c r="BF29" s="21">
        <f t="shared" si="16"/>
        <v>3.5</v>
      </c>
      <c r="BG29" s="22">
        <f t="shared" si="17"/>
        <v>5.5</v>
      </c>
      <c r="BH29" s="205">
        <f t="shared" si="18"/>
        <v>1.7727222222222221</v>
      </c>
      <c r="BI29" s="206" t="str">
        <f t="shared" si="19"/>
        <v>(0.16)</v>
      </c>
      <c r="BJ29" s="207">
        <v>2</v>
      </c>
      <c r="BK29" s="207">
        <f t="shared" si="20"/>
        <v>3.5</v>
      </c>
      <c r="BL29" s="207">
        <v>0</v>
      </c>
      <c r="BM29" s="207">
        <f t="shared" si="21"/>
        <v>0</v>
      </c>
      <c r="BN29" s="207">
        <v>0</v>
      </c>
      <c r="BO29" s="207">
        <f t="shared" si="22"/>
        <v>0</v>
      </c>
      <c r="BP29" s="207">
        <f t="shared" si="23"/>
        <v>3.5</v>
      </c>
      <c r="BQ29" s="208">
        <f t="shared" si="24"/>
        <v>8.5</v>
      </c>
      <c r="BR29" s="205">
        <f t="shared" si="25"/>
        <v>3.0240555555555555</v>
      </c>
      <c r="BS29" s="206" t="str">
        <f t="shared" si="26"/>
        <v>(0.28)</v>
      </c>
      <c r="BT29" s="207">
        <v>2</v>
      </c>
      <c r="BU29" s="207">
        <f t="shared" si="27"/>
        <v>3.5</v>
      </c>
      <c r="BV29" s="207">
        <v>0</v>
      </c>
      <c r="BW29" s="207">
        <f t="shared" si="28"/>
        <v>0</v>
      </c>
      <c r="BX29" s="207">
        <v>0</v>
      </c>
      <c r="BY29" s="207">
        <f t="shared" si="29"/>
        <v>0</v>
      </c>
      <c r="BZ29" s="207">
        <f t="shared" si="30"/>
        <v>3.5</v>
      </c>
      <c r="CA29" s="208">
        <f t="shared" si="31"/>
        <v>14.5</v>
      </c>
      <c r="CB29" s="205">
        <f t="shared" si="32"/>
        <v>4.2753888888888882</v>
      </c>
      <c r="CC29" s="206" t="str">
        <f t="shared" si="33"/>
        <v>(0.4)</v>
      </c>
      <c r="CD29" s="207">
        <v>2</v>
      </c>
      <c r="CE29" s="207">
        <f t="shared" si="34"/>
        <v>3.5</v>
      </c>
      <c r="CF29" s="207">
        <v>0</v>
      </c>
      <c r="CG29" s="207">
        <f t="shared" si="35"/>
        <v>0</v>
      </c>
      <c r="CH29" s="207">
        <v>0</v>
      </c>
      <c r="CI29" s="207">
        <f t="shared" si="36"/>
        <v>0</v>
      </c>
      <c r="CJ29" s="207">
        <f t="shared" si="37"/>
        <v>3.5</v>
      </c>
      <c r="CK29" s="208">
        <f t="shared" si="38"/>
        <v>20.5</v>
      </c>
      <c r="CL29" s="205">
        <f t="shared" si="39"/>
        <v>5.5267222222222223</v>
      </c>
      <c r="CM29" s="206" t="str">
        <f t="shared" si="40"/>
        <v>(0.51)</v>
      </c>
      <c r="CN29" s="207">
        <v>2</v>
      </c>
      <c r="CO29" s="207">
        <f t="shared" si="41"/>
        <v>3.5</v>
      </c>
      <c r="CP29" s="207">
        <v>0</v>
      </c>
      <c r="CQ29" s="207">
        <f t="shared" si="42"/>
        <v>0</v>
      </c>
      <c r="CR29" s="207">
        <v>0</v>
      </c>
      <c r="CS29" s="207">
        <f t="shared" si="43"/>
        <v>0</v>
      </c>
      <c r="CT29" s="207">
        <f t="shared" si="44"/>
        <v>3.5</v>
      </c>
      <c r="CU29" s="208">
        <f t="shared" si="45"/>
        <v>26.5</v>
      </c>
      <c r="CV29" s="205">
        <f t="shared" si="46"/>
        <v>6.7780555555555555</v>
      </c>
      <c r="CW29" s="206" t="str">
        <f t="shared" si="47"/>
        <v>(0.63)</v>
      </c>
      <c r="CX29" s="207">
        <v>2</v>
      </c>
      <c r="CY29" s="207">
        <f t="shared" si="48"/>
        <v>3.5</v>
      </c>
      <c r="CZ29" s="207">
        <v>0</v>
      </c>
      <c r="DA29" s="207">
        <f t="shared" si="49"/>
        <v>0</v>
      </c>
      <c r="DB29" s="207">
        <v>0</v>
      </c>
      <c r="DC29" s="207">
        <f t="shared" si="50"/>
        <v>0</v>
      </c>
      <c r="DD29" s="207">
        <f t="shared" si="51"/>
        <v>3.5</v>
      </c>
      <c r="DE29" s="208">
        <f t="shared" si="52"/>
        <v>32.5</v>
      </c>
      <c r="DF29" s="205">
        <f t="shared" si="53"/>
        <v>8.0293888888888887</v>
      </c>
      <c r="DG29" s="206" t="str">
        <f t="shared" si="54"/>
        <v>(0.75)</v>
      </c>
      <c r="DH29" s="207">
        <v>2</v>
      </c>
      <c r="DI29" s="207">
        <f t="shared" si="55"/>
        <v>3.5</v>
      </c>
      <c r="DJ29" s="207">
        <v>0</v>
      </c>
      <c r="DK29" s="207">
        <f t="shared" si="56"/>
        <v>0</v>
      </c>
      <c r="DL29" s="207">
        <v>0</v>
      </c>
      <c r="DM29" s="207">
        <f t="shared" si="57"/>
        <v>0</v>
      </c>
      <c r="DN29" s="207">
        <f t="shared" si="58"/>
        <v>3.5</v>
      </c>
      <c r="DO29" s="208">
        <f t="shared" si="59"/>
        <v>38.5</v>
      </c>
      <c r="DP29" s="205">
        <f t="shared" si="60"/>
        <v>9.2807222222222219</v>
      </c>
      <c r="DQ29" s="206" t="str">
        <f t="shared" si="61"/>
        <v>(0.86)</v>
      </c>
      <c r="DR29" s="207">
        <v>2</v>
      </c>
      <c r="DS29" s="207">
        <f t="shared" si="150"/>
        <v>3.5</v>
      </c>
      <c r="DT29" s="207">
        <v>0</v>
      </c>
      <c r="DU29" s="207">
        <f t="shared" si="62"/>
        <v>0</v>
      </c>
      <c r="DV29" s="207">
        <v>0</v>
      </c>
      <c r="DW29" s="207">
        <f t="shared" si="63"/>
        <v>0</v>
      </c>
      <c r="DX29" s="207">
        <f t="shared" si="64"/>
        <v>3.5</v>
      </c>
      <c r="DY29" s="208">
        <f t="shared" si="65"/>
        <v>44.5</v>
      </c>
      <c r="DZ29" s="205">
        <f t="shared" si="66"/>
        <v>10.323500000000001</v>
      </c>
      <c r="EA29" s="206" t="str">
        <f t="shared" si="67"/>
        <v>(0.96)</v>
      </c>
      <c r="EB29" s="207">
        <v>2</v>
      </c>
      <c r="EC29" s="207">
        <f t="shared" si="68"/>
        <v>3.5</v>
      </c>
      <c r="ED29" s="207">
        <v>0</v>
      </c>
      <c r="EE29" s="207">
        <f t="shared" si="69"/>
        <v>0</v>
      </c>
      <c r="EF29" s="207">
        <v>1</v>
      </c>
      <c r="EG29" s="207">
        <f t="shared" si="70"/>
        <v>1</v>
      </c>
      <c r="EH29" s="207">
        <f t="shared" si="71"/>
        <v>4.5</v>
      </c>
      <c r="EI29" s="208">
        <f t="shared" si="72"/>
        <v>49.5</v>
      </c>
      <c r="EJ29" s="205">
        <f t="shared" si="73"/>
        <v>11.574833333333334</v>
      </c>
      <c r="EK29" s="206" t="str">
        <f t="shared" si="74"/>
        <v>(1.08)</v>
      </c>
      <c r="EL29" s="207">
        <v>2</v>
      </c>
      <c r="EM29" s="207">
        <f t="shared" si="75"/>
        <v>3.5</v>
      </c>
      <c r="EN29" s="207">
        <v>0</v>
      </c>
      <c r="EO29" s="207">
        <f t="shared" si="76"/>
        <v>0</v>
      </c>
      <c r="EP29" s="207">
        <v>1</v>
      </c>
      <c r="EQ29" s="207">
        <f t="shared" si="77"/>
        <v>1</v>
      </c>
      <c r="ER29" s="207">
        <f t="shared" si="78"/>
        <v>4.5</v>
      </c>
      <c r="ES29" s="208">
        <f t="shared" si="79"/>
        <v>55.5</v>
      </c>
      <c r="ET29" s="205">
        <f t="shared" si="80"/>
        <v>12.826166666666667</v>
      </c>
      <c r="EU29" s="206" t="str">
        <f t="shared" si="81"/>
        <v>(1.19)</v>
      </c>
      <c r="EV29" s="207">
        <v>2</v>
      </c>
      <c r="EW29" s="207">
        <f t="shared" si="82"/>
        <v>3.5</v>
      </c>
      <c r="EX29" s="207">
        <v>0</v>
      </c>
      <c r="EY29" s="207">
        <f t="shared" si="83"/>
        <v>0</v>
      </c>
      <c r="EZ29" s="207">
        <v>1</v>
      </c>
      <c r="FA29" s="207">
        <f t="shared" si="84"/>
        <v>1</v>
      </c>
      <c r="FB29" s="207">
        <f t="shared" si="85"/>
        <v>4.5</v>
      </c>
      <c r="FC29" s="208">
        <f t="shared" si="86"/>
        <v>61.5</v>
      </c>
      <c r="FD29" s="205">
        <f t="shared" si="87"/>
        <v>14.286055555555556</v>
      </c>
      <c r="FE29" s="206" t="str">
        <f t="shared" si="88"/>
        <v>(1.33)</v>
      </c>
      <c r="FF29" s="207">
        <v>2</v>
      </c>
      <c r="FG29" s="207">
        <f t="shared" si="89"/>
        <v>3.5</v>
      </c>
      <c r="FH29" s="469">
        <v>0</v>
      </c>
      <c r="FI29" s="207">
        <f t="shared" si="90"/>
        <v>0</v>
      </c>
      <c r="FJ29" s="207">
        <v>0</v>
      </c>
      <c r="FK29" s="207">
        <f t="shared" si="91"/>
        <v>0</v>
      </c>
      <c r="FL29" s="207">
        <f t="shared" si="92"/>
        <v>3.5</v>
      </c>
      <c r="FM29" s="208">
        <f t="shared" si="93"/>
        <v>68.5</v>
      </c>
      <c r="FN29" s="205">
        <f t="shared" si="94"/>
        <v>15.302763888888888</v>
      </c>
      <c r="FO29" s="206" t="str">
        <f t="shared" si="95"/>
        <v>(1.42)</v>
      </c>
      <c r="FP29" s="207">
        <v>2</v>
      </c>
      <c r="FQ29" s="207">
        <f t="shared" si="96"/>
        <v>3.5</v>
      </c>
      <c r="FR29" s="207">
        <v>1</v>
      </c>
      <c r="FS29" s="207">
        <f t="shared" si="97"/>
        <v>1.125</v>
      </c>
      <c r="FT29" s="207">
        <v>0</v>
      </c>
      <c r="FU29" s="207">
        <f t="shared" si="98"/>
        <v>0</v>
      </c>
      <c r="FV29" s="207">
        <f t="shared" si="99"/>
        <v>4.625</v>
      </c>
      <c r="FW29" s="208">
        <f t="shared" si="100"/>
        <v>73.375</v>
      </c>
      <c r="FX29" s="205">
        <f t="shared" si="101"/>
        <v>16.554097222222222</v>
      </c>
      <c r="FY29" s="206" t="str">
        <f t="shared" si="102"/>
        <v>(1.54)</v>
      </c>
      <c r="FZ29" s="207">
        <v>2</v>
      </c>
      <c r="GA29" s="207">
        <f t="shared" si="103"/>
        <v>3.5</v>
      </c>
      <c r="GB29" s="207">
        <v>1</v>
      </c>
      <c r="GC29" s="207">
        <f t="shared" si="104"/>
        <v>1.125</v>
      </c>
      <c r="GD29" s="207">
        <v>0</v>
      </c>
      <c r="GE29" s="207">
        <f t="shared" si="105"/>
        <v>0</v>
      </c>
      <c r="GF29" s="207">
        <f t="shared" si="106"/>
        <v>4.625</v>
      </c>
      <c r="GG29" s="208">
        <f t="shared" si="107"/>
        <v>79.375</v>
      </c>
      <c r="GH29" s="205">
        <f t="shared" si="108"/>
        <v>17.805430555555557</v>
      </c>
      <c r="GI29" s="206" t="str">
        <f t="shared" si="109"/>
        <v>(1.65)</v>
      </c>
      <c r="GJ29" s="207">
        <v>2</v>
      </c>
      <c r="GK29" s="207">
        <f t="shared" si="110"/>
        <v>3.5</v>
      </c>
      <c r="GL29" s="207">
        <v>1</v>
      </c>
      <c r="GM29" s="207">
        <f t="shared" si="111"/>
        <v>1.125</v>
      </c>
      <c r="GN29" s="207">
        <v>0</v>
      </c>
      <c r="GO29" s="207">
        <f t="shared" si="112"/>
        <v>0</v>
      </c>
      <c r="GP29" s="207">
        <f t="shared" si="113"/>
        <v>4.625</v>
      </c>
      <c r="GQ29" s="208">
        <f t="shared" si="114"/>
        <v>85.375</v>
      </c>
      <c r="GR29" s="205">
        <f t="shared" si="115"/>
        <v>19.056763888888888</v>
      </c>
      <c r="GS29" s="206" t="str">
        <f t="shared" si="116"/>
        <v>(1.77)</v>
      </c>
      <c r="GT29" s="207">
        <v>2</v>
      </c>
      <c r="GU29" s="207">
        <f t="shared" si="117"/>
        <v>3.5</v>
      </c>
      <c r="GV29" s="207">
        <v>1</v>
      </c>
      <c r="GW29" s="207">
        <f t="shared" si="118"/>
        <v>1.125</v>
      </c>
      <c r="GX29" s="207">
        <v>0</v>
      </c>
      <c r="GY29" s="207">
        <f t="shared" si="119"/>
        <v>0</v>
      </c>
      <c r="GZ29" s="207">
        <f t="shared" si="120"/>
        <v>4.625</v>
      </c>
      <c r="HA29" s="208">
        <f t="shared" si="121"/>
        <v>91.375</v>
      </c>
      <c r="HB29" s="205">
        <f t="shared" si="122"/>
        <v>20.308097222222223</v>
      </c>
      <c r="HC29" s="206" t="str">
        <f t="shared" si="123"/>
        <v>(1.89)</v>
      </c>
      <c r="HD29" s="207">
        <v>2</v>
      </c>
      <c r="HE29" s="207">
        <f t="shared" si="124"/>
        <v>3.5</v>
      </c>
      <c r="HF29" s="207">
        <v>1</v>
      </c>
      <c r="HG29" s="207">
        <f t="shared" si="125"/>
        <v>1.125</v>
      </c>
      <c r="HH29" s="207">
        <v>0</v>
      </c>
      <c r="HI29" s="207">
        <f t="shared" si="126"/>
        <v>0</v>
      </c>
      <c r="HJ29" s="207">
        <f t="shared" si="127"/>
        <v>4.625</v>
      </c>
      <c r="HK29" s="208">
        <f t="shared" si="128"/>
        <v>97.375</v>
      </c>
      <c r="HL29" s="205">
        <f t="shared" si="129"/>
        <v>21.142319444444446</v>
      </c>
      <c r="HM29" s="206" t="str">
        <f t="shared" si="130"/>
        <v>(1.96)</v>
      </c>
      <c r="HN29" s="207">
        <v>2</v>
      </c>
      <c r="HO29" s="207">
        <f t="shared" si="131"/>
        <v>3.5</v>
      </c>
      <c r="HP29" s="207">
        <v>1</v>
      </c>
      <c r="HQ29" s="207">
        <f t="shared" si="132"/>
        <v>1.125</v>
      </c>
      <c r="HR29" s="207">
        <v>2</v>
      </c>
      <c r="HS29" s="207">
        <f t="shared" si="133"/>
        <v>2</v>
      </c>
      <c r="HT29" s="207">
        <f t="shared" si="134"/>
        <v>6.625</v>
      </c>
      <c r="HU29" s="208">
        <f t="shared" si="135"/>
        <v>101.375</v>
      </c>
      <c r="HV29" s="205">
        <f t="shared" si="136"/>
        <v>22.393652777777778</v>
      </c>
      <c r="HW29" s="206" t="str">
        <f t="shared" si="137"/>
        <v>(2.08)</v>
      </c>
      <c r="HX29" s="207">
        <v>2</v>
      </c>
      <c r="HY29" s="207">
        <f t="shared" si="138"/>
        <v>3.5</v>
      </c>
      <c r="HZ29" s="207">
        <v>1</v>
      </c>
      <c r="IA29" s="207">
        <f t="shared" si="139"/>
        <v>1.125</v>
      </c>
      <c r="IB29" s="207">
        <v>2</v>
      </c>
      <c r="IC29" s="207">
        <f t="shared" si="140"/>
        <v>2</v>
      </c>
      <c r="ID29" s="207">
        <f t="shared" si="141"/>
        <v>6.625</v>
      </c>
      <c r="IE29" s="208">
        <f t="shared" si="142"/>
        <v>107.375</v>
      </c>
      <c r="IF29" s="205">
        <f t="shared" si="143"/>
        <v>23.644986111111113</v>
      </c>
      <c r="IG29" s="206" t="str">
        <f t="shared" si="144"/>
        <v>(2.20)</v>
      </c>
      <c r="IH29" s="21">
        <v>2</v>
      </c>
      <c r="II29" s="21">
        <f t="shared" si="145"/>
        <v>3.5</v>
      </c>
      <c r="IJ29" s="21">
        <v>1</v>
      </c>
      <c r="IK29" s="21">
        <f t="shared" si="146"/>
        <v>1.125</v>
      </c>
      <c r="IL29" s="21">
        <v>2</v>
      </c>
      <c r="IM29" s="21">
        <f t="shared" si="147"/>
        <v>2</v>
      </c>
      <c r="IN29" s="21">
        <f t="shared" si="148"/>
        <v>6.625</v>
      </c>
      <c r="IO29" s="22">
        <f t="shared" si="149"/>
        <v>113.375</v>
      </c>
      <c r="IP29" s="23"/>
      <c r="IQ29" s="24">
        <v>11</v>
      </c>
      <c r="IR29" s="25">
        <v>2.65</v>
      </c>
      <c r="IS29" s="25">
        <v>2.65</v>
      </c>
      <c r="IT29" s="25">
        <v>0.88200000000000001</v>
      </c>
      <c r="IU29" s="25">
        <v>1.75</v>
      </c>
      <c r="IV29" s="25">
        <v>1</v>
      </c>
      <c r="IW29" s="25">
        <v>1.125</v>
      </c>
      <c r="IX29" s="7"/>
    </row>
    <row r="30" spans="2:258" ht="15.75" thickBot="1" x14ac:dyDescent="0.3">
      <c r="B30" s="79">
        <f t="shared" si="9"/>
        <v>78</v>
      </c>
      <c r="C30" s="147">
        <v>14</v>
      </c>
      <c r="D30" s="487"/>
      <c r="E30" s="488"/>
      <c r="F30" s="488"/>
      <c r="G30" s="488"/>
      <c r="H30" s="488"/>
      <c r="I30" s="488"/>
      <c r="J30" s="488"/>
      <c r="K30" s="488"/>
      <c r="L30" s="488"/>
      <c r="M30" s="488"/>
      <c r="N30" s="488"/>
      <c r="O30" s="488"/>
      <c r="P30" s="488"/>
      <c r="Q30" s="488"/>
      <c r="R30" s="488"/>
      <c r="S30" s="488"/>
      <c r="T30" s="488"/>
      <c r="U30" s="488"/>
      <c r="V30" s="488"/>
      <c r="W30" s="488"/>
      <c r="X30" s="76"/>
      <c r="Y30" s="46"/>
      <c r="AT30" s="3"/>
      <c r="AU30" s="26">
        <f t="shared" si="151"/>
        <v>60</v>
      </c>
      <c r="AV30" s="27" t="str">
        <f t="shared" si="10"/>
        <v>(1500)</v>
      </c>
      <c r="AW30" s="18"/>
      <c r="AX30" s="19">
        <f t="shared" si="11"/>
        <v>1.3957013888888887</v>
      </c>
      <c r="AY30" s="28" t="str">
        <f t="shared" si="12"/>
        <v>(0.13)</v>
      </c>
      <c r="AZ30" s="21">
        <v>2</v>
      </c>
      <c r="BA30" s="21">
        <f t="shared" si="13"/>
        <v>3.5</v>
      </c>
      <c r="BB30" s="29">
        <v>0</v>
      </c>
      <c r="BC30" s="21">
        <f t="shared" si="14"/>
        <v>0</v>
      </c>
      <c r="BD30" s="29">
        <v>0</v>
      </c>
      <c r="BE30" s="21">
        <f t="shared" si="15"/>
        <v>0</v>
      </c>
      <c r="BF30" s="21">
        <f t="shared" si="16"/>
        <v>3.5</v>
      </c>
      <c r="BG30" s="22">
        <f t="shared" si="17"/>
        <v>5.5</v>
      </c>
      <c r="BH30" s="205">
        <f t="shared" si="18"/>
        <v>2.1569930555555552</v>
      </c>
      <c r="BI30" s="206" t="str">
        <f t="shared" si="19"/>
        <v>(0.20)</v>
      </c>
      <c r="BJ30" s="207">
        <v>2</v>
      </c>
      <c r="BK30" s="207">
        <f t="shared" si="20"/>
        <v>3.5</v>
      </c>
      <c r="BL30" s="207">
        <v>0</v>
      </c>
      <c r="BM30" s="207">
        <f t="shared" si="21"/>
        <v>0</v>
      </c>
      <c r="BN30" s="207">
        <v>0</v>
      </c>
      <c r="BO30" s="207">
        <f t="shared" si="22"/>
        <v>0</v>
      </c>
      <c r="BP30" s="207">
        <f t="shared" si="23"/>
        <v>3.5</v>
      </c>
      <c r="BQ30" s="208">
        <f t="shared" si="24"/>
        <v>8.5</v>
      </c>
      <c r="BR30" s="205">
        <f t="shared" si="25"/>
        <v>3.6795763888888882</v>
      </c>
      <c r="BS30" s="206" t="str">
        <f t="shared" si="26"/>
        <v>(0.34)</v>
      </c>
      <c r="BT30" s="207">
        <v>2</v>
      </c>
      <c r="BU30" s="207">
        <f t="shared" si="27"/>
        <v>3.5</v>
      </c>
      <c r="BV30" s="207">
        <v>0</v>
      </c>
      <c r="BW30" s="207">
        <f t="shared" si="28"/>
        <v>0</v>
      </c>
      <c r="BX30" s="207">
        <v>0</v>
      </c>
      <c r="BY30" s="207">
        <f t="shared" si="29"/>
        <v>0</v>
      </c>
      <c r="BZ30" s="207">
        <f t="shared" si="30"/>
        <v>3.5</v>
      </c>
      <c r="CA30" s="208">
        <f t="shared" si="31"/>
        <v>14.5</v>
      </c>
      <c r="CB30" s="205">
        <f t="shared" si="32"/>
        <v>5.2021597222222216</v>
      </c>
      <c r="CC30" s="206" t="str">
        <f t="shared" si="33"/>
        <v>(0.48)</v>
      </c>
      <c r="CD30" s="207">
        <v>2</v>
      </c>
      <c r="CE30" s="207">
        <f t="shared" si="34"/>
        <v>3.5</v>
      </c>
      <c r="CF30" s="207">
        <v>0</v>
      </c>
      <c r="CG30" s="207">
        <f t="shared" si="35"/>
        <v>0</v>
      </c>
      <c r="CH30" s="207">
        <v>0</v>
      </c>
      <c r="CI30" s="207">
        <f t="shared" si="36"/>
        <v>0</v>
      </c>
      <c r="CJ30" s="207">
        <f t="shared" si="37"/>
        <v>3.5</v>
      </c>
      <c r="CK30" s="208">
        <f t="shared" si="38"/>
        <v>20.5</v>
      </c>
      <c r="CL30" s="205">
        <f t="shared" si="39"/>
        <v>6.7247430555555541</v>
      </c>
      <c r="CM30" s="206" t="str">
        <f t="shared" si="40"/>
        <v>(0.62)</v>
      </c>
      <c r="CN30" s="207">
        <v>2</v>
      </c>
      <c r="CO30" s="207">
        <f t="shared" si="41"/>
        <v>3.5</v>
      </c>
      <c r="CP30" s="207">
        <v>0</v>
      </c>
      <c r="CQ30" s="207">
        <f t="shared" si="42"/>
        <v>0</v>
      </c>
      <c r="CR30" s="207">
        <v>0</v>
      </c>
      <c r="CS30" s="207">
        <f t="shared" si="43"/>
        <v>0</v>
      </c>
      <c r="CT30" s="207">
        <f t="shared" si="44"/>
        <v>3.5</v>
      </c>
      <c r="CU30" s="208">
        <f t="shared" si="45"/>
        <v>26.5</v>
      </c>
      <c r="CV30" s="205">
        <f t="shared" si="46"/>
        <v>8.2473263888888866</v>
      </c>
      <c r="CW30" s="206" t="str">
        <f t="shared" si="47"/>
        <v>(0.77)</v>
      </c>
      <c r="CX30" s="207">
        <v>2</v>
      </c>
      <c r="CY30" s="207">
        <f t="shared" si="48"/>
        <v>3.5</v>
      </c>
      <c r="CZ30" s="207">
        <v>0</v>
      </c>
      <c r="DA30" s="207">
        <f t="shared" si="49"/>
        <v>0</v>
      </c>
      <c r="DB30" s="207">
        <v>0</v>
      </c>
      <c r="DC30" s="207">
        <f t="shared" si="50"/>
        <v>0</v>
      </c>
      <c r="DD30" s="207">
        <f t="shared" si="51"/>
        <v>3.5</v>
      </c>
      <c r="DE30" s="208">
        <f t="shared" si="52"/>
        <v>32.5</v>
      </c>
      <c r="DF30" s="205">
        <f t="shared" si="53"/>
        <v>9.76990972222222</v>
      </c>
      <c r="DG30" s="206" t="str">
        <f t="shared" si="54"/>
        <v>(0.91)</v>
      </c>
      <c r="DH30" s="207">
        <v>2</v>
      </c>
      <c r="DI30" s="207">
        <f t="shared" si="55"/>
        <v>3.5</v>
      </c>
      <c r="DJ30" s="207">
        <v>0</v>
      </c>
      <c r="DK30" s="207">
        <f t="shared" si="56"/>
        <v>0</v>
      </c>
      <c r="DL30" s="207">
        <v>0</v>
      </c>
      <c r="DM30" s="207">
        <f t="shared" si="57"/>
        <v>0</v>
      </c>
      <c r="DN30" s="207">
        <f t="shared" si="58"/>
        <v>3.5</v>
      </c>
      <c r="DO30" s="208">
        <f t="shared" si="59"/>
        <v>38.5</v>
      </c>
      <c r="DP30" s="205">
        <f t="shared" si="60"/>
        <v>11.292493055555553</v>
      </c>
      <c r="DQ30" s="206" t="str">
        <f t="shared" si="61"/>
        <v>(1.05)</v>
      </c>
      <c r="DR30" s="207">
        <v>2</v>
      </c>
      <c r="DS30" s="207">
        <f t="shared" si="150"/>
        <v>3.5</v>
      </c>
      <c r="DT30" s="207">
        <v>0</v>
      </c>
      <c r="DU30" s="207">
        <f t="shared" si="62"/>
        <v>0</v>
      </c>
      <c r="DV30" s="207">
        <v>0</v>
      </c>
      <c r="DW30" s="207">
        <f t="shared" si="63"/>
        <v>0</v>
      </c>
      <c r="DX30" s="207">
        <f t="shared" si="64"/>
        <v>3.5</v>
      </c>
      <c r="DY30" s="208">
        <f t="shared" si="65"/>
        <v>44.5</v>
      </c>
      <c r="DZ30" s="205">
        <f t="shared" si="66"/>
        <v>12.561312499999998</v>
      </c>
      <c r="EA30" s="206" t="str">
        <f t="shared" si="67"/>
        <v>(1.17)</v>
      </c>
      <c r="EB30" s="207">
        <v>2</v>
      </c>
      <c r="EC30" s="207">
        <f t="shared" si="68"/>
        <v>3.5</v>
      </c>
      <c r="ED30" s="207">
        <v>0</v>
      </c>
      <c r="EE30" s="207">
        <f t="shared" si="69"/>
        <v>0</v>
      </c>
      <c r="EF30" s="207">
        <v>1</v>
      </c>
      <c r="EG30" s="207">
        <f t="shared" si="70"/>
        <v>1</v>
      </c>
      <c r="EH30" s="207">
        <f t="shared" si="71"/>
        <v>4.5</v>
      </c>
      <c r="EI30" s="208">
        <f t="shared" si="72"/>
        <v>49.5</v>
      </c>
      <c r="EJ30" s="205">
        <f t="shared" si="73"/>
        <v>14.083895833333331</v>
      </c>
      <c r="EK30" s="206" t="str">
        <f t="shared" si="74"/>
        <v>(1.31)</v>
      </c>
      <c r="EL30" s="207">
        <v>2</v>
      </c>
      <c r="EM30" s="207">
        <f t="shared" si="75"/>
        <v>3.5</v>
      </c>
      <c r="EN30" s="207">
        <v>0</v>
      </c>
      <c r="EO30" s="207">
        <f t="shared" si="76"/>
        <v>0</v>
      </c>
      <c r="EP30" s="207">
        <v>1</v>
      </c>
      <c r="EQ30" s="207">
        <f t="shared" si="77"/>
        <v>1</v>
      </c>
      <c r="ER30" s="207">
        <f t="shared" si="78"/>
        <v>4.5</v>
      </c>
      <c r="ES30" s="208">
        <f t="shared" si="79"/>
        <v>55.5</v>
      </c>
      <c r="ET30" s="205">
        <f t="shared" si="80"/>
        <v>15.606479166666665</v>
      </c>
      <c r="EU30" s="206" t="str">
        <f t="shared" si="81"/>
        <v>(1.45)</v>
      </c>
      <c r="EV30" s="207">
        <v>2</v>
      </c>
      <c r="EW30" s="207">
        <f t="shared" si="82"/>
        <v>3.5</v>
      </c>
      <c r="EX30" s="207">
        <v>0</v>
      </c>
      <c r="EY30" s="207">
        <f t="shared" si="83"/>
        <v>0</v>
      </c>
      <c r="EZ30" s="207">
        <v>1</v>
      </c>
      <c r="FA30" s="207">
        <f t="shared" si="84"/>
        <v>1</v>
      </c>
      <c r="FB30" s="207">
        <f t="shared" si="85"/>
        <v>4.5</v>
      </c>
      <c r="FC30" s="208">
        <f t="shared" si="86"/>
        <v>61.5</v>
      </c>
      <c r="FD30" s="205">
        <f t="shared" si="87"/>
        <v>17.382826388888887</v>
      </c>
      <c r="FE30" s="206" t="str">
        <f t="shared" si="88"/>
        <v>(1.61)</v>
      </c>
      <c r="FF30" s="207">
        <v>2</v>
      </c>
      <c r="FG30" s="207">
        <f t="shared" si="89"/>
        <v>3.5</v>
      </c>
      <c r="FH30" s="469">
        <v>0</v>
      </c>
      <c r="FI30" s="207">
        <f t="shared" si="90"/>
        <v>0</v>
      </c>
      <c r="FJ30" s="207">
        <v>0</v>
      </c>
      <c r="FK30" s="207">
        <f t="shared" si="91"/>
        <v>0</v>
      </c>
      <c r="FL30" s="207">
        <f t="shared" si="92"/>
        <v>3.5</v>
      </c>
      <c r="FM30" s="208">
        <f t="shared" si="93"/>
        <v>68.5</v>
      </c>
      <c r="FN30" s="205">
        <f t="shared" si="94"/>
        <v>18.619925347222217</v>
      </c>
      <c r="FO30" s="206" t="str">
        <f t="shared" si="95"/>
        <v>(1.73)</v>
      </c>
      <c r="FP30" s="207">
        <v>2</v>
      </c>
      <c r="FQ30" s="207">
        <f t="shared" si="96"/>
        <v>3.5</v>
      </c>
      <c r="FR30" s="207">
        <v>1</v>
      </c>
      <c r="FS30" s="207">
        <f t="shared" si="97"/>
        <v>1.125</v>
      </c>
      <c r="FT30" s="207">
        <v>0</v>
      </c>
      <c r="FU30" s="207">
        <f t="shared" si="98"/>
        <v>0</v>
      </c>
      <c r="FV30" s="207">
        <f t="shared" si="99"/>
        <v>4.625</v>
      </c>
      <c r="FW30" s="208">
        <f t="shared" si="100"/>
        <v>73.375</v>
      </c>
      <c r="FX30" s="205">
        <f t="shared" si="101"/>
        <v>20.142508680555554</v>
      </c>
      <c r="FY30" s="206" t="str">
        <f t="shared" si="102"/>
        <v>(1.87)</v>
      </c>
      <c r="FZ30" s="207">
        <v>2</v>
      </c>
      <c r="GA30" s="207">
        <f t="shared" si="103"/>
        <v>3.5</v>
      </c>
      <c r="GB30" s="207">
        <v>1</v>
      </c>
      <c r="GC30" s="207">
        <f t="shared" si="104"/>
        <v>1.125</v>
      </c>
      <c r="GD30" s="207">
        <v>0</v>
      </c>
      <c r="GE30" s="207">
        <f t="shared" si="105"/>
        <v>0</v>
      </c>
      <c r="GF30" s="207">
        <f t="shared" si="106"/>
        <v>4.625</v>
      </c>
      <c r="GG30" s="208">
        <f t="shared" si="107"/>
        <v>79.375</v>
      </c>
      <c r="GH30" s="205">
        <f t="shared" si="108"/>
        <v>21.665092013888888</v>
      </c>
      <c r="GI30" s="206" t="str">
        <f t="shared" si="109"/>
        <v>(2.01)</v>
      </c>
      <c r="GJ30" s="207">
        <v>2</v>
      </c>
      <c r="GK30" s="207">
        <f t="shared" si="110"/>
        <v>3.5</v>
      </c>
      <c r="GL30" s="207">
        <v>1</v>
      </c>
      <c r="GM30" s="207">
        <f t="shared" si="111"/>
        <v>1.125</v>
      </c>
      <c r="GN30" s="207">
        <v>0</v>
      </c>
      <c r="GO30" s="207">
        <f t="shared" si="112"/>
        <v>0</v>
      </c>
      <c r="GP30" s="207">
        <f t="shared" si="113"/>
        <v>4.625</v>
      </c>
      <c r="GQ30" s="208">
        <f t="shared" si="114"/>
        <v>85.375</v>
      </c>
      <c r="GR30" s="205">
        <f t="shared" si="115"/>
        <v>23.187675347222221</v>
      </c>
      <c r="GS30" s="206" t="str">
        <f t="shared" si="116"/>
        <v>(2.15)</v>
      </c>
      <c r="GT30" s="207">
        <v>2</v>
      </c>
      <c r="GU30" s="207">
        <f t="shared" si="117"/>
        <v>3.5</v>
      </c>
      <c r="GV30" s="207">
        <v>1</v>
      </c>
      <c r="GW30" s="207">
        <f t="shared" si="118"/>
        <v>1.125</v>
      </c>
      <c r="GX30" s="207">
        <v>0</v>
      </c>
      <c r="GY30" s="207">
        <f t="shared" si="119"/>
        <v>0</v>
      </c>
      <c r="GZ30" s="207">
        <f t="shared" si="120"/>
        <v>4.625</v>
      </c>
      <c r="HA30" s="208">
        <f t="shared" si="121"/>
        <v>91.375</v>
      </c>
      <c r="HB30" s="205">
        <f t="shared" si="122"/>
        <v>24.710258680555555</v>
      </c>
      <c r="HC30" s="206" t="str">
        <f t="shared" si="123"/>
        <v>(2.30)</v>
      </c>
      <c r="HD30" s="207">
        <v>2</v>
      </c>
      <c r="HE30" s="207">
        <f t="shared" si="124"/>
        <v>3.5</v>
      </c>
      <c r="HF30" s="207">
        <v>1</v>
      </c>
      <c r="HG30" s="207">
        <f t="shared" si="125"/>
        <v>1.125</v>
      </c>
      <c r="HH30" s="207">
        <v>0</v>
      </c>
      <c r="HI30" s="207">
        <f t="shared" si="126"/>
        <v>0</v>
      </c>
      <c r="HJ30" s="207">
        <f t="shared" si="127"/>
        <v>4.625</v>
      </c>
      <c r="HK30" s="208">
        <f t="shared" si="128"/>
        <v>97.375</v>
      </c>
      <c r="HL30" s="205">
        <f t="shared" si="129"/>
        <v>25.725314236111107</v>
      </c>
      <c r="HM30" s="206" t="str">
        <f t="shared" si="130"/>
        <v>(2.39)</v>
      </c>
      <c r="HN30" s="207">
        <v>2</v>
      </c>
      <c r="HO30" s="207">
        <f t="shared" si="131"/>
        <v>3.5</v>
      </c>
      <c r="HP30" s="207">
        <v>1</v>
      </c>
      <c r="HQ30" s="207">
        <f t="shared" si="132"/>
        <v>1.125</v>
      </c>
      <c r="HR30" s="207">
        <v>2</v>
      </c>
      <c r="HS30" s="207">
        <f t="shared" si="133"/>
        <v>2</v>
      </c>
      <c r="HT30" s="207">
        <f t="shared" si="134"/>
        <v>6.625</v>
      </c>
      <c r="HU30" s="208">
        <f t="shared" si="135"/>
        <v>101.375</v>
      </c>
      <c r="HV30" s="205">
        <f t="shared" si="136"/>
        <v>27.24789756944444</v>
      </c>
      <c r="HW30" s="206" t="str">
        <f t="shared" si="137"/>
        <v>(2.53)</v>
      </c>
      <c r="HX30" s="207">
        <v>2</v>
      </c>
      <c r="HY30" s="207">
        <f t="shared" si="138"/>
        <v>3.5</v>
      </c>
      <c r="HZ30" s="207">
        <v>1</v>
      </c>
      <c r="IA30" s="207">
        <f t="shared" si="139"/>
        <v>1.125</v>
      </c>
      <c r="IB30" s="207">
        <v>2</v>
      </c>
      <c r="IC30" s="207">
        <f t="shared" si="140"/>
        <v>2</v>
      </c>
      <c r="ID30" s="207">
        <f t="shared" si="141"/>
        <v>6.625</v>
      </c>
      <c r="IE30" s="208">
        <f t="shared" si="142"/>
        <v>107.375</v>
      </c>
      <c r="IF30" s="205">
        <f t="shared" si="143"/>
        <v>28.770480902777777</v>
      </c>
      <c r="IG30" s="206" t="str">
        <f t="shared" si="144"/>
        <v>(2.67)</v>
      </c>
      <c r="IH30" s="21">
        <v>2</v>
      </c>
      <c r="II30" s="21">
        <f t="shared" si="145"/>
        <v>3.5</v>
      </c>
      <c r="IJ30" s="29">
        <v>1</v>
      </c>
      <c r="IK30" s="21">
        <f t="shared" si="146"/>
        <v>1.125</v>
      </c>
      <c r="IL30" s="21">
        <v>2</v>
      </c>
      <c r="IM30" s="21">
        <f t="shared" si="147"/>
        <v>2</v>
      </c>
      <c r="IN30" s="21">
        <f t="shared" si="148"/>
        <v>6.625</v>
      </c>
      <c r="IO30" s="22">
        <f t="shared" si="149"/>
        <v>113.375</v>
      </c>
      <c r="IP30" s="23"/>
      <c r="IQ30" s="24">
        <v>13</v>
      </c>
      <c r="IR30" s="25">
        <v>2.65</v>
      </c>
      <c r="IS30" s="25">
        <v>2.65</v>
      </c>
      <c r="IT30" s="25">
        <v>2.0920000000000001</v>
      </c>
      <c r="IU30" s="25">
        <v>1.75</v>
      </c>
      <c r="IV30" s="25">
        <v>1</v>
      </c>
      <c r="IW30" s="25">
        <v>1.125</v>
      </c>
      <c r="IX30" s="7"/>
    </row>
    <row r="31" spans="2:258" ht="15.75" thickBot="1" x14ac:dyDescent="0.3">
      <c r="B31" s="79">
        <f t="shared" si="9"/>
        <v>84</v>
      </c>
      <c r="C31" s="148">
        <v>15</v>
      </c>
      <c r="D31" s="487"/>
      <c r="E31" s="488"/>
      <c r="F31" s="488"/>
      <c r="G31" s="488"/>
      <c r="H31" s="488"/>
      <c r="I31" s="488"/>
      <c r="J31" s="488"/>
      <c r="K31" s="488"/>
      <c r="L31" s="488"/>
      <c r="M31" s="488"/>
      <c r="N31" s="488"/>
      <c r="O31" s="488"/>
      <c r="P31" s="488"/>
      <c r="Q31" s="488"/>
      <c r="R31" s="488"/>
      <c r="S31" s="488"/>
      <c r="T31" s="488"/>
      <c r="U31" s="488"/>
      <c r="V31" s="488"/>
      <c r="W31" s="488"/>
      <c r="X31" s="76"/>
      <c r="Y31" s="46"/>
      <c r="AT31" s="3"/>
      <c r="AU31" s="13">
        <f t="shared" si="151"/>
        <v>66</v>
      </c>
      <c r="AV31" s="11" t="str">
        <f t="shared" si="10"/>
        <v>(1700)</v>
      </c>
      <c r="AW31" s="18"/>
      <c r="AX31" s="19">
        <f t="shared" si="11"/>
        <v>1.5519166666666666</v>
      </c>
      <c r="AY31" s="20" t="str">
        <f t="shared" si="12"/>
        <v>(0.14)</v>
      </c>
      <c r="AZ31" s="21">
        <v>2</v>
      </c>
      <c r="BA31" s="21">
        <f t="shared" si="13"/>
        <v>3.5</v>
      </c>
      <c r="BB31" s="21">
        <v>0</v>
      </c>
      <c r="BC31" s="21">
        <f t="shared" si="14"/>
        <v>0</v>
      </c>
      <c r="BD31" s="21">
        <v>0</v>
      </c>
      <c r="BE31" s="21">
        <f t="shared" si="15"/>
        <v>0</v>
      </c>
      <c r="BF31" s="21">
        <f t="shared" si="16"/>
        <v>3.5</v>
      </c>
      <c r="BG31" s="22">
        <f t="shared" si="17"/>
        <v>5.5</v>
      </c>
      <c r="BH31" s="205">
        <f t="shared" si="18"/>
        <v>2.3984166666666664</v>
      </c>
      <c r="BI31" s="206" t="str">
        <f t="shared" si="19"/>
        <v>(0.22)</v>
      </c>
      <c r="BJ31" s="207">
        <v>2</v>
      </c>
      <c r="BK31" s="207">
        <f t="shared" si="20"/>
        <v>3.5</v>
      </c>
      <c r="BL31" s="207">
        <v>0</v>
      </c>
      <c r="BM31" s="207">
        <f t="shared" si="21"/>
        <v>0</v>
      </c>
      <c r="BN31" s="207">
        <v>0</v>
      </c>
      <c r="BO31" s="207">
        <f t="shared" si="22"/>
        <v>0</v>
      </c>
      <c r="BP31" s="207">
        <f t="shared" si="23"/>
        <v>3.5</v>
      </c>
      <c r="BQ31" s="208">
        <f t="shared" si="24"/>
        <v>8.5</v>
      </c>
      <c r="BR31" s="205">
        <f t="shared" si="25"/>
        <v>4.0914166666666665</v>
      </c>
      <c r="BS31" s="206" t="str">
        <f t="shared" si="26"/>
        <v>(0.38)</v>
      </c>
      <c r="BT31" s="207">
        <v>2</v>
      </c>
      <c r="BU31" s="207">
        <f t="shared" si="27"/>
        <v>3.5</v>
      </c>
      <c r="BV31" s="207">
        <v>0</v>
      </c>
      <c r="BW31" s="207">
        <f t="shared" si="28"/>
        <v>0</v>
      </c>
      <c r="BX31" s="207">
        <v>0</v>
      </c>
      <c r="BY31" s="207">
        <f t="shared" si="29"/>
        <v>0</v>
      </c>
      <c r="BZ31" s="207">
        <f t="shared" si="30"/>
        <v>3.5</v>
      </c>
      <c r="CA31" s="208">
        <f t="shared" si="31"/>
        <v>14.5</v>
      </c>
      <c r="CB31" s="205">
        <f t="shared" si="32"/>
        <v>5.7844166666666661</v>
      </c>
      <c r="CC31" s="206" t="str">
        <f t="shared" si="33"/>
        <v>(0.54)</v>
      </c>
      <c r="CD31" s="207">
        <v>2</v>
      </c>
      <c r="CE31" s="207">
        <f t="shared" si="34"/>
        <v>3.5</v>
      </c>
      <c r="CF31" s="207">
        <v>0</v>
      </c>
      <c r="CG31" s="207">
        <f t="shared" si="35"/>
        <v>0</v>
      </c>
      <c r="CH31" s="207">
        <v>0</v>
      </c>
      <c r="CI31" s="207">
        <f t="shared" si="36"/>
        <v>0</v>
      </c>
      <c r="CJ31" s="207">
        <f t="shared" si="37"/>
        <v>3.5</v>
      </c>
      <c r="CK31" s="208">
        <f t="shared" si="38"/>
        <v>20.5</v>
      </c>
      <c r="CL31" s="205">
        <f t="shared" si="39"/>
        <v>7.4774166666666666</v>
      </c>
      <c r="CM31" s="206" t="str">
        <f t="shared" si="40"/>
        <v>(0.69)</v>
      </c>
      <c r="CN31" s="207">
        <v>2</v>
      </c>
      <c r="CO31" s="207">
        <f t="shared" si="41"/>
        <v>3.5</v>
      </c>
      <c r="CP31" s="207">
        <v>0</v>
      </c>
      <c r="CQ31" s="207">
        <f t="shared" si="42"/>
        <v>0</v>
      </c>
      <c r="CR31" s="207">
        <v>0</v>
      </c>
      <c r="CS31" s="207">
        <f t="shared" si="43"/>
        <v>0</v>
      </c>
      <c r="CT31" s="207">
        <f t="shared" si="44"/>
        <v>3.5</v>
      </c>
      <c r="CU31" s="208">
        <f t="shared" si="45"/>
        <v>26.5</v>
      </c>
      <c r="CV31" s="205">
        <f t="shared" si="46"/>
        <v>9.1704166666666662</v>
      </c>
      <c r="CW31" s="206" t="str">
        <f t="shared" si="47"/>
        <v>(0.85)</v>
      </c>
      <c r="CX31" s="207">
        <v>2</v>
      </c>
      <c r="CY31" s="207">
        <f t="shared" si="48"/>
        <v>3.5</v>
      </c>
      <c r="CZ31" s="207">
        <v>0</v>
      </c>
      <c r="DA31" s="207">
        <f t="shared" si="49"/>
        <v>0</v>
      </c>
      <c r="DB31" s="207">
        <v>0</v>
      </c>
      <c r="DC31" s="207">
        <f t="shared" si="50"/>
        <v>0</v>
      </c>
      <c r="DD31" s="207">
        <f t="shared" si="51"/>
        <v>3.5</v>
      </c>
      <c r="DE31" s="208">
        <f t="shared" si="52"/>
        <v>32.5</v>
      </c>
      <c r="DF31" s="205">
        <f t="shared" si="53"/>
        <v>10.863416666666666</v>
      </c>
      <c r="DG31" s="206" t="str">
        <f t="shared" si="54"/>
        <v>(1.01)</v>
      </c>
      <c r="DH31" s="207">
        <v>2</v>
      </c>
      <c r="DI31" s="207">
        <f t="shared" si="55"/>
        <v>3.5</v>
      </c>
      <c r="DJ31" s="207">
        <v>0</v>
      </c>
      <c r="DK31" s="207">
        <f t="shared" si="56"/>
        <v>0</v>
      </c>
      <c r="DL31" s="207">
        <v>0</v>
      </c>
      <c r="DM31" s="207">
        <f t="shared" si="57"/>
        <v>0</v>
      </c>
      <c r="DN31" s="207">
        <f t="shared" si="58"/>
        <v>3.5</v>
      </c>
      <c r="DO31" s="208">
        <f t="shared" si="59"/>
        <v>38.5</v>
      </c>
      <c r="DP31" s="205">
        <f t="shared" si="60"/>
        <v>12.556416666666665</v>
      </c>
      <c r="DQ31" s="206" t="str">
        <f t="shared" si="61"/>
        <v>(1.17)</v>
      </c>
      <c r="DR31" s="207">
        <v>2</v>
      </c>
      <c r="DS31" s="207">
        <f t="shared" si="150"/>
        <v>3.5</v>
      </c>
      <c r="DT31" s="207">
        <v>0</v>
      </c>
      <c r="DU31" s="207">
        <f t="shared" si="62"/>
        <v>0</v>
      </c>
      <c r="DV31" s="207">
        <v>0</v>
      </c>
      <c r="DW31" s="207">
        <f t="shared" si="63"/>
        <v>0</v>
      </c>
      <c r="DX31" s="207">
        <f t="shared" si="64"/>
        <v>3.5</v>
      </c>
      <c r="DY31" s="208">
        <f t="shared" si="65"/>
        <v>44.5</v>
      </c>
      <c r="DZ31" s="205">
        <f t="shared" si="66"/>
        <v>13.96725</v>
      </c>
      <c r="EA31" s="206" t="str">
        <f t="shared" si="67"/>
        <v>(1.30)</v>
      </c>
      <c r="EB31" s="207">
        <v>2</v>
      </c>
      <c r="EC31" s="207">
        <f t="shared" si="68"/>
        <v>3.5</v>
      </c>
      <c r="ED31" s="207">
        <v>0</v>
      </c>
      <c r="EE31" s="207">
        <f t="shared" si="69"/>
        <v>0</v>
      </c>
      <c r="EF31" s="207">
        <v>1</v>
      </c>
      <c r="EG31" s="207">
        <f t="shared" si="70"/>
        <v>1</v>
      </c>
      <c r="EH31" s="207">
        <f t="shared" si="71"/>
        <v>4.5</v>
      </c>
      <c r="EI31" s="208">
        <f t="shared" si="72"/>
        <v>49.5</v>
      </c>
      <c r="EJ31" s="205">
        <f t="shared" si="73"/>
        <v>15.66025</v>
      </c>
      <c r="EK31" s="206" t="str">
        <f t="shared" si="74"/>
        <v>(1.45)</v>
      </c>
      <c r="EL31" s="207">
        <v>2</v>
      </c>
      <c r="EM31" s="207">
        <f t="shared" si="75"/>
        <v>3.5</v>
      </c>
      <c r="EN31" s="207">
        <v>0</v>
      </c>
      <c r="EO31" s="207">
        <f t="shared" si="76"/>
        <v>0</v>
      </c>
      <c r="EP31" s="207">
        <v>1</v>
      </c>
      <c r="EQ31" s="207">
        <f t="shared" si="77"/>
        <v>1</v>
      </c>
      <c r="ER31" s="207">
        <f t="shared" si="78"/>
        <v>4.5</v>
      </c>
      <c r="ES31" s="208">
        <f t="shared" si="79"/>
        <v>55.5</v>
      </c>
      <c r="ET31" s="205">
        <f t="shared" si="80"/>
        <v>17.353249999999999</v>
      </c>
      <c r="EU31" s="206" t="str">
        <f t="shared" si="81"/>
        <v>(1.61)</v>
      </c>
      <c r="EV31" s="207">
        <v>2</v>
      </c>
      <c r="EW31" s="207">
        <f t="shared" si="82"/>
        <v>3.5</v>
      </c>
      <c r="EX31" s="207">
        <v>0</v>
      </c>
      <c r="EY31" s="207">
        <f t="shared" si="83"/>
        <v>0</v>
      </c>
      <c r="EZ31" s="207">
        <v>1</v>
      </c>
      <c r="FA31" s="207">
        <f t="shared" si="84"/>
        <v>1</v>
      </c>
      <c r="FB31" s="207">
        <f t="shared" si="85"/>
        <v>4.5</v>
      </c>
      <c r="FC31" s="208">
        <f t="shared" si="86"/>
        <v>61.5</v>
      </c>
      <c r="FD31" s="205">
        <f t="shared" si="87"/>
        <v>19.328416666666666</v>
      </c>
      <c r="FE31" s="206" t="str">
        <f t="shared" si="88"/>
        <v>(1.80)</v>
      </c>
      <c r="FF31" s="207">
        <v>2</v>
      </c>
      <c r="FG31" s="207">
        <f t="shared" si="89"/>
        <v>3.5</v>
      </c>
      <c r="FH31" s="469">
        <v>0</v>
      </c>
      <c r="FI31" s="207">
        <f t="shared" si="90"/>
        <v>0</v>
      </c>
      <c r="FJ31" s="207">
        <v>0</v>
      </c>
      <c r="FK31" s="207">
        <f t="shared" si="91"/>
        <v>0</v>
      </c>
      <c r="FL31" s="207">
        <f t="shared" si="92"/>
        <v>3.5</v>
      </c>
      <c r="FM31" s="208">
        <f t="shared" si="93"/>
        <v>68.5</v>
      </c>
      <c r="FN31" s="205">
        <f t="shared" si="94"/>
        <v>20.703979166666667</v>
      </c>
      <c r="FO31" s="206" t="str">
        <f t="shared" si="95"/>
        <v>(1.92)</v>
      </c>
      <c r="FP31" s="207">
        <v>2</v>
      </c>
      <c r="FQ31" s="207">
        <f t="shared" si="96"/>
        <v>3.5</v>
      </c>
      <c r="FR31" s="207">
        <v>1</v>
      </c>
      <c r="FS31" s="207">
        <f t="shared" si="97"/>
        <v>1.125</v>
      </c>
      <c r="FT31" s="207">
        <v>0</v>
      </c>
      <c r="FU31" s="207">
        <f t="shared" si="98"/>
        <v>0</v>
      </c>
      <c r="FV31" s="207">
        <f t="shared" si="99"/>
        <v>4.625</v>
      </c>
      <c r="FW31" s="208">
        <f t="shared" si="100"/>
        <v>73.375</v>
      </c>
      <c r="FX31" s="205">
        <f t="shared" si="101"/>
        <v>22.396979166666668</v>
      </c>
      <c r="FY31" s="206" t="str">
        <f t="shared" si="102"/>
        <v>(2.08)</v>
      </c>
      <c r="FZ31" s="207">
        <v>2</v>
      </c>
      <c r="GA31" s="207">
        <f t="shared" si="103"/>
        <v>3.5</v>
      </c>
      <c r="GB31" s="207">
        <v>1</v>
      </c>
      <c r="GC31" s="207">
        <f t="shared" si="104"/>
        <v>1.125</v>
      </c>
      <c r="GD31" s="207">
        <v>0</v>
      </c>
      <c r="GE31" s="207">
        <f t="shared" si="105"/>
        <v>0</v>
      </c>
      <c r="GF31" s="207">
        <f t="shared" si="106"/>
        <v>4.625</v>
      </c>
      <c r="GG31" s="208">
        <f t="shared" si="107"/>
        <v>79.375</v>
      </c>
      <c r="GH31" s="205">
        <f t="shared" si="108"/>
        <v>24.089979166666666</v>
      </c>
      <c r="GI31" s="206" t="str">
        <f t="shared" si="109"/>
        <v>(2.24)</v>
      </c>
      <c r="GJ31" s="207">
        <v>2</v>
      </c>
      <c r="GK31" s="207">
        <f t="shared" si="110"/>
        <v>3.5</v>
      </c>
      <c r="GL31" s="207">
        <v>1</v>
      </c>
      <c r="GM31" s="207">
        <f t="shared" si="111"/>
        <v>1.125</v>
      </c>
      <c r="GN31" s="207">
        <v>0</v>
      </c>
      <c r="GO31" s="207">
        <f t="shared" si="112"/>
        <v>0</v>
      </c>
      <c r="GP31" s="207">
        <f t="shared" si="113"/>
        <v>4.625</v>
      </c>
      <c r="GQ31" s="208">
        <f t="shared" si="114"/>
        <v>85.375</v>
      </c>
      <c r="GR31" s="205">
        <f t="shared" si="115"/>
        <v>25.782979166666664</v>
      </c>
      <c r="GS31" s="206" t="str">
        <f t="shared" si="116"/>
        <v>(2.40)</v>
      </c>
      <c r="GT31" s="207">
        <v>2</v>
      </c>
      <c r="GU31" s="207">
        <f t="shared" si="117"/>
        <v>3.5</v>
      </c>
      <c r="GV31" s="207">
        <v>1</v>
      </c>
      <c r="GW31" s="207">
        <f t="shared" si="118"/>
        <v>1.125</v>
      </c>
      <c r="GX31" s="207">
        <v>0</v>
      </c>
      <c r="GY31" s="207">
        <f t="shared" si="119"/>
        <v>0</v>
      </c>
      <c r="GZ31" s="207">
        <f t="shared" si="120"/>
        <v>4.625</v>
      </c>
      <c r="HA31" s="208">
        <f t="shared" si="121"/>
        <v>91.375</v>
      </c>
      <c r="HB31" s="205">
        <f t="shared" si="122"/>
        <v>27.475979166666665</v>
      </c>
      <c r="HC31" s="206" t="str">
        <f t="shared" si="123"/>
        <v>(2.55)</v>
      </c>
      <c r="HD31" s="207">
        <v>2</v>
      </c>
      <c r="HE31" s="207">
        <f t="shared" si="124"/>
        <v>3.5</v>
      </c>
      <c r="HF31" s="207">
        <v>1</v>
      </c>
      <c r="HG31" s="207">
        <f t="shared" si="125"/>
        <v>1.125</v>
      </c>
      <c r="HH31" s="207">
        <v>0</v>
      </c>
      <c r="HI31" s="207">
        <f t="shared" si="126"/>
        <v>0</v>
      </c>
      <c r="HJ31" s="207">
        <f t="shared" si="127"/>
        <v>4.625</v>
      </c>
      <c r="HK31" s="208">
        <f t="shared" si="128"/>
        <v>97.375</v>
      </c>
      <c r="HL31" s="205">
        <f t="shared" si="129"/>
        <v>28.604645833333329</v>
      </c>
      <c r="HM31" s="206" t="str">
        <f t="shared" si="130"/>
        <v>(2.66)</v>
      </c>
      <c r="HN31" s="207">
        <v>2</v>
      </c>
      <c r="HO31" s="207">
        <f t="shared" si="131"/>
        <v>3.5</v>
      </c>
      <c r="HP31" s="207">
        <v>1</v>
      </c>
      <c r="HQ31" s="207">
        <f t="shared" si="132"/>
        <v>1.125</v>
      </c>
      <c r="HR31" s="207">
        <v>2</v>
      </c>
      <c r="HS31" s="207">
        <f t="shared" si="133"/>
        <v>2</v>
      </c>
      <c r="HT31" s="207">
        <f t="shared" si="134"/>
        <v>6.625</v>
      </c>
      <c r="HU31" s="208">
        <f t="shared" si="135"/>
        <v>101.375</v>
      </c>
      <c r="HV31" s="205">
        <f t="shared" si="136"/>
        <v>30.297645833333334</v>
      </c>
      <c r="HW31" s="206" t="str">
        <f t="shared" si="137"/>
        <v>(2.81)</v>
      </c>
      <c r="HX31" s="207">
        <v>2</v>
      </c>
      <c r="HY31" s="207">
        <f t="shared" si="138"/>
        <v>3.5</v>
      </c>
      <c r="HZ31" s="207">
        <v>1</v>
      </c>
      <c r="IA31" s="207">
        <f t="shared" si="139"/>
        <v>1.125</v>
      </c>
      <c r="IB31" s="207">
        <v>2</v>
      </c>
      <c r="IC31" s="207">
        <f t="shared" si="140"/>
        <v>2</v>
      </c>
      <c r="ID31" s="207">
        <f t="shared" si="141"/>
        <v>6.625</v>
      </c>
      <c r="IE31" s="208">
        <f t="shared" si="142"/>
        <v>107.375</v>
      </c>
      <c r="IF31" s="205">
        <f t="shared" si="143"/>
        <v>31.990645833333328</v>
      </c>
      <c r="IG31" s="206" t="str">
        <f t="shared" si="144"/>
        <v>(2.97)</v>
      </c>
      <c r="IH31" s="21">
        <v>2</v>
      </c>
      <c r="II31" s="21">
        <f t="shared" si="145"/>
        <v>3.5</v>
      </c>
      <c r="IJ31" s="21">
        <v>1</v>
      </c>
      <c r="IK31" s="21">
        <f t="shared" si="146"/>
        <v>1.125</v>
      </c>
      <c r="IL31" s="21">
        <v>2</v>
      </c>
      <c r="IM31" s="21">
        <f t="shared" si="147"/>
        <v>2</v>
      </c>
      <c r="IN31" s="21">
        <f t="shared" si="148"/>
        <v>6.625</v>
      </c>
      <c r="IO31" s="22">
        <f t="shared" si="149"/>
        <v>113.375</v>
      </c>
      <c r="IP31" s="23"/>
      <c r="IQ31" s="24">
        <v>15</v>
      </c>
      <c r="IR31" s="25">
        <v>2.65</v>
      </c>
      <c r="IS31" s="25">
        <v>2.65</v>
      </c>
      <c r="IT31" s="25">
        <v>0.88200000000000001</v>
      </c>
      <c r="IU31" s="25">
        <v>1.75</v>
      </c>
      <c r="IV31" s="25">
        <v>1</v>
      </c>
      <c r="IW31" s="25">
        <v>1.125</v>
      </c>
      <c r="IX31" s="7"/>
    </row>
    <row r="32" spans="2:258" ht="15.75" thickBot="1" x14ac:dyDescent="0.3">
      <c r="B32" s="79">
        <f t="shared" si="9"/>
        <v>90</v>
      </c>
      <c r="C32" s="147">
        <v>16</v>
      </c>
      <c r="D32" s="487"/>
      <c r="E32" s="488"/>
      <c r="F32" s="488"/>
      <c r="G32" s="488"/>
      <c r="H32" s="488"/>
      <c r="I32" s="488"/>
      <c r="J32" s="488"/>
      <c r="K32" s="488"/>
      <c r="L32" s="488"/>
      <c r="M32" s="488"/>
      <c r="N32" s="488"/>
      <c r="O32" s="488"/>
      <c r="P32" s="488"/>
      <c r="Q32" s="488"/>
      <c r="R32" s="488"/>
      <c r="S32" s="488"/>
      <c r="T32" s="488"/>
      <c r="U32" s="488"/>
      <c r="V32" s="488"/>
      <c r="W32" s="488"/>
      <c r="X32" s="76"/>
      <c r="Y32" s="46"/>
      <c r="AT32" s="3"/>
      <c r="AU32" s="13">
        <f t="shared" si="151"/>
        <v>72</v>
      </c>
      <c r="AV32" s="11" t="str">
        <f t="shared" si="10"/>
        <v>(1850)</v>
      </c>
      <c r="AW32" s="18"/>
      <c r="AX32" s="19">
        <f t="shared" si="11"/>
        <v>1.6993472222222221</v>
      </c>
      <c r="AY32" s="20" t="str">
        <f t="shared" si="12"/>
        <v>(0.16)</v>
      </c>
      <c r="AZ32" s="21">
        <v>2</v>
      </c>
      <c r="BA32" s="21">
        <f t="shared" si="13"/>
        <v>3.5</v>
      </c>
      <c r="BB32" s="21">
        <v>0</v>
      </c>
      <c r="BC32" s="21">
        <f t="shared" si="14"/>
        <v>0</v>
      </c>
      <c r="BD32" s="21">
        <v>0</v>
      </c>
      <c r="BE32" s="21">
        <f t="shared" si="15"/>
        <v>0</v>
      </c>
      <c r="BF32" s="21">
        <f t="shared" si="16"/>
        <v>3.5</v>
      </c>
      <c r="BG32" s="22">
        <f t="shared" si="17"/>
        <v>5.5</v>
      </c>
      <c r="BH32" s="205">
        <f t="shared" si="18"/>
        <v>2.6262638888888885</v>
      </c>
      <c r="BI32" s="206" t="str">
        <f t="shared" si="19"/>
        <v>(0.24)</v>
      </c>
      <c r="BJ32" s="207">
        <v>2</v>
      </c>
      <c r="BK32" s="207">
        <f t="shared" si="20"/>
        <v>3.5</v>
      </c>
      <c r="BL32" s="207">
        <v>0</v>
      </c>
      <c r="BM32" s="207">
        <f t="shared" si="21"/>
        <v>0</v>
      </c>
      <c r="BN32" s="207">
        <v>0</v>
      </c>
      <c r="BO32" s="207">
        <f t="shared" si="22"/>
        <v>0</v>
      </c>
      <c r="BP32" s="207">
        <f t="shared" si="23"/>
        <v>3.5</v>
      </c>
      <c r="BQ32" s="208">
        <f t="shared" si="24"/>
        <v>8.5</v>
      </c>
      <c r="BR32" s="205">
        <f t="shared" si="25"/>
        <v>4.4800972222222226</v>
      </c>
      <c r="BS32" s="206" t="str">
        <f t="shared" si="26"/>
        <v>(0.42)</v>
      </c>
      <c r="BT32" s="207">
        <v>2</v>
      </c>
      <c r="BU32" s="207">
        <f t="shared" si="27"/>
        <v>3.5</v>
      </c>
      <c r="BV32" s="207">
        <v>0</v>
      </c>
      <c r="BW32" s="207">
        <f t="shared" si="28"/>
        <v>0</v>
      </c>
      <c r="BX32" s="207">
        <v>0</v>
      </c>
      <c r="BY32" s="207">
        <f t="shared" si="29"/>
        <v>0</v>
      </c>
      <c r="BZ32" s="207">
        <f t="shared" si="30"/>
        <v>3.5</v>
      </c>
      <c r="CA32" s="208">
        <f t="shared" si="31"/>
        <v>14.5</v>
      </c>
      <c r="CB32" s="205">
        <f t="shared" si="32"/>
        <v>6.333930555555555</v>
      </c>
      <c r="CC32" s="206" t="str">
        <f t="shared" si="33"/>
        <v>(0.59)</v>
      </c>
      <c r="CD32" s="207">
        <v>2</v>
      </c>
      <c r="CE32" s="207">
        <f t="shared" si="34"/>
        <v>3.5</v>
      </c>
      <c r="CF32" s="207">
        <v>0</v>
      </c>
      <c r="CG32" s="207">
        <f t="shared" si="35"/>
        <v>0</v>
      </c>
      <c r="CH32" s="207">
        <v>0</v>
      </c>
      <c r="CI32" s="207">
        <f t="shared" si="36"/>
        <v>0</v>
      </c>
      <c r="CJ32" s="207">
        <f t="shared" si="37"/>
        <v>3.5</v>
      </c>
      <c r="CK32" s="208">
        <f t="shared" si="38"/>
        <v>20.5</v>
      </c>
      <c r="CL32" s="205">
        <f t="shared" si="39"/>
        <v>8.1877638888888882</v>
      </c>
      <c r="CM32" s="206" t="str">
        <f t="shared" si="40"/>
        <v>(0.76)</v>
      </c>
      <c r="CN32" s="207">
        <v>2</v>
      </c>
      <c r="CO32" s="207">
        <f t="shared" si="41"/>
        <v>3.5</v>
      </c>
      <c r="CP32" s="207">
        <v>0</v>
      </c>
      <c r="CQ32" s="207">
        <f t="shared" si="42"/>
        <v>0</v>
      </c>
      <c r="CR32" s="207">
        <v>0</v>
      </c>
      <c r="CS32" s="207">
        <f t="shared" si="43"/>
        <v>0</v>
      </c>
      <c r="CT32" s="207">
        <f t="shared" si="44"/>
        <v>3.5</v>
      </c>
      <c r="CU32" s="208">
        <f t="shared" si="45"/>
        <v>26.5</v>
      </c>
      <c r="CV32" s="205">
        <f t="shared" si="46"/>
        <v>10.041597222222222</v>
      </c>
      <c r="CW32" s="206" t="str">
        <f t="shared" si="47"/>
        <v>(0.93)</v>
      </c>
      <c r="CX32" s="207">
        <v>2</v>
      </c>
      <c r="CY32" s="207">
        <f t="shared" si="48"/>
        <v>3.5</v>
      </c>
      <c r="CZ32" s="207">
        <v>0</v>
      </c>
      <c r="DA32" s="207">
        <f t="shared" si="49"/>
        <v>0</v>
      </c>
      <c r="DB32" s="207">
        <v>0</v>
      </c>
      <c r="DC32" s="207">
        <f t="shared" si="50"/>
        <v>0</v>
      </c>
      <c r="DD32" s="207">
        <f t="shared" si="51"/>
        <v>3.5</v>
      </c>
      <c r="DE32" s="208">
        <f t="shared" si="52"/>
        <v>32.5</v>
      </c>
      <c r="DF32" s="205">
        <f t="shared" si="53"/>
        <v>11.895430555555556</v>
      </c>
      <c r="DG32" s="206" t="str">
        <f t="shared" si="54"/>
        <v>(1.11)</v>
      </c>
      <c r="DH32" s="207">
        <v>2</v>
      </c>
      <c r="DI32" s="207">
        <f t="shared" si="55"/>
        <v>3.5</v>
      </c>
      <c r="DJ32" s="207">
        <v>0</v>
      </c>
      <c r="DK32" s="207">
        <f t="shared" si="56"/>
        <v>0</v>
      </c>
      <c r="DL32" s="207">
        <v>0</v>
      </c>
      <c r="DM32" s="207">
        <f t="shared" si="57"/>
        <v>0</v>
      </c>
      <c r="DN32" s="207">
        <f t="shared" si="58"/>
        <v>3.5</v>
      </c>
      <c r="DO32" s="208">
        <f t="shared" si="59"/>
        <v>38.5</v>
      </c>
      <c r="DP32" s="205">
        <f t="shared" si="60"/>
        <v>13.749263888888887</v>
      </c>
      <c r="DQ32" s="206" t="str">
        <f t="shared" si="61"/>
        <v>(1.28)</v>
      </c>
      <c r="DR32" s="207">
        <v>2</v>
      </c>
      <c r="DS32" s="207">
        <f t="shared" si="150"/>
        <v>3.5</v>
      </c>
      <c r="DT32" s="207">
        <v>0</v>
      </c>
      <c r="DU32" s="207">
        <f t="shared" si="62"/>
        <v>0</v>
      </c>
      <c r="DV32" s="207">
        <v>0</v>
      </c>
      <c r="DW32" s="207">
        <f t="shared" si="63"/>
        <v>0</v>
      </c>
      <c r="DX32" s="207">
        <f t="shared" si="64"/>
        <v>3.5</v>
      </c>
      <c r="DY32" s="208">
        <f t="shared" si="65"/>
        <v>44.5</v>
      </c>
      <c r="DZ32" s="205">
        <f t="shared" si="66"/>
        <v>15.294124999999999</v>
      </c>
      <c r="EA32" s="206" t="str">
        <f t="shared" si="67"/>
        <v>(1.42)</v>
      </c>
      <c r="EB32" s="207">
        <v>2</v>
      </c>
      <c r="EC32" s="207">
        <f t="shared" si="68"/>
        <v>3.5</v>
      </c>
      <c r="ED32" s="207">
        <v>0</v>
      </c>
      <c r="EE32" s="207">
        <f t="shared" si="69"/>
        <v>0</v>
      </c>
      <c r="EF32" s="207">
        <v>1</v>
      </c>
      <c r="EG32" s="207">
        <f t="shared" si="70"/>
        <v>1</v>
      </c>
      <c r="EH32" s="207">
        <f t="shared" si="71"/>
        <v>4.5</v>
      </c>
      <c r="EI32" s="208">
        <f t="shared" si="72"/>
        <v>49.5</v>
      </c>
      <c r="EJ32" s="205">
        <f t="shared" si="73"/>
        <v>17.147958333333335</v>
      </c>
      <c r="EK32" s="206" t="str">
        <f t="shared" si="74"/>
        <v>(1.59)</v>
      </c>
      <c r="EL32" s="207">
        <v>2</v>
      </c>
      <c r="EM32" s="207">
        <f t="shared" si="75"/>
        <v>3.5</v>
      </c>
      <c r="EN32" s="207">
        <v>0</v>
      </c>
      <c r="EO32" s="207">
        <f t="shared" si="76"/>
        <v>0</v>
      </c>
      <c r="EP32" s="207">
        <v>1</v>
      </c>
      <c r="EQ32" s="207">
        <f t="shared" si="77"/>
        <v>1</v>
      </c>
      <c r="ER32" s="207">
        <f t="shared" si="78"/>
        <v>4.5</v>
      </c>
      <c r="ES32" s="208">
        <f t="shared" si="79"/>
        <v>55.5</v>
      </c>
      <c r="ET32" s="205">
        <f t="shared" si="80"/>
        <v>19.001791666666666</v>
      </c>
      <c r="EU32" s="206" t="str">
        <f t="shared" si="81"/>
        <v>(1.77)</v>
      </c>
      <c r="EV32" s="207">
        <v>2</v>
      </c>
      <c r="EW32" s="207">
        <f t="shared" si="82"/>
        <v>3.5</v>
      </c>
      <c r="EX32" s="207">
        <v>0</v>
      </c>
      <c r="EY32" s="207">
        <f t="shared" si="83"/>
        <v>0</v>
      </c>
      <c r="EZ32" s="207">
        <v>1</v>
      </c>
      <c r="FA32" s="207">
        <f t="shared" si="84"/>
        <v>1</v>
      </c>
      <c r="FB32" s="207">
        <f t="shared" si="85"/>
        <v>4.5</v>
      </c>
      <c r="FC32" s="208">
        <f t="shared" si="86"/>
        <v>61.5</v>
      </c>
      <c r="FD32" s="205">
        <f t="shared" si="87"/>
        <v>21.16459722222222</v>
      </c>
      <c r="FE32" s="206" t="str">
        <f t="shared" si="88"/>
        <v>(1.97)</v>
      </c>
      <c r="FF32" s="207">
        <v>2</v>
      </c>
      <c r="FG32" s="207">
        <f t="shared" si="89"/>
        <v>3.5</v>
      </c>
      <c r="FH32" s="469">
        <v>0</v>
      </c>
      <c r="FI32" s="207">
        <f t="shared" si="90"/>
        <v>0</v>
      </c>
      <c r="FJ32" s="207">
        <v>0</v>
      </c>
      <c r="FK32" s="207">
        <f t="shared" si="91"/>
        <v>0</v>
      </c>
      <c r="FL32" s="207">
        <f t="shared" si="92"/>
        <v>3.5</v>
      </c>
      <c r="FM32" s="208">
        <f t="shared" si="93"/>
        <v>68.5</v>
      </c>
      <c r="FN32" s="205">
        <f t="shared" si="94"/>
        <v>22.670836805555556</v>
      </c>
      <c r="FO32" s="206" t="str">
        <f t="shared" si="95"/>
        <v>(2.11)</v>
      </c>
      <c r="FP32" s="207">
        <v>2</v>
      </c>
      <c r="FQ32" s="207">
        <f t="shared" si="96"/>
        <v>3.5</v>
      </c>
      <c r="FR32" s="207">
        <v>1</v>
      </c>
      <c r="FS32" s="207">
        <f t="shared" si="97"/>
        <v>1.125</v>
      </c>
      <c r="FT32" s="207">
        <v>0</v>
      </c>
      <c r="FU32" s="207">
        <f t="shared" si="98"/>
        <v>0</v>
      </c>
      <c r="FV32" s="207">
        <f t="shared" si="99"/>
        <v>4.625</v>
      </c>
      <c r="FW32" s="208">
        <f t="shared" si="100"/>
        <v>73.375</v>
      </c>
      <c r="FX32" s="205">
        <f t="shared" si="101"/>
        <v>24.524670138888887</v>
      </c>
      <c r="FY32" s="206" t="str">
        <f t="shared" si="102"/>
        <v>(2.28)</v>
      </c>
      <c r="FZ32" s="207">
        <v>2</v>
      </c>
      <c r="GA32" s="207">
        <f t="shared" si="103"/>
        <v>3.5</v>
      </c>
      <c r="GB32" s="207">
        <v>1</v>
      </c>
      <c r="GC32" s="207">
        <f t="shared" si="104"/>
        <v>1.125</v>
      </c>
      <c r="GD32" s="207">
        <v>0</v>
      </c>
      <c r="GE32" s="207">
        <f t="shared" si="105"/>
        <v>0</v>
      </c>
      <c r="GF32" s="207">
        <f t="shared" si="106"/>
        <v>4.625</v>
      </c>
      <c r="GG32" s="208">
        <f t="shared" si="107"/>
        <v>79.375</v>
      </c>
      <c r="GH32" s="205">
        <f t="shared" si="108"/>
        <v>26.378503472222221</v>
      </c>
      <c r="GI32" s="206" t="str">
        <f t="shared" si="109"/>
        <v>(2.45)</v>
      </c>
      <c r="GJ32" s="207">
        <v>2</v>
      </c>
      <c r="GK32" s="207">
        <f t="shared" si="110"/>
        <v>3.5</v>
      </c>
      <c r="GL32" s="207">
        <v>1</v>
      </c>
      <c r="GM32" s="207">
        <f t="shared" si="111"/>
        <v>1.125</v>
      </c>
      <c r="GN32" s="207">
        <v>0</v>
      </c>
      <c r="GO32" s="207">
        <f t="shared" si="112"/>
        <v>0</v>
      </c>
      <c r="GP32" s="207">
        <f t="shared" si="113"/>
        <v>4.625</v>
      </c>
      <c r="GQ32" s="208">
        <f t="shared" si="114"/>
        <v>85.375</v>
      </c>
      <c r="GR32" s="205">
        <f t="shared" si="115"/>
        <v>28.232336805555555</v>
      </c>
      <c r="GS32" s="206" t="str">
        <f t="shared" si="116"/>
        <v>(2.62)</v>
      </c>
      <c r="GT32" s="207">
        <v>2</v>
      </c>
      <c r="GU32" s="207">
        <f t="shared" si="117"/>
        <v>3.5</v>
      </c>
      <c r="GV32" s="207">
        <v>1</v>
      </c>
      <c r="GW32" s="207">
        <f t="shared" si="118"/>
        <v>1.125</v>
      </c>
      <c r="GX32" s="207">
        <v>0</v>
      </c>
      <c r="GY32" s="207">
        <f t="shared" si="119"/>
        <v>0</v>
      </c>
      <c r="GZ32" s="207">
        <f t="shared" si="120"/>
        <v>4.625</v>
      </c>
      <c r="HA32" s="208">
        <f t="shared" si="121"/>
        <v>91.375</v>
      </c>
      <c r="HB32" s="205">
        <f t="shared" si="122"/>
        <v>30.086170138888885</v>
      </c>
      <c r="HC32" s="206" t="str">
        <f t="shared" si="123"/>
        <v>(2.80)</v>
      </c>
      <c r="HD32" s="207">
        <v>2</v>
      </c>
      <c r="HE32" s="207">
        <f t="shared" si="124"/>
        <v>3.5</v>
      </c>
      <c r="HF32" s="207">
        <v>1</v>
      </c>
      <c r="HG32" s="207">
        <f t="shared" si="125"/>
        <v>1.125</v>
      </c>
      <c r="HH32" s="207">
        <v>0</v>
      </c>
      <c r="HI32" s="207">
        <f t="shared" si="126"/>
        <v>0</v>
      </c>
      <c r="HJ32" s="207">
        <f t="shared" si="127"/>
        <v>4.625</v>
      </c>
      <c r="HK32" s="208">
        <f t="shared" si="128"/>
        <v>97.375</v>
      </c>
      <c r="HL32" s="205">
        <f t="shared" si="129"/>
        <v>31.322059027777772</v>
      </c>
      <c r="HM32" s="206" t="str">
        <f t="shared" si="130"/>
        <v>(2.91)</v>
      </c>
      <c r="HN32" s="207">
        <v>2</v>
      </c>
      <c r="HO32" s="207">
        <f t="shared" si="131"/>
        <v>3.5</v>
      </c>
      <c r="HP32" s="207">
        <v>1</v>
      </c>
      <c r="HQ32" s="207">
        <f t="shared" si="132"/>
        <v>1.125</v>
      </c>
      <c r="HR32" s="207">
        <v>2</v>
      </c>
      <c r="HS32" s="207">
        <f t="shared" si="133"/>
        <v>2</v>
      </c>
      <c r="HT32" s="207">
        <f t="shared" si="134"/>
        <v>6.625</v>
      </c>
      <c r="HU32" s="208">
        <f t="shared" si="135"/>
        <v>101.375</v>
      </c>
      <c r="HV32" s="205">
        <f t="shared" si="136"/>
        <v>33.17589236111111</v>
      </c>
      <c r="HW32" s="206" t="str">
        <f t="shared" si="137"/>
        <v>(3.08)</v>
      </c>
      <c r="HX32" s="207">
        <v>2</v>
      </c>
      <c r="HY32" s="207">
        <f t="shared" si="138"/>
        <v>3.5</v>
      </c>
      <c r="HZ32" s="207">
        <v>1</v>
      </c>
      <c r="IA32" s="207">
        <f t="shared" si="139"/>
        <v>1.125</v>
      </c>
      <c r="IB32" s="207">
        <v>2</v>
      </c>
      <c r="IC32" s="207">
        <f t="shared" si="140"/>
        <v>2</v>
      </c>
      <c r="ID32" s="207">
        <f t="shared" si="141"/>
        <v>6.625</v>
      </c>
      <c r="IE32" s="208">
        <f t="shared" si="142"/>
        <v>107.375</v>
      </c>
      <c r="IF32" s="205">
        <f t="shared" si="143"/>
        <v>35.029725694444444</v>
      </c>
      <c r="IG32" s="206" t="str">
        <f t="shared" si="144"/>
        <v>(3.25)</v>
      </c>
      <c r="IH32" s="21">
        <v>2</v>
      </c>
      <c r="II32" s="21">
        <f t="shared" si="145"/>
        <v>3.5</v>
      </c>
      <c r="IJ32" s="21">
        <v>1</v>
      </c>
      <c r="IK32" s="21">
        <f t="shared" si="146"/>
        <v>1.125</v>
      </c>
      <c r="IL32" s="21">
        <v>2</v>
      </c>
      <c r="IM32" s="21">
        <f t="shared" si="147"/>
        <v>2</v>
      </c>
      <c r="IN32" s="21">
        <f t="shared" si="148"/>
        <v>6.625</v>
      </c>
      <c r="IO32" s="22">
        <f t="shared" si="149"/>
        <v>113.375</v>
      </c>
      <c r="IP32" s="23"/>
      <c r="IQ32" s="24">
        <v>16</v>
      </c>
      <c r="IR32" s="25">
        <v>2.65</v>
      </c>
      <c r="IS32" s="25">
        <v>2.65</v>
      </c>
      <c r="IT32" s="25">
        <v>2.0920000000000001</v>
      </c>
      <c r="IU32" s="25">
        <v>1.75</v>
      </c>
      <c r="IV32" s="25">
        <v>1</v>
      </c>
      <c r="IW32" s="25">
        <v>1.125</v>
      </c>
      <c r="IX32" s="7"/>
    </row>
    <row r="33" spans="2:258" ht="15.75" thickBot="1" x14ac:dyDescent="0.3">
      <c r="B33" s="79">
        <f t="shared" si="9"/>
        <v>96</v>
      </c>
      <c r="C33" s="148">
        <v>17</v>
      </c>
      <c r="D33" s="487"/>
      <c r="E33" s="488"/>
      <c r="F33" s="488"/>
      <c r="G33" s="488"/>
      <c r="H33" s="488"/>
      <c r="I33" s="488"/>
      <c r="J33" s="488"/>
      <c r="K33" s="488"/>
      <c r="L33" s="488"/>
      <c r="M33" s="488"/>
      <c r="N33" s="488"/>
      <c r="O33" s="488"/>
      <c r="P33" s="488"/>
      <c r="Q33" s="488"/>
      <c r="R33" s="488"/>
      <c r="S33" s="488"/>
      <c r="T33" s="488"/>
      <c r="U33" s="488"/>
      <c r="V33" s="488"/>
      <c r="W33" s="488"/>
      <c r="X33" s="76"/>
      <c r="Y33" s="46"/>
      <c r="AT33" s="3"/>
      <c r="AU33" s="13">
        <f t="shared" si="151"/>
        <v>78</v>
      </c>
      <c r="AV33" s="11" t="str">
        <f t="shared" si="10"/>
        <v>(2000)</v>
      </c>
      <c r="AW33" s="18"/>
      <c r="AX33" s="19">
        <f t="shared" si="11"/>
        <v>1.8555624999999998</v>
      </c>
      <c r="AY33" s="20" t="str">
        <f t="shared" si="12"/>
        <v>(0.17)</v>
      </c>
      <c r="AZ33" s="21">
        <v>2</v>
      </c>
      <c r="BA33" s="21">
        <f t="shared" si="13"/>
        <v>3.5</v>
      </c>
      <c r="BB33" s="21">
        <v>0</v>
      </c>
      <c r="BC33" s="21">
        <f t="shared" si="14"/>
        <v>0</v>
      </c>
      <c r="BD33" s="21">
        <v>0</v>
      </c>
      <c r="BE33" s="21">
        <f t="shared" si="15"/>
        <v>0</v>
      </c>
      <c r="BF33" s="21">
        <f t="shared" si="16"/>
        <v>3.5</v>
      </c>
      <c r="BG33" s="22">
        <f t="shared" si="17"/>
        <v>5.5</v>
      </c>
      <c r="BH33" s="205">
        <f t="shared" si="18"/>
        <v>2.8676874999999997</v>
      </c>
      <c r="BI33" s="206" t="str">
        <f t="shared" si="19"/>
        <v>(0.27)</v>
      </c>
      <c r="BJ33" s="207">
        <v>2</v>
      </c>
      <c r="BK33" s="207">
        <f t="shared" si="20"/>
        <v>3.5</v>
      </c>
      <c r="BL33" s="207">
        <v>0</v>
      </c>
      <c r="BM33" s="207">
        <f t="shared" si="21"/>
        <v>0</v>
      </c>
      <c r="BN33" s="207">
        <v>0</v>
      </c>
      <c r="BO33" s="207">
        <f t="shared" si="22"/>
        <v>0</v>
      </c>
      <c r="BP33" s="207">
        <f t="shared" si="23"/>
        <v>3.5</v>
      </c>
      <c r="BQ33" s="208">
        <f t="shared" si="24"/>
        <v>8.5</v>
      </c>
      <c r="BR33" s="205">
        <f t="shared" si="25"/>
        <v>4.8919374999999992</v>
      </c>
      <c r="BS33" s="206" t="str">
        <f t="shared" si="26"/>
        <v>(0.45)</v>
      </c>
      <c r="BT33" s="207">
        <v>2</v>
      </c>
      <c r="BU33" s="207">
        <f t="shared" si="27"/>
        <v>3.5</v>
      </c>
      <c r="BV33" s="207">
        <v>0</v>
      </c>
      <c r="BW33" s="207">
        <f t="shared" si="28"/>
        <v>0</v>
      </c>
      <c r="BX33" s="207">
        <v>0</v>
      </c>
      <c r="BY33" s="207">
        <f t="shared" si="29"/>
        <v>0</v>
      </c>
      <c r="BZ33" s="207">
        <f t="shared" si="30"/>
        <v>3.5</v>
      </c>
      <c r="CA33" s="208">
        <f t="shared" si="31"/>
        <v>14.5</v>
      </c>
      <c r="CB33" s="205">
        <f t="shared" si="32"/>
        <v>6.9161874999999986</v>
      </c>
      <c r="CC33" s="206" t="str">
        <f t="shared" si="33"/>
        <v>(0.64)</v>
      </c>
      <c r="CD33" s="207">
        <v>2</v>
      </c>
      <c r="CE33" s="207">
        <f t="shared" si="34"/>
        <v>3.5</v>
      </c>
      <c r="CF33" s="207">
        <v>0</v>
      </c>
      <c r="CG33" s="207">
        <f t="shared" si="35"/>
        <v>0</v>
      </c>
      <c r="CH33" s="207">
        <v>0</v>
      </c>
      <c r="CI33" s="207">
        <f t="shared" si="36"/>
        <v>0</v>
      </c>
      <c r="CJ33" s="207">
        <f t="shared" si="37"/>
        <v>3.5</v>
      </c>
      <c r="CK33" s="208">
        <f t="shared" si="38"/>
        <v>20.5</v>
      </c>
      <c r="CL33" s="205">
        <f t="shared" si="39"/>
        <v>8.940437499999998</v>
      </c>
      <c r="CM33" s="206" t="str">
        <f t="shared" si="40"/>
        <v>(0.83)</v>
      </c>
      <c r="CN33" s="207">
        <v>2</v>
      </c>
      <c r="CO33" s="207">
        <f t="shared" si="41"/>
        <v>3.5</v>
      </c>
      <c r="CP33" s="207">
        <v>0</v>
      </c>
      <c r="CQ33" s="207">
        <f t="shared" si="42"/>
        <v>0</v>
      </c>
      <c r="CR33" s="207">
        <v>0</v>
      </c>
      <c r="CS33" s="207">
        <f t="shared" si="43"/>
        <v>0</v>
      </c>
      <c r="CT33" s="207">
        <f t="shared" si="44"/>
        <v>3.5</v>
      </c>
      <c r="CU33" s="208">
        <f t="shared" si="45"/>
        <v>26.5</v>
      </c>
      <c r="CV33" s="205">
        <f t="shared" si="46"/>
        <v>10.964687499999998</v>
      </c>
      <c r="CW33" s="206" t="str">
        <f t="shared" si="47"/>
        <v>(1.02)</v>
      </c>
      <c r="CX33" s="207">
        <v>2</v>
      </c>
      <c r="CY33" s="207">
        <f t="shared" si="48"/>
        <v>3.5</v>
      </c>
      <c r="CZ33" s="207">
        <v>0</v>
      </c>
      <c r="DA33" s="207">
        <f t="shared" si="49"/>
        <v>0</v>
      </c>
      <c r="DB33" s="207">
        <v>0</v>
      </c>
      <c r="DC33" s="207">
        <f t="shared" si="50"/>
        <v>0</v>
      </c>
      <c r="DD33" s="207">
        <f t="shared" si="51"/>
        <v>3.5</v>
      </c>
      <c r="DE33" s="208">
        <f t="shared" si="52"/>
        <v>32.5</v>
      </c>
      <c r="DF33" s="205">
        <f t="shared" si="53"/>
        <v>12.988937499999999</v>
      </c>
      <c r="DG33" s="206" t="str">
        <f t="shared" si="54"/>
        <v>(1.21)</v>
      </c>
      <c r="DH33" s="207">
        <v>2</v>
      </c>
      <c r="DI33" s="207">
        <f t="shared" si="55"/>
        <v>3.5</v>
      </c>
      <c r="DJ33" s="207">
        <v>0</v>
      </c>
      <c r="DK33" s="207">
        <f t="shared" si="56"/>
        <v>0</v>
      </c>
      <c r="DL33" s="207">
        <v>0</v>
      </c>
      <c r="DM33" s="207">
        <f t="shared" si="57"/>
        <v>0</v>
      </c>
      <c r="DN33" s="207">
        <f t="shared" si="58"/>
        <v>3.5</v>
      </c>
      <c r="DO33" s="208">
        <f t="shared" si="59"/>
        <v>38.5</v>
      </c>
      <c r="DP33" s="205">
        <f t="shared" si="60"/>
        <v>15.013187499999999</v>
      </c>
      <c r="DQ33" s="206" t="str">
        <f t="shared" si="61"/>
        <v>(1.39)</v>
      </c>
      <c r="DR33" s="207">
        <v>2</v>
      </c>
      <c r="DS33" s="207">
        <f t="shared" si="150"/>
        <v>3.5</v>
      </c>
      <c r="DT33" s="207">
        <v>0</v>
      </c>
      <c r="DU33" s="207">
        <f t="shared" si="62"/>
        <v>0</v>
      </c>
      <c r="DV33" s="207">
        <v>0</v>
      </c>
      <c r="DW33" s="207">
        <f t="shared" si="63"/>
        <v>0</v>
      </c>
      <c r="DX33" s="207">
        <f t="shared" si="64"/>
        <v>3.5</v>
      </c>
      <c r="DY33" s="208">
        <f t="shared" si="65"/>
        <v>44.5</v>
      </c>
      <c r="DZ33" s="205">
        <f t="shared" si="66"/>
        <v>16.700062499999998</v>
      </c>
      <c r="EA33" s="206" t="str">
        <f t="shared" si="67"/>
        <v>(1.55)</v>
      </c>
      <c r="EB33" s="207">
        <v>2</v>
      </c>
      <c r="EC33" s="207">
        <f t="shared" si="68"/>
        <v>3.5</v>
      </c>
      <c r="ED33" s="207">
        <v>0</v>
      </c>
      <c r="EE33" s="207">
        <f t="shared" si="69"/>
        <v>0</v>
      </c>
      <c r="EF33" s="207">
        <v>1</v>
      </c>
      <c r="EG33" s="207">
        <f t="shared" si="70"/>
        <v>1</v>
      </c>
      <c r="EH33" s="207">
        <f t="shared" si="71"/>
        <v>4.5</v>
      </c>
      <c r="EI33" s="208">
        <f t="shared" si="72"/>
        <v>49.5</v>
      </c>
      <c r="EJ33" s="205">
        <f t="shared" si="73"/>
        <v>18.724312499999996</v>
      </c>
      <c r="EK33" s="206" t="str">
        <f t="shared" si="74"/>
        <v>(1.74)</v>
      </c>
      <c r="EL33" s="207">
        <v>2</v>
      </c>
      <c r="EM33" s="207">
        <f t="shared" si="75"/>
        <v>3.5</v>
      </c>
      <c r="EN33" s="207">
        <v>0</v>
      </c>
      <c r="EO33" s="207">
        <f t="shared" si="76"/>
        <v>0</v>
      </c>
      <c r="EP33" s="207">
        <v>1</v>
      </c>
      <c r="EQ33" s="207">
        <f t="shared" si="77"/>
        <v>1</v>
      </c>
      <c r="ER33" s="207">
        <f t="shared" si="78"/>
        <v>4.5</v>
      </c>
      <c r="ES33" s="208">
        <f t="shared" si="79"/>
        <v>55.5</v>
      </c>
      <c r="ET33" s="205">
        <f t="shared" si="80"/>
        <v>20.748562499999998</v>
      </c>
      <c r="EU33" s="206" t="str">
        <f t="shared" si="81"/>
        <v>(1.93)</v>
      </c>
      <c r="EV33" s="207">
        <v>2</v>
      </c>
      <c r="EW33" s="207">
        <f t="shared" si="82"/>
        <v>3.5</v>
      </c>
      <c r="EX33" s="207">
        <v>0</v>
      </c>
      <c r="EY33" s="207">
        <f t="shared" si="83"/>
        <v>0</v>
      </c>
      <c r="EZ33" s="207">
        <v>1</v>
      </c>
      <c r="FA33" s="207">
        <f t="shared" si="84"/>
        <v>1</v>
      </c>
      <c r="FB33" s="207">
        <f t="shared" si="85"/>
        <v>4.5</v>
      </c>
      <c r="FC33" s="208">
        <f t="shared" si="86"/>
        <v>61.5</v>
      </c>
      <c r="FD33" s="205">
        <f t="shared" si="87"/>
        <v>23.110187499999999</v>
      </c>
      <c r="FE33" s="206" t="str">
        <f t="shared" si="88"/>
        <v>(2.15)</v>
      </c>
      <c r="FF33" s="207">
        <v>2</v>
      </c>
      <c r="FG33" s="207">
        <f t="shared" si="89"/>
        <v>3.5</v>
      </c>
      <c r="FH33" s="469">
        <v>0</v>
      </c>
      <c r="FI33" s="207">
        <f t="shared" si="90"/>
        <v>0</v>
      </c>
      <c r="FJ33" s="207">
        <v>0</v>
      </c>
      <c r="FK33" s="207">
        <f t="shared" si="91"/>
        <v>0</v>
      </c>
      <c r="FL33" s="207">
        <f t="shared" si="92"/>
        <v>3.5</v>
      </c>
      <c r="FM33" s="208">
        <f t="shared" si="93"/>
        <v>68.5</v>
      </c>
      <c r="FN33" s="30"/>
      <c r="FO33" s="30"/>
      <c r="FP33" s="31"/>
      <c r="FQ33" s="31"/>
      <c r="FR33" s="31"/>
      <c r="FS33" s="31"/>
      <c r="FT33" s="31"/>
      <c r="FU33" s="31"/>
      <c r="FV33" s="31"/>
      <c r="FW33" s="31"/>
      <c r="FX33" s="30"/>
      <c r="FY33" s="30"/>
      <c r="FZ33" s="31"/>
      <c r="GA33" s="31"/>
      <c r="GB33" s="31"/>
      <c r="GC33" s="31"/>
      <c r="GD33" s="31"/>
      <c r="GE33" s="31"/>
      <c r="GF33" s="31"/>
      <c r="GG33" s="31"/>
      <c r="GH33" s="30"/>
      <c r="GI33" s="30"/>
      <c r="GJ33" s="31"/>
      <c r="GK33" s="31"/>
      <c r="GL33" s="31"/>
      <c r="GM33" s="31"/>
      <c r="GN33" s="31"/>
      <c r="GO33" s="31"/>
      <c r="GP33" s="31"/>
      <c r="GQ33" s="31"/>
      <c r="GR33" s="30"/>
      <c r="GS33" s="30"/>
      <c r="GT33" s="31"/>
      <c r="GU33" s="31"/>
      <c r="GV33" s="31"/>
      <c r="GW33" s="31"/>
      <c r="GX33" s="31"/>
      <c r="GY33" s="31"/>
      <c r="GZ33" s="31"/>
      <c r="HA33" s="31"/>
      <c r="HB33" s="30"/>
      <c r="HC33" s="30"/>
      <c r="HD33" s="31"/>
      <c r="HE33" s="31"/>
      <c r="HF33" s="31"/>
      <c r="HG33" s="31"/>
      <c r="HH33" s="31"/>
      <c r="HI33" s="31"/>
      <c r="HJ33" s="31"/>
      <c r="HK33" s="31"/>
      <c r="HL33" s="30"/>
      <c r="HM33" s="30"/>
      <c r="HN33" s="31"/>
      <c r="HO33" s="31"/>
      <c r="HP33" s="31"/>
      <c r="HQ33" s="31"/>
      <c r="HR33" s="31"/>
      <c r="HS33" s="31"/>
      <c r="HT33" s="31"/>
      <c r="HU33" s="31"/>
      <c r="HV33" s="30"/>
      <c r="HW33" s="30"/>
      <c r="HX33" s="31"/>
      <c r="HY33" s="31"/>
      <c r="HZ33" s="31"/>
      <c r="IA33" s="31"/>
      <c r="IB33" s="31"/>
      <c r="IC33" s="31"/>
      <c r="ID33" s="31"/>
      <c r="IE33" s="31"/>
      <c r="IF33" s="30"/>
      <c r="IG33" s="30"/>
      <c r="IH33" s="31"/>
      <c r="II33" s="31"/>
      <c r="IJ33" s="31"/>
      <c r="IK33" s="31"/>
      <c r="IL33" s="31"/>
      <c r="IM33" s="31"/>
      <c r="IN33" s="32"/>
      <c r="IO33" s="32"/>
      <c r="IP33" s="32"/>
      <c r="IQ33" s="24">
        <v>18</v>
      </c>
      <c r="IR33" s="25">
        <v>2.65</v>
      </c>
      <c r="IS33" s="25">
        <v>2.65</v>
      </c>
      <c r="IT33" s="25">
        <v>0.88200000000000001</v>
      </c>
      <c r="IU33" s="25">
        <v>1.75</v>
      </c>
      <c r="IV33" s="25">
        <v>1</v>
      </c>
      <c r="IW33" s="25">
        <v>1.125</v>
      </c>
      <c r="IX33" s="7"/>
    </row>
    <row r="34" spans="2:258" ht="15.75" thickBot="1" x14ac:dyDescent="0.3">
      <c r="B34" s="79">
        <f t="shared" si="9"/>
        <v>102</v>
      </c>
      <c r="C34" s="147">
        <v>18</v>
      </c>
      <c r="D34" s="487"/>
      <c r="E34" s="488"/>
      <c r="F34" s="488"/>
      <c r="G34" s="488"/>
      <c r="H34" s="488"/>
      <c r="I34" s="488"/>
      <c r="J34" s="488"/>
      <c r="K34" s="488"/>
      <c r="L34" s="488"/>
      <c r="M34" s="488"/>
      <c r="N34" s="488"/>
      <c r="O34" s="488"/>
      <c r="P34" s="488"/>
      <c r="Q34" s="488"/>
      <c r="R34" s="488"/>
      <c r="S34" s="488"/>
      <c r="T34" s="488"/>
      <c r="U34" s="488"/>
      <c r="V34" s="488"/>
      <c r="W34" s="488"/>
      <c r="X34" s="76"/>
      <c r="Y34" s="46"/>
      <c r="AT34" s="3"/>
      <c r="AU34" s="13">
        <f t="shared" si="151"/>
        <v>84</v>
      </c>
      <c r="AV34" s="11" t="str">
        <f t="shared" si="10"/>
        <v>(2150)</v>
      </c>
      <c r="AW34" s="18"/>
      <c r="AX34" s="19">
        <f t="shared" si="11"/>
        <v>2.0029930555555553</v>
      </c>
      <c r="AY34" s="20" t="str">
        <f t="shared" si="12"/>
        <v>(0.19)</v>
      </c>
      <c r="AZ34" s="21">
        <v>2</v>
      </c>
      <c r="BA34" s="21">
        <f t="shared" si="13"/>
        <v>3.5</v>
      </c>
      <c r="BB34" s="21">
        <v>0</v>
      </c>
      <c r="BC34" s="21">
        <f t="shared" si="14"/>
        <v>0</v>
      </c>
      <c r="BD34" s="21">
        <v>0</v>
      </c>
      <c r="BE34" s="21">
        <f t="shared" si="15"/>
        <v>0</v>
      </c>
      <c r="BF34" s="21">
        <f t="shared" si="16"/>
        <v>3.5</v>
      </c>
      <c r="BG34" s="22">
        <f t="shared" si="17"/>
        <v>5.5</v>
      </c>
      <c r="BH34" s="205">
        <f t="shared" si="18"/>
        <v>3.0955347222222218</v>
      </c>
      <c r="BI34" s="206" t="str">
        <f t="shared" si="19"/>
        <v>(0.29)</v>
      </c>
      <c r="BJ34" s="207">
        <v>2</v>
      </c>
      <c r="BK34" s="207">
        <f t="shared" si="20"/>
        <v>3.5</v>
      </c>
      <c r="BL34" s="207">
        <v>0</v>
      </c>
      <c r="BM34" s="207">
        <f t="shared" si="21"/>
        <v>0</v>
      </c>
      <c r="BN34" s="207">
        <v>0</v>
      </c>
      <c r="BO34" s="207">
        <f t="shared" si="22"/>
        <v>0</v>
      </c>
      <c r="BP34" s="207">
        <f t="shared" si="23"/>
        <v>3.5</v>
      </c>
      <c r="BQ34" s="208">
        <f t="shared" si="24"/>
        <v>8.5</v>
      </c>
      <c r="BR34" s="205">
        <f t="shared" si="25"/>
        <v>5.2806180555555544</v>
      </c>
      <c r="BS34" s="206" t="str">
        <f t="shared" si="26"/>
        <v>(0.49)</v>
      </c>
      <c r="BT34" s="207">
        <v>2</v>
      </c>
      <c r="BU34" s="207">
        <f t="shared" si="27"/>
        <v>3.5</v>
      </c>
      <c r="BV34" s="207">
        <v>0</v>
      </c>
      <c r="BW34" s="207">
        <f t="shared" si="28"/>
        <v>0</v>
      </c>
      <c r="BX34" s="207">
        <v>0</v>
      </c>
      <c r="BY34" s="207">
        <f t="shared" si="29"/>
        <v>0</v>
      </c>
      <c r="BZ34" s="207">
        <f t="shared" si="30"/>
        <v>3.5</v>
      </c>
      <c r="CA34" s="208">
        <f t="shared" si="31"/>
        <v>14.5</v>
      </c>
      <c r="CB34" s="205">
        <f t="shared" si="32"/>
        <v>7.4657013888888883</v>
      </c>
      <c r="CC34" s="206" t="str">
        <f t="shared" si="33"/>
        <v>(0.69)</v>
      </c>
      <c r="CD34" s="207">
        <v>2</v>
      </c>
      <c r="CE34" s="207">
        <f t="shared" si="34"/>
        <v>3.5</v>
      </c>
      <c r="CF34" s="207">
        <v>0</v>
      </c>
      <c r="CG34" s="207">
        <f t="shared" si="35"/>
        <v>0</v>
      </c>
      <c r="CH34" s="207">
        <v>0</v>
      </c>
      <c r="CI34" s="207">
        <f t="shared" si="36"/>
        <v>0</v>
      </c>
      <c r="CJ34" s="207">
        <f t="shared" si="37"/>
        <v>3.5</v>
      </c>
      <c r="CK34" s="208">
        <f t="shared" si="38"/>
        <v>20.5</v>
      </c>
      <c r="CL34" s="205">
        <f t="shared" si="39"/>
        <v>9.6507847222222196</v>
      </c>
      <c r="CM34" s="206" t="str">
        <f t="shared" si="40"/>
        <v>(0.9)</v>
      </c>
      <c r="CN34" s="207">
        <v>2</v>
      </c>
      <c r="CO34" s="207">
        <f t="shared" si="41"/>
        <v>3.5</v>
      </c>
      <c r="CP34" s="207">
        <v>0</v>
      </c>
      <c r="CQ34" s="207">
        <f t="shared" si="42"/>
        <v>0</v>
      </c>
      <c r="CR34" s="207">
        <v>0</v>
      </c>
      <c r="CS34" s="207">
        <f t="shared" si="43"/>
        <v>0</v>
      </c>
      <c r="CT34" s="207">
        <f t="shared" si="44"/>
        <v>3.5</v>
      </c>
      <c r="CU34" s="208">
        <f t="shared" si="45"/>
        <v>26.5</v>
      </c>
      <c r="CV34" s="205">
        <f t="shared" si="46"/>
        <v>11.835868055555554</v>
      </c>
      <c r="CW34" s="206" t="str">
        <f t="shared" si="47"/>
        <v>(1.1)</v>
      </c>
      <c r="CX34" s="207">
        <v>2</v>
      </c>
      <c r="CY34" s="207">
        <f t="shared" si="48"/>
        <v>3.5</v>
      </c>
      <c r="CZ34" s="207">
        <v>0</v>
      </c>
      <c r="DA34" s="207">
        <f t="shared" si="49"/>
        <v>0</v>
      </c>
      <c r="DB34" s="207">
        <v>0</v>
      </c>
      <c r="DC34" s="207">
        <f t="shared" si="50"/>
        <v>0</v>
      </c>
      <c r="DD34" s="207">
        <f t="shared" si="51"/>
        <v>3.5</v>
      </c>
      <c r="DE34" s="208">
        <f t="shared" si="52"/>
        <v>32.5</v>
      </c>
      <c r="DF34" s="205">
        <f t="shared" si="53"/>
        <v>14.020951388888887</v>
      </c>
      <c r="DG34" s="206" t="str">
        <f t="shared" si="54"/>
        <v>(1.3)</v>
      </c>
      <c r="DH34" s="207">
        <v>2</v>
      </c>
      <c r="DI34" s="207">
        <f t="shared" si="55"/>
        <v>3.5</v>
      </c>
      <c r="DJ34" s="207">
        <v>0</v>
      </c>
      <c r="DK34" s="207">
        <f t="shared" si="56"/>
        <v>0</v>
      </c>
      <c r="DL34" s="207">
        <v>0</v>
      </c>
      <c r="DM34" s="207">
        <f t="shared" si="57"/>
        <v>0</v>
      </c>
      <c r="DN34" s="207">
        <f t="shared" si="58"/>
        <v>3.5</v>
      </c>
      <c r="DO34" s="208">
        <f t="shared" si="59"/>
        <v>38.5</v>
      </c>
      <c r="DP34" s="205">
        <f t="shared" si="60"/>
        <v>16.206034722222221</v>
      </c>
      <c r="DQ34" s="206" t="str">
        <f t="shared" si="61"/>
        <v>(1.51)</v>
      </c>
      <c r="DR34" s="207">
        <v>2</v>
      </c>
      <c r="DS34" s="207">
        <f t="shared" si="150"/>
        <v>3.5</v>
      </c>
      <c r="DT34" s="207">
        <v>0</v>
      </c>
      <c r="DU34" s="207">
        <f t="shared" si="62"/>
        <v>0</v>
      </c>
      <c r="DV34" s="207">
        <v>0</v>
      </c>
      <c r="DW34" s="207">
        <f t="shared" si="63"/>
        <v>0</v>
      </c>
      <c r="DX34" s="207">
        <f t="shared" si="64"/>
        <v>3.5</v>
      </c>
      <c r="DY34" s="208">
        <f t="shared" si="65"/>
        <v>44.5</v>
      </c>
      <c r="DZ34" s="205">
        <f t="shared" si="66"/>
        <v>18.026937499999995</v>
      </c>
      <c r="EA34" s="206" t="str">
        <f t="shared" si="67"/>
        <v>(1.67)</v>
      </c>
      <c r="EB34" s="207">
        <v>2</v>
      </c>
      <c r="EC34" s="207">
        <f t="shared" si="68"/>
        <v>3.5</v>
      </c>
      <c r="ED34" s="207">
        <v>0</v>
      </c>
      <c r="EE34" s="207">
        <f t="shared" si="69"/>
        <v>0</v>
      </c>
      <c r="EF34" s="207">
        <v>1</v>
      </c>
      <c r="EG34" s="207">
        <f t="shared" si="70"/>
        <v>1</v>
      </c>
      <c r="EH34" s="207">
        <f t="shared" si="71"/>
        <v>4.5</v>
      </c>
      <c r="EI34" s="208">
        <f t="shared" si="72"/>
        <v>49.5</v>
      </c>
      <c r="EJ34" s="205">
        <f t="shared" si="73"/>
        <v>20.21202083333333</v>
      </c>
      <c r="EK34" s="206" t="str">
        <f t="shared" si="74"/>
        <v>(1.88)</v>
      </c>
      <c r="EL34" s="207">
        <v>2</v>
      </c>
      <c r="EM34" s="207">
        <f t="shared" si="75"/>
        <v>3.5</v>
      </c>
      <c r="EN34" s="207">
        <v>0</v>
      </c>
      <c r="EO34" s="207">
        <f t="shared" si="76"/>
        <v>0</v>
      </c>
      <c r="EP34" s="207">
        <v>1</v>
      </c>
      <c r="EQ34" s="207">
        <f t="shared" si="77"/>
        <v>1</v>
      </c>
      <c r="ER34" s="207">
        <f t="shared" si="78"/>
        <v>4.5</v>
      </c>
      <c r="ES34" s="208">
        <f t="shared" si="79"/>
        <v>55.5</v>
      </c>
      <c r="ET34" s="205">
        <f t="shared" si="80"/>
        <v>22.397104166666665</v>
      </c>
      <c r="EU34" s="206" t="str">
        <f t="shared" si="81"/>
        <v>(2.08)</v>
      </c>
      <c r="EV34" s="207">
        <v>2</v>
      </c>
      <c r="EW34" s="207">
        <f t="shared" si="82"/>
        <v>3.5</v>
      </c>
      <c r="EX34" s="207">
        <v>0</v>
      </c>
      <c r="EY34" s="207">
        <f t="shared" si="83"/>
        <v>0</v>
      </c>
      <c r="EZ34" s="207">
        <v>1</v>
      </c>
      <c r="FA34" s="207">
        <f t="shared" si="84"/>
        <v>1</v>
      </c>
      <c r="FB34" s="207">
        <f t="shared" si="85"/>
        <v>4.5</v>
      </c>
      <c r="FC34" s="208">
        <f t="shared" si="86"/>
        <v>61.5</v>
      </c>
      <c r="FD34" s="205">
        <f t="shared" si="87"/>
        <v>24.946368055555553</v>
      </c>
      <c r="FE34" s="206" t="str">
        <f t="shared" si="88"/>
        <v>(2.32)</v>
      </c>
      <c r="FF34" s="207">
        <v>2</v>
      </c>
      <c r="FG34" s="207">
        <f t="shared" si="89"/>
        <v>3.5</v>
      </c>
      <c r="FH34" s="469">
        <v>0</v>
      </c>
      <c r="FI34" s="207">
        <f t="shared" si="90"/>
        <v>0</v>
      </c>
      <c r="FJ34" s="207">
        <v>0</v>
      </c>
      <c r="FK34" s="207">
        <f t="shared" si="91"/>
        <v>0</v>
      </c>
      <c r="FL34" s="207">
        <f t="shared" si="92"/>
        <v>3.5</v>
      </c>
      <c r="FM34" s="208">
        <f t="shared" si="93"/>
        <v>68.5</v>
      </c>
      <c r="FN34" s="30"/>
      <c r="FO34" s="30"/>
      <c r="FP34" s="31"/>
      <c r="FQ34" s="31"/>
      <c r="FR34" s="31"/>
      <c r="FS34" s="31"/>
      <c r="FT34" s="31"/>
      <c r="FU34" s="31"/>
      <c r="FV34" s="31"/>
      <c r="FW34" s="31"/>
      <c r="FX34" s="30"/>
      <c r="FY34" s="30"/>
      <c r="FZ34" s="31"/>
      <c r="GA34" s="31"/>
      <c r="GB34" s="31"/>
      <c r="GC34" s="31"/>
      <c r="GD34" s="31"/>
      <c r="GE34" s="31"/>
      <c r="GF34" s="31"/>
      <c r="GG34" s="31"/>
      <c r="GH34" s="30"/>
      <c r="GI34" s="30"/>
      <c r="GJ34" s="31"/>
      <c r="GK34" s="31"/>
      <c r="GL34" s="31"/>
      <c r="GM34" s="31"/>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1"/>
      <c r="HO34" s="31"/>
      <c r="HP34" s="31"/>
      <c r="HQ34" s="31"/>
      <c r="HR34" s="31"/>
      <c r="HS34" s="31"/>
      <c r="HT34" s="31"/>
      <c r="HU34" s="31"/>
      <c r="HV34" s="31"/>
      <c r="HW34" s="31"/>
      <c r="HX34" s="31"/>
      <c r="HY34" s="31"/>
      <c r="HZ34" s="31"/>
      <c r="IA34" s="31"/>
      <c r="IB34" s="31"/>
      <c r="IC34" s="31"/>
      <c r="ID34" s="31"/>
      <c r="IE34" s="31"/>
      <c r="IF34" s="30"/>
      <c r="IG34" s="30"/>
      <c r="IH34" s="31"/>
      <c r="II34" s="31"/>
      <c r="IJ34" s="31"/>
      <c r="IK34" s="31"/>
      <c r="IL34" s="31"/>
      <c r="IM34" s="31"/>
      <c r="IN34" s="32"/>
      <c r="IO34" s="32"/>
      <c r="IP34" s="32"/>
      <c r="IQ34" s="24">
        <v>19</v>
      </c>
      <c r="IR34" s="25">
        <v>2.65</v>
      </c>
      <c r="IS34" s="25">
        <v>2.65</v>
      </c>
      <c r="IT34" s="25">
        <v>2.0920000000000001</v>
      </c>
      <c r="IU34" s="25">
        <v>1.75</v>
      </c>
      <c r="IV34" s="25">
        <v>1</v>
      </c>
      <c r="IW34" s="25">
        <v>1.125</v>
      </c>
      <c r="IX34" s="7"/>
    </row>
    <row r="35" spans="2:258" ht="15.75" thickBot="1" x14ac:dyDescent="0.3">
      <c r="B35" s="79">
        <f t="shared" si="9"/>
        <v>108</v>
      </c>
      <c r="C35" s="148">
        <v>19</v>
      </c>
      <c r="D35" s="487"/>
      <c r="E35" s="488"/>
      <c r="F35" s="488"/>
      <c r="G35" s="488"/>
      <c r="H35" s="488"/>
      <c r="I35" s="488"/>
      <c r="J35" s="488"/>
      <c r="K35" s="488"/>
      <c r="L35" s="488"/>
      <c r="M35" s="488"/>
      <c r="N35" s="488"/>
      <c r="O35" s="488"/>
      <c r="P35" s="488"/>
      <c r="Q35" s="488"/>
      <c r="R35" s="488"/>
      <c r="S35" s="488"/>
      <c r="T35" s="488"/>
      <c r="U35" s="488"/>
      <c r="V35" s="488"/>
      <c r="W35" s="488"/>
      <c r="X35" s="76"/>
      <c r="Y35" s="46"/>
      <c r="AT35" s="3"/>
      <c r="AU35" s="26">
        <f t="shared" si="151"/>
        <v>90</v>
      </c>
      <c r="AV35" s="27" t="str">
        <f t="shared" si="10"/>
        <v>(2300)</v>
      </c>
      <c r="AW35" s="18"/>
      <c r="AX35" s="19">
        <f t="shared" si="11"/>
        <v>2.1592083333333334</v>
      </c>
      <c r="AY35" s="28" t="str">
        <f t="shared" si="12"/>
        <v>(0.20)</v>
      </c>
      <c r="AZ35" s="21">
        <v>2</v>
      </c>
      <c r="BA35" s="21">
        <f t="shared" si="13"/>
        <v>3.5</v>
      </c>
      <c r="BB35" s="29">
        <v>0</v>
      </c>
      <c r="BC35" s="21">
        <f t="shared" si="14"/>
        <v>0</v>
      </c>
      <c r="BD35" s="29">
        <v>0</v>
      </c>
      <c r="BE35" s="21">
        <f t="shared" si="15"/>
        <v>0</v>
      </c>
      <c r="BF35" s="21">
        <f t="shared" si="16"/>
        <v>3.5</v>
      </c>
      <c r="BG35" s="22">
        <f t="shared" si="17"/>
        <v>5.5</v>
      </c>
      <c r="BH35" s="205">
        <f t="shared" si="18"/>
        <v>3.3369583333333335</v>
      </c>
      <c r="BI35" s="206" t="str">
        <f t="shared" si="19"/>
        <v>(0.31)</v>
      </c>
      <c r="BJ35" s="207">
        <v>2</v>
      </c>
      <c r="BK35" s="207">
        <f t="shared" si="20"/>
        <v>3.5</v>
      </c>
      <c r="BL35" s="207">
        <v>0</v>
      </c>
      <c r="BM35" s="207">
        <f t="shared" si="21"/>
        <v>0</v>
      </c>
      <c r="BN35" s="207">
        <v>0</v>
      </c>
      <c r="BO35" s="207">
        <f t="shared" si="22"/>
        <v>0</v>
      </c>
      <c r="BP35" s="207">
        <f t="shared" si="23"/>
        <v>3.5</v>
      </c>
      <c r="BQ35" s="208">
        <f t="shared" si="24"/>
        <v>8.5</v>
      </c>
      <c r="BR35" s="205">
        <f t="shared" si="25"/>
        <v>5.6924583333333327</v>
      </c>
      <c r="BS35" s="206" t="str">
        <f t="shared" si="26"/>
        <v>(0.53)</v>
      </c>
      <c r="BT35" s="207">
        <v>2</v>
      </c>
      <c r="BU35" s="207">
        <f t="shared" si="27"/>
        <v>3.5</v>
      </c>
      <c r="BV35" s="207">
        <v>0</v>
      </c>
      <c r="BW35" s="207">
        <f t="shared" si="28"/>
        <v>0</v>
      </c>
      <c r="BX35" s="207">
        <v>0</v>
      </c>
      <c r="BY35" s="207">
        <f t="shared" si="29"/>
        <v>0</v>
      </c>
      <c r="BZ35" s="207">
        <f t="shared" si="30"/>
        <v>3.5</v>
      </c>
      <c r="CA35" s="208">
        <f t="shared" si="31"/>
        <v>14.5</v>
      </c>
      <c r="CB35" s="205">
        <f t="shared" si="32"/>
        <v>8.0479583333333338</v>
      </c>
      <c r="CC35" s="206" t="str">
        <f t="shared" si="33"/>
        <v>(0.75)</v>
      </c>
      <c r="CD35" s="207">
        <v>2</v>
      </c>
      <c r="CE35" s="207">
        <f t="shared" si="34"/>
        <v>3.5</v>
      </c>
      <c r="CF35" s="207">
        <v>0</v>
      </c>
      <c r="CG35" s="207">
        <f t="shared" si="35"/>
        <v>0</v>
      </c>
      <c r="CH35" s="207">
        <v>0</v>
      </c>
      <c r="CI35" s="207">
        <f t="shared" si="36"/>
        <v>0</v>
      </c>
      <c r="CJ35" s="207">
        <f t="shared" si="37"/>
        <v>3.5</v>
      </c>
      <c r="CK35" s="208">
        <f t="shared" si="38"/>
        <v>20.5</v>
      </c>
      <c r="CL35" s="205">
        <f t="shared" si="39"/>
        <v>10.403458333333333</v>
      </c>
      <c r="CM35" s="206" t="str">
        <f t="shared" si="40"/>
        <v>(0.97)</v>
      </c>
      <c r="CN35" s="207">
        <v>2</v>
      </c>
      <c r="CO35" s="207">
        <f t="shared" si="41"/>
        <v>3.5</v>
      </c>
      <c r="CP35" s="207">
        <v>0</v>
      </c>
      <c r="CQ35" s="207">
        <f t="shared" si="42"/>
        <v>0</v>
      </c>
      <c r="CR35" s="207">
        <v>0</v>
      </c>
      <c r="CS35" s="207">
        <f t="shared" si="43"/>
        <v>0</v>
      </c>
      <c r="CT35" s="207">
        <f t="shared" si="44"/>
        <v>3.5</v>
      </c>
      <c r="CU35" s="208">
        <f t="shared" si="45"/>
        <v>26.5</v>
      </c>
      <c r="CV35" s="205">
        <f t="shared" si="46"/>
        <v>12.758958333333332</v>
      </c>
      <c r="CW35" s="206" t="str">
        <f t="shared" si="47"/>
        <v>(1.19)</v>
      </c>
      <c r="CX35" s="207">
        <v>2</v>
      </c>
      <c r="CY35" s="207">
        <f t="shared" si="48"/>
        <v>3.5</v>
      </c>
      <c r="CZ35" s="207">
        <v>0</v>
      </c>
      <c r="DA35" s="207">
        <f t="shared" si="49"/>
        <v>0</v>
      </c>
      <c r="DB35" s="207">
        <v>0</v>
      </c>
      <c r="DC35" s="207">
        <f t="shared" si="50"/>
        <v>0</v>
      </c>
      <c r="DD35" s="207">
        <f t="shared" si="51"/>
        <v>3.5</v>
      </c>
      <c r="DE35" s="208">
        <f t="shared" si="52"/>
        <v>32.5</v>
      </c>
      <c r="DF35" s="205">
        <f t="shared" si="53"/>
        <v>15.114458333333333</v>
      </c>
      <c r="DG35" s="206" t="str">
        <f t="shared" si="54"/>
        <v>(1.4)</v>
      </c>
      <c r="DH35" s="207">
        <v>2</v>
      </c>
      <c r="DI35" s="207">
        <f t="shared" si="55"/>
        <v>3.5</v>
      </c>
      <c r="DJ35" s="207">
        <v>0</v>
      </c>
      <c r="DK35" s="207">
        <f t="shared" si="56"/>
        <v>0</v>
      </c>
      <c r="DL35" s="207">
        <v>0</v>
      </c>
      <c r="DM35" s="207">
        <f t="shared" si="57"/>
        <v>0</v>
      </c>
      <c r="DN35" s="207">
        <f t="shared" si="58"/>
        <v>3.5</v>
      </c>
      <c r="DO35" s="208">
        <f t="shared" si="59"/>
        <v>38.5</v>
      </c>
      <c r="DP35" s="205">
        <f t="shared" si="60"/>
        <v>17.469958333333334</v>
      </c>
      <c r="DQ35" s="206" t="str">
        <f t="shared" si="61"/>
        <v>(1.62)</v>
      </c>
      <c r="DR35" s="207">
        <v>2</v>
      </c>
      <c r="DS35" s="207">
        <f t="shared" si="150"/>
        <v>3.5</v>
      </c>
      <c r="DT35" s="207">
        <v>0</v>
      </c>
      <c r="DU35" s="207">
        <f t="shared" si="62"/>
        <v>0</v>
      </c>
      <c r="DV35" s="207">
        <v>0</v>
      </c>
      <c r="DW35" s="207">
        <f t="shared" si="63"/>
        <v>0</v>
      </c>
      <c r="DX35" s="207">
        <f t="shared" si="64"/>
        <v>3.5</v>
      </c>
      <c r="DY35" s="208">
        <f t="shared" si="65"/>
        <v>44.5</v>
      </c>
      <c r="DZ35" s="205">
        <f t="shared" si="66"/>
        <v>19.432874999999999</v>
      </c>
      <c r="EA35" s="206" t="str">
        <f t="shared" si="67"/>
        <v>(1.81)</v>
      </c>
      <c r="EB35" s="207">
        <v>2</v>
      </c>
      <c r="EC35" s="207">
        <f t="shared" si="68"/>
        <v>3.5</v>
      </c>
      <c r="ED35" s="207">
        <v>0</v>
      </c>
      <c r="EE35" s="207">
        <f t="shared" si="69"/>
        <v>0</v>
      </c>
      <c r="EF35" s="207">
        <v>1</v>
      </c>
      <c r="EG35" s="207">
        <f t="shared" si="70"/>
        <v>1</v>
      </c>
      <c r="EH35" s="207">
        <f t="shared" si="71"/>
        <v>4.5</v>
      </c>
      <c r="EI35" s="208">
        <f t="shared" si="72"/>
        <v>49.5</v>
      </c>
      <c r="EJ35" s="205">
        <f t="shared" si="73"/>
        <v>21.788374999999998</v>
      </c>
      <c r="EK35" s="206" t="str">
        <f t="shared" si="74"/>
        <v>(2.02)</v>
      </c>
      <c r="EL35" s="207">
        <v>2</v>
      </c>
      <c r="EM35" s="207">
        <f t="shared" si="75"/>
        <v>3.5</v>
      </c>
      <c r="EN35" s="207">
        <v>0</v>
      </c>
      <c r="EO35" s="207">
        <f t="shared" si="76"/>
        <v>0</v>
      </c>
      <c r="EP35" s="207">
        <v>1</v>
      </c>
      <c r="EQ35" s="207">
        <f t="shared" si="77"/>
        <v>1</v>
      </c>
      <c r="ER35" s="207">
        <f t="shared" si="78"/>
        <v>4.5</v>
      </c>
      <c r="ES35" s="208">
        <f t="shared" si="79"/>
        <v>55.5</v>
      </c>
      <c r="ET35" s="205">
        <f t="shared" si="80"/>
        <v>24.143874999999998</v>
      </c>
      <c r="EU35" s="206" t="str">
        <f t="shared" si="81"/>
        <v>(2.24)</v>
      </c>
      <c r="EV35" s="207">
        <v>2</v>
      </c>
      <c r="EW35" s="207">
        <f t="shared" si="82"/>
        <v>3.5</v>
      </c>
      <c r="EX35" s="207">
        <v>0</v>
      </c>
      <c r="EY35" s="207">
        <f t="shared" si="83"/>
        <v>0</v>
      </c>
      <c r="EZ35" s="207">
        <v>1</v>
      </c>
      <c r="FA35" s="207">
        <f t="shared" si="84"/>
        <v>1</v>
      </c>
      <c r="FB35" s="207">
        <f t="shared" si="85"/>
        <v>4.5</v>
      </c>
      <c r="FC35" s="208">
        <f t="shared" si="86"/>
        <v>61.5</v>
      </c>
      <c r="FD35" s="205">
        <f t="shared" si="87"/>
        <v>26.891958333333331</v>
      </c>
      <c r="FE35" s="206" t="str">
        <f t="shared" si="88"/>
        <v>(2.50)</v>
      </c>
      <c r="FF35" s="207">
        <v>2</v>
      </c>
      <c r="FG35" s="207">
        <f t="shared" si="89"/>
        <v>3.5</v>
      </c>
      <c r="FH35" s="469">
        <v>0</v>
      </c>
      <c r="FI35" s="207">
        <f t="shared" si="90"/>
        <v>0</v>
      </c>
      <c r="FJ35" s="207">
        <v>0</v>
      </c>
      <c r="FK35" s="207">
        <f t="shared" si="91"/>
        <v>0</v>
      </c>
      <c r="FL35" s="207">
        <f t="shared" si="92"/>
        <v>3.5</v>
      </c>
      <c r="FM35" s="208">
        <f t="shared" si="93"/>
        <v>68.5</v>
      </c>
      <c r="FN35" s="30"/>
      <c r="FO35" s="30"/>
      <c r="FP35" s="31"/>
      <c r="FQ35" s="31"/>
      <c r="FR35" s="31"/>
      <c r="FS35" s="31"/>
      <c r="FT35" s="31"/>
      <c r="FU35" s="31"/>
      <c r="FV35" s="30"/>
      <c r="FW35" s="30"/>
      <c r="FX35" s="30"/>
      <c r="FY35" s="30"/>
      <c r="FZ35" s="30"/>
      <c r="GA35" s="30"/>
      <c r="GB35" s="30"/>
      <c r="GC35" s="30"/>
      <c r="GD35" s="30"/>
      <c r="GE35" s="30"/>
      <c r="GF35" s="30"/>
      <c r="GG35" s="30"/>
      <c r="GH35" s="30"/>
      <c r="GI35" s="30"/>
      <c r="GJ35" s="31"/>
      <c r="GK35" s="31"/>
      <c r="GL35" s="31"/>
      <c r="GM35" s="31"/>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1"/>
      <c r="HO35" s="31"/>
      <c r="HP35" s="31"/>
      <c r="HQ35" s="31"/>
      <c r="HR35" s="31"/>
      <c r="HS35" s="31"/>
      <c r="HT35" s="31"/>
      <c r="HU35" s="31"/>
      <c r="HV35" s="31"/>
      <c r="HW35" s="31"/>
      <c r="HX35" s="31"/>
      <c r="HY35" s="31"/>
      <c r="HZ35" s="31"/>
      <c r="IA35" s="31"/>
      <c r="IB35" s="31"/>
      <c r="IC35" s="31"/>
      <c r="ID35" s="31"/>
      <c r="IE35" s="31"/>
      <c r="IF35" s="30"/>
      <c r="IG35" s="30"/>
      <c r="IH35" s="31"/>
      <c r="II35" s="31"/>
      <c r="IJ35" s="33"/>
      <c r="IK35" s="31"/>
      <c r="IL35" s="31"/>
      <c r="IM35" s="31"/>
      <c r="IN35" s="32"/>
      <c r="IO35" s="32"/>
      <c r="IP35" s="32"/>
      <c r="IQ35" s="24">
        <v>21</v>
      </c>
      <c r="IR35" s="25">
        <v>2.65</v>
      </c>
      <c r="IS35" s="25">
        <v>2.65</v>
      </c>
      <c r="IT35" s="25">
        <v>0.88200000000000001</v>
      </c>
      <c r="IU35" s="25">
        <v>1.75</v>
      </c>
      <c r="IV35" s="25">
        <v>1</v>
      </c>
      <c r="IW35" s="25">
        <v>1.125</v>
      </c>
      <c r="IX35" s="7"/>
    </row>
    <row r="36" spans="2:258" ht="15.75" thickBot="1" x14ac:dyDescent="0.3">
      <c r="B36" s="79">
        <f>B35+6</f>
        <v>114</v>
      </c>
      <c r="C36" s="147">
        <v>20</v>
      </c>
      <c r="D36" s="487"/>
      <c r="E36" s="488"/>
      <c r="F36" s="488"/>
      <c r="G36" s="488"/>
      <c r="H36" s="488"/>
      <c r="I36" s="488"/>
      <c r="J36" s="488"/>
      <c r="K36" s="488"/>
      <c r="L36" s="488"/>
      <c r="M36" s="488"/>
      <c r="N36" s="488"/>
      <c r="O36" s="488"/>
      <c r="P36" s="488"/>
      <c r="Q36" s="488"/>
      <c r="R36" s="488"/>
      <c r="S36" s="488"/>
      <c r="T36" s="488"/>
      <c r="U36" s="488"/>
      <c r="V36" s="488"/>
      <c r="W36" s="488"/>
      <c r="X36" s="76"/>
      <c r="Y36" s="46"/>
      <c r="AT36" s="3"/>
      <c r="AU36" s="26">
        <f t="shared" si="151"/>
        <v>96</v>
      </c>
      <c r="AV36" s="27" t="str">
        <f t="shared" si="10"/>
        <v>(2450)</v>
      </c>
      <c r="AW36" s="18"/>
      <c r="AX36" s="19">
        <f t="shared" si="11"/>
        <v>2.3066388888888887</v>
      </c>
      <c r="AY36" s="20" t="str">
        <f t="shared" si="12"/>
        <v>(0.21)</v>
      </c>
      <c r="AZ36" s="21">
        <v>2</v>
      </c>
      <c r="BA36" s="21">
        <f t="shared" si="13"/>
        <v>3.5</v>
      </c>
      <c r="BB36" s="21">
        <v>0</v>
      </c>
      <c r="BC36" s="21">
        <f t="shared" si="14"/>
        <v>0</v>
      </c>
      <c r="BD36" s="21">
        <v>0</v>
      </c>
      <c r="BE36" s="21">
        <f t="shared" si="15"/>
        <v>0</v>
      </c>
      <c r="BF36" s="21">
        <f t="shared" si="16"/>
        <v>3.5</v>
      </c>
      <c r="BG36" s="22">
        <f t="shared" si="17"/>
        <v>5.5</v>
      </c>
      <c r="BH36" s="205">
        <f t="shared" si="18"/>
        <v>3.5648055555555556</v>
      </c>
      <c r="BI36" s="206" t="str">
        <f t="shared" si="19"/>
        <v>(0.33)</v>
      </c>
      <c r="BJ36" s="207">
        <v>2</v>
      </c>
      <c r="BK36" s="207">
        <f t="shared" si="20"/>
        <v>3.5</v>
      </c>
      <c r="BL36" s="207">
        <v>0</v>
      </c>
      <c r="BM36" s="207">
        <f t="shared" si="21"/>
        <v>0</v>
      </c>
      <c r="BN36" s="207">
        <v>0</v>
      </c>
      <c r="BO36" s="207">
        <f t="shared" si="22"/>
        <v>0</v>
      </c>
      <c r="BP36" s="207">
        <f t="shared" si="23"/>
        <v>3.5</v>
      </c>
      <c r="BQ36" s="208">
        <f t="shared" si="24"/>
        <v>8.5</v>
      </c>
      <c r="BR36" s="205">
        <f t="shared" si="25"/>
        <v>6.0811388888888889</v>
      </c>
      <c r="BS36" s="206" t="str">
        <f t="shared" si="26"/>
        <v>(0.56)</v>
      </c>
      <c r="BT36" s="207">
        <v>2</v>
      </c>
      <c r="BU36" s="207">
        <f t="shared" si="27"/>
        <v>3.5</v>
      </c>
      <c r="BV36" s="207">
        <v>0</v>
      </c>
      <c r="BW36" s="207">
        <f t="shared" si="28"/>
        <v>0</v>
      </c>
      <c r="BX36" s="207">
        <v>0</v>
      </c>
      <c r="BY36" s="207">
        <f t="shared" si="29"/>
        <v>0</v>
      </c>
      <c r="BZ36" s="207">
        <f t="shared" si="30"/>
        <v>3.5</v>
      </c>
      <c r="CA36" s="208">
        <f t="shared" si="31"/>
        <v>14.5</v>
      </c>
      <c r="CB36" s="205">
        <f t="shared" si="32"/>
        <v>8.5974722222222209</v>
      </c>
      <c r="CC36" s="206" t="str">
        <f t="shared" si="33"/>
        <v>(0.8)</v>
      </c>
      <c r="CD36" s="207">
        <v>2</v>
      </c>
      <c r="CE36" s="207">
        <f t="shared" si="34"/>
        <v>3.5</v>
      </c>
      <c r="CF36" s="207">
        <v>0</v>
      </c>
      <c r="CG36" s="207">
        <f t="shared" si="35"/>
        <v>0</v>
      </c>
      <c r="CH36" s="207">
        <v>0</v>
      </c>
      <c r="CI36" s="207">
        <f t="shared" si="36"/>
        <v>0</v>
      </c>
      <c r="CJ36" s="207">
        <f t="shared" si="37"/>
        <v>3.5</v>
      </c>
      <c r="CK36" s="208">
        <f t="shared" si="38"/>
        <v>20.5</v>
      </c>
      <c r="CL36" s="205">
        <f t="shared" si="39"/>
        <v>11.113805555555555</v>
      </c>
      <c r="CM36" s="206" t="str">
        <f t="shared" si="40"/>
        <v>(1.03)</v>
      </c>
      <c r="CN36" s="207">
        <v>2</v>
      </c>
      <c r="CO36" s="207">
        <f t="shared" si="41"/>
        <v>3.5</v>
      </c>
      <c r="CP36" s="207">
        <v>0</v>
      </c>
      <c r="CQ36" s="207">
        <f t="shared" si="42"/>
        <v>0</v>
      </c>
      <c r="CR36" s="207">
        <v>0</v>
      </c>
      <c r="CS36" s="207">
        <f t="shared" si="43"/>
        <v>0</v>
      </c>
      <c r="CT36" s="207">
        <f t="shared" si="44"/>
        <v>3.5</v>
      </c>
      <c r="CU36" s="208">
        <f t="shared" si="45"/>
        <v>26.5</v>
      </c>
      <c r="CV36" s="205">
        <f t="shared" si="46"/>
        <v>13.630138888888887</v>
      </c>
      <c r="CW36" s="206" t="str">
        <f t="shared" si="47"/>
        <v>(1.27)</v>
      </c>
      <c r="CX36" s="207">
        <v>2</v>
      </c>
      <c r="CY36" s="207">
        <f t="shared" si="48"/>
        <v>3.5</v>
      </c>
      <c r="CZ36" s="207">
        <v>0</v>
      </c>
      <c r="DA36" s="207">
        <f t="shared" si="49"/>
        <v>0</v>
      </c>
      <c r="DB36" s="207">
        <v>0</v>
      </c>
      <c r="DC36" s="207">
        <f t="shared" si="50"/>
        <v>0</v>
      </c>
      <c r="DD36" s="207">
        <f t="shared" si="51"/>
        <v>3.5</v>
      </c>
      <c r="DE36" s="208">
        <f t="shared" si="52"/>
        <v>32.5</v>
      </c>
      <c r="DF36" s="205">
        <f t="shared" si="53"/>
        <v>16.146472222222219</v>
      </c>
      <c r="DG36" s="206" t="str">
        <f t="shared" si="54"/>
        <v>(1.5)</v>
      </c>
      <c r="DH36" s="207">
        <v>2</v>
      </c>
      <c r="DI36" s="207">
        <f t="shared" si="55"/>
        <v>3.5</v>
      </c>
      <c r="DJ36" s="207">
        <v>0</v>
      </c>
      <c r="DK36" s="207">
        <f t="shared" si="56"/>
        <v>0</v>
      </c>
      <c r="DL36" s="207">
        <v>0</v>
      </c>
      <c r="DM36" s="207">
        <f t="shared" si="57"/>
        <v>0</v>
      </c>
      <c r="DN36" s="207">
        <f t="shared" si="58"/>
        <v>3.5</v>
      </c>
      <c r="DO36" s="208">
        <f t="shared" si="59"/>
        <v>38.5</v>
      </c>
      <c r="DP36" s="205">
        <f t="shared" si="60"/>
        <v>18.662805555555554</v>
      </c>
      <c r="DQ36" s="206" t="str">
        <f t="shared" si="61"/>
        <v>(1.73)</v>
      </c>
      <c r="DR36" s="207">
        <v>2</v>
      </c>
      <c r="DS36" s="207">
        <f t="shared" si="150"/>
        <v>3.5</v>
      </c>
      <c r="DT36" s="207">
        <v>0</v>
      </c>
      <c r="DU36" s="207">
        <f t="shared" si="62"/>
        <v>0</v>
      </c>
      <c r="DV36" s="207">
        <v>0</v>
      </c>
      <c r="DW36" s="207">
        <f t="shared" si="63"/>
        <v>0</v>
      </c>
      <c r="DX36" s="207">
        <f t="shared" si="64"/>
        <v>3.5</v>
      </c>
      <c r="DY36" s="208">
        <f t="shared" si="65"/>
        <v>44.5</v>
      </c>
      <c r="DZ36" s="205">
        <f t="shared" si="66"/>
        <v>20.75975</v>
      </c>
      <c r="EA36" s="206" t="str">
        <f t="shared" si="67"/>
        <v>(1.93)</v>
      </c>
      <c r="EB36" s="207">
        <v>2</v>
      </c>
      <c r="EC36" s="207">
        <f t="shared" si="68"/>
        <v>3.5</v>
      </c>
      <c r="ED36" s="207">
        <v>0</v>
      </c>
      <c r="EE36" s="207">
        <f t="shared" si="69"/>
        <v>0</v>
      </c>
      <c r="EF36" s="207">
        <v>1</v>
      </c>
      <c r="EG36" s="207">
        <f t="shared" si="70"/>
        <v>1</v>
      </c>
      <c r="EH36" s="207">
        <f t="shared" si="71"/>
        <v>4.5</v>
      </c>
      <c r="EI36" s="208">
        <f t="shared" si="72"/>
        <v>49.5</v>
      </c>
      <c r="EJ36" s="205">
        <f t="shared" si="73"/>
        <v>23.276083333333332</v>
      </c>
      <c r="EK36" s="206" t="str">
        <f t="shared" si="74"/>
        <v>(2.16)</v>
      </c>
      <c r="EL36" s="207">
        <v>2</v>
      </c>
      <c r="EM36" s="207">
        <f t="shared" si="75"/>
        <v>3.5</v>
      </c>
      <c r="EN36" s="207">
        <v>0</v>
      </c>
      <c r="EO36" s="207">
        <f t="shared" si="76"/>
        <v>0</v>
      </c>
      <c r="EP36" s="207">
        <v>1</v>
      </c>
      <c r="EQ36" s="207">
        <f t="shared" si="77"/>
        <v>1</v>
      </c>
      <c r="ER36" s="207">
        <f t="shared" si="78"/>
        <v>4.5</v>
      </c>
      <c r="ES36" s="208">
        <f t="shared" si="79"/>
        <v>55.5</v>
      </c>
      <c r="ET36" s="205">
        <f t="shared" si="80"/>
        <v>25.792416666666664</v>
      </c>
      <c r="EU36" s="206" t="str">
        <f t="shared" si="81"/>
        <v>(2.40)</v>
      </c>
      <c r="EV36" s="207">
        <v>2</v>
      </c>
      <c r="EW36" s="207">
        <f t="shared" si="82"/>
        <v>3.5</v>
      </c>
      <c r="EX36" s="207">
        <v>0</v>
      </c>
      <c r="EY36" s="207">
        <f t="shared" si="83"/>
        <v>0</v>
      </c>
      <c r="EZ36" s="207">
        <v>1</v>
      </c>
      <c r="FA36" s="207">
        <f t="shared" si="84"/>
        <v>1</v>
      </c>
      <c r="FB36" s="207">
        <f t="shared" si="85"/>
        <v>4.5</v>
      </c>
      <c r="FC36" s="208">
        <f t="shared" si="86"/>
        <v>61.5</v>
      </c>
      <c r="FD36" s="205">
        <f t="shared" si="87"/>
        <v>28.728138888888889</v>
      </c>
      <c r="FE36" s="206" t="str">
        <f t="shared" si="88"/>
        <v>(2.67)</v>
      </c>
      <c r="FF36" s="207">
        <v>2</v>
      </c>
      <c r="FG36" s="207">
        <f t="shared" si="89"/>
        <v>3.5</v>
      </c>
      <c r="FH36" s="469">
        <v>0</v>
      </c>
      <c r="FI36" s="207">
        <f t="shared" si="90"/>
        <v>0</v>
      </c>
      <c r="FJ36" s="207">
        <v>0</v>
      </c>
      <c r="FK36" s="207">
        <f t="shared" si="91"/>
        <v>0</v>
      </c>
      <c r="FL36" s="207">
        <f t="shared" si="92"/>
        <v>3.5</v>
      </c>
      <c r="FM36" s="208">
        <f t="shared" si="93"/>
        <v>68.5</v>
      </c>
      <c r="FN36" s="30"/>
      <c r="FO36" s="30"/>
      <c r="FP36" s="31"/>
      <c r="FQ36" s="31"/>
      <c r="FR36" s="31"/>
      <c r="FS36" s="31"/>
      <c r="FT36" s="31"/>
      <c r="FU36" s="31"/>
      <c r="FV36" s="30"/>
      <c r="FW36" s="30"/>
      <c r="FX36" s="30"/>
      <c r="FY36" s="30"/>
      <c r="FZ36" s="30"/>
      <c r="GA36" s="30"/>
      <c r="GB36" s="30"/>
      <c r="GC36" s="30"/>
      <c r="GD36" s="30"/>
      <c r="GE36" s="30"/>
      <c r="GF36" s="30"/>
      <c r="GG36" s="30"/>
      <c r="GH36" s="30"/>
      <c r="GI36" s="30"/>
      <c r="GJ36" s="31"/>
      <c r="GK36" s="31"/>
      <c r="GL36" s="31"/>
      <c r="GM36" s="31"/>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1"/>
      <c r="HO36" s="31"/>
      <c r="HP36" s="31"/>
      <c r="HQ36" s="31"/>
      <c r="HR36" s="31"/>
      <c r="HS36" s="31"/>
      <c r="HT36" s="31"/>
      <c r="HU36" s="31"/>
      <c r="HV36" s="31"/>
      <c r="HW36" s="31"/>
      <c r="HX36" s="31"/>
      <c r="HY36" s="31"/>
      <c r="HZ36" s="31"/>
      <c r="IA36" s="31"/>
      <c r="IB36" s="31"/>
      <c r="IC36" s="31"/>
      <c r="ID36" s="31"/>
      <c r="IE36" s="31"/>
      <c r="IF36" s="30"/>
      <c r="IG36" s="30"/>
      <c r="IH36" s="31"/>
      <c r="II36" s="31"/>
      <c r="IJ36" s="31"/>
      <c r="IK36" s="31"/>
      <c r="IL36" s="31"/>
      <c r="IM36" s="31"/>
      <c r="IN36" s="32"/>
      <c r="IO36" s="32"/>
      <c r="IP36" s="32"/>
      <c r="IQ36" s="24">
        <v>22</v>
      </c>
      <c r="IR36" s="25">
        <v>2.65</v>
      </c>
      <c r="IS36" s="25">
        <v>2.65</v>
      </c>
      <c r="IT36" s="25">
        <v>2.0920000000000001</v>
      </c>
      <c r="IU36" s="25">
        <v>1.75</v>
      </c>
      <c r="IV36" s="25">
        <v>1</v>
      </c>
      <c r="IW36" s="25">
        <v>1.125</v>
      </c>
      <c r="IX36" s="7"/>
    </row>
    <row r="37" spans="2:258" ht="15.75" thickBot="1" x14ac:dyDescent="0.3">
      <c r="B37" s="79">
        <f t="shared" si="9"/>
        <v>120</v>
      </c>
      <c r="C37" s="149">
        <v>21</v>
      </c>
      <c r="D37" s="487"/>
      <c r="E37" s="488"/>
      <c r="F37" s="488"/>
      <c r="G37" s="488"/>
      <c r="H37" s="488"/>
      <c r="I37" s="488"/>
      <c r="J37" s="488"/>
      <c r="K37" s="488"/>
      <c r="L37" s="488"/>
      <c r="M37" s="488"/>
      <c r="N37" s="488"/>
      <c r="O37" s="488"/>
      <c r="P37" s="488"/>
      <c r="Q37" s="488"/>
      <c r="R37" s="488"/>
      <c r="S37" s="488"/>
      <c r="T37" s="488"/>
      <c r="U37" s="488"/>
      <c r="V37" s="488"/>
      <c r="W37" s="488"/>
      <c r="X37" s="76"/>
      <c r="Y37" s="46"/>
      <c r="AT37" s="3"/>
      <c r="AU37" s="26">
        <f t="shared" si="151"/>
        <v>102</v>
      </c>
      <c r="AV37" s="27" t="str">
        <f t="shared" si="10"/>
        <v>(2600)</v>
      </c>
      <c r="AW37" s="18"/>
      <c r="AX37" s="19">
        <f t="shared" si="11"/>
        <v>2.4628541666666668</v>
      </c>
      <c r="AY37" s="20" t="str">
        <f t="shared" si="12"/>
        <v>(0.23)</v>
      </c>
      <c r="AZ37" s="21">
        <v>2</v>
      </c>
      <c r="BA37" s="21">
        <f t="shared" si="13"/>
        <v>3.5</v>
      </c>
      <c r="BB37" s="21">
        <v>0</v>
      </c>
      <c r="BC37" s="21">
        <f t="shared" si="14"/>
        <v>0</v>
      </c>
      <c r="BD37" s="21">
        <v>0</v>
      </c>
      <c r="BE37" s="21">
        <f t="shared" si="15"/>
        <v>0</v>
      </c>
      <c r="BF37" s="21">
        <f t="shared" si="16"/>
        <v>3.5</v>
      </c>
      <c r="BG37" s="22">
        <f t="shared" si="17"/>
        <v>5.5</v>
      </c>
      <c r="BH37" s="205">
        <f t="shared" si="18"/>
        <v>3.8062291666666663</v>
      </c>
      <c r="BI37" s="206" t="str">
        <f t="shared" si="19"/>
        <v>(0.35)</v>
      </c>
      <c r="BJ37" s="207">
        <v>2</v>
      </c>
      <c r="BK37" s="207">
        <f t="shared" si="20"/>
        <v>3.5</v>
      </c>
      <c r="BL37" s="207">
        <v>0</v>
      </c>
      <c r="BM37" s="207">
        <f t="shared" si="21"/>
        <v>0</v>
      </c>
      <c r="BN37" s="207">
        <v>0</v>
      </c>
      <c r="BO37" s="207">
        <f t="shared" si="22"/>
        <v>0</v>
      </c>
      <c r="BP37" s="207">
        <f t="shared" si="23"/>
        <v>3.5</v>
      </c>
      <c r="BQ37" s="208">
        <f t="shared" si="24"/>
        <v>8.5</v>
      </c>
      <c r="BR37" s="205">
        <f t="shared" si="25"/>
        <v>6.4929791666666672</v>
      </c>
      <c r="BS37" s="206" t="str">
        <f t="shared" si="26"/>
        <v>(0.6)</v>
      </c>
      <c r="BT37" s="207">
        <v>2</v>
      </c>
      <c r="BU37" s="207">
        <f t="shared" si="27"/>
        <v>3.5</v>
      </c>
      <c r="BV37" s="207">
        <v>0</v>
      </c>
      <c r="BW37" s="207">
        <f t="shared" si="28"/>
        <v>0</v>
      </c>
      <c r="BX37" s="207">
        <v>0</v>
      </c>
      <c r="BY37" s="207">
        <f t="shared" si="29"/>
        <v>0</v>
      </c>
      <c r="BZ37" s="207">
        <f t="shared" si="30"/>
        <v>3.5</v>
      </c>
      <c r="CA37" s="208">
        <f t="shared" si="31"/>
        <v>14.5</v>
      </c>
      <c r="CB37" s="205">
        <f t="shared" si="32"/>
        <v>9.179729166666668</v>
      </c>
      <c r="CC37" s="206" t="str">
        <f t="shared" si="33"/>
        <v>(0.85)</v>
      </c>
      <c r="CD37" s="207">
        <v>2</v>
      </c>
      <c r="CE37" s="207">
        <f t="shared" si="34"/>
        <v>3.5</v>
      </c>
      <c r="CF37" s="207">
        <v>0</v>
      </c>
      <c r="CG37" s="207">
        <f t="shared" si="35"/>
        <v>0</v>
      </c>
      <c r="CH37" s="207">
        <v>0</v>
      </c>
      <c r="CI37" s="207">
        <f t="shared" si="36"/>
        <v>0</v>
      </c>
      <c r="CJ37" s="207">
        <f t="shared" si="37"/>
        <v>3.5</v>
      </c>
      <c r="CK37" s="208">
        <f t="shared" si="38"/>
        <v>20.5</v>
      </c>
      <c r="CL37" s="205">
        <f t="shared" si="39"/>
        <v>11.866479166666666</v>
      </c>
      <c r="CM37" s="206" t="str">
        <f t="shared" si="40"/>
        <v>(1.1)</v>
      </c>
      <c r="CN37" s="207">
        <v>2</v>
      </c>
      <c r="CO37" s="207">
        <f t="shared" si="41"/>
        <v>3.5</v>
      </c>
      <c r="CP37" s="207">
        <v>0</v>
      </c>
      <c r="CQ37" s="207">
        <f t="shared" si="42"/>
        <v>0</v>
      </c>
      <c r="CR37" s="207">
        <v>0</v>
      </c>
      <c r="CS37" s="207">
        <f t="shared" si="43"/>
        <v>0</v>
      </c>
      <c r="CT37" s="207">
        <f t="shared" si="44"/>
        <v>3.5</v>
      </c>
      <c r="CU37" s="208">
        <f t="shared" si="45"/>
        <v>26.5</v>
      </c>
      <c r="CV37" s="205">
        <f t="shared" si="46"/>
        <v>14.553229166666666</v>
      </c>
      <c r="CW37" s="206" t="str">
        <f t="shared" si="47"/>
        <v>(1.35)</v>
      </c>
      <c r="CX37" s="207">
        <v>2</v>
      </c>
      <c r="CY37" s="207">
        <f t="shared" si="48"/>
        <v>3.5</v>
      </c>
      <c r="CZ37" s="207">
        <v>0</v>
      </c>
      <c r="DA37" s="207">
        <f t="shared" si="49"/>
        <v>0</v>
      </c>
      <c r="DB37" s="207">
        <v>0</v>
      </c>
      <c r="DC37" s="207">
        <f t="shared" si="50"/>
        <v>0</v>
      </c>
      <c r="DD37" s="207">
        <f t="shared" si="51"/>
        <v>3.5</v>
      </c>
      <c r="DE37" s="208">
        <f t="shared" si="52"/>
        <v>32.5</v>
      </c>
      <c r="DF37" s="205">
        <f t="shared" si="53"/>
        <v>17.239979166666664</v>
      </c>
      <c r="DG37" s="206" t="str">
        <f t="shared" si="54"/>
        <v>(1.6)</v>
      </c>
      <c r="DH37" s="207">
        <v>2</v>
      </c>
      <c r="DI37" s="207">
        <f t="shared" si="55"/>
        <v>3.5</v>
      </c>
      <c r="DJ37" s="207">
        <v>0</v>
      </c>
      <c r="DK37" s="207">
        <f t="shared" si="56"/>
        <v>0</v>
      </c>
      <c r="DL37" s="207">
        <v>0</v>
      </c>
      <c r="DM37" s="207">
        <f t="shared" si="57"/>
        <v>0</v>
      </c>
      <c r="DN37" s="207">
        <f t="shared" si="58"/>
        <v>3.5</v>
      </c>
      <c r="DO37" s="208">
        <f t="shared" si="59"/>
        <v>38.5</v>
      </c>
      <c r="DP37" s="205">
        <f t="shared" si="60"/>
        <v>19.926729166666668</v>
      </c>
      <c r="DQ37" s="206" t="str">
        <f t="shared" si="61"/>
        <v>(1.85)</v>
      </c>
      <c r="DR37" s="207">
        <v>2</v>
      </c>
      <c r="DS37" s="207">
        <f t="shared" si="150"/>
        <v>3.5</v>
      </c>
      <c r="DT37" s="207">
        <v>0</v>
      </c>
      <c r="DU37" s="207">
        <f t="shared" si="62"/>
        <v>0</v>
      </c>
      <c r="DV37" s="207">
        <v>0</v>
      </c>
      <c r="DW37" s="207">
        <f t="shared" si="63"/>
        <v>0</v>
      </c>
      <c r="DX37" s="207">
        <f t="shared" si="64"/>
        <v>3.5</v>
      </c>
      <c r="DY37" s="208">
        <f t="shared" si="65"/>
        <v>44.5</v>
      </c>
      <c r="DZ37" s="205">
        <f t="shared" si="66"/>
        <v>22.165687500000001</v>
      </c>
      <c r="EA37" s="206" t="str">
        <f t="shared" si="67"/>
        <v>(2.06)</v>
      </c>
      <c r="EB37" s="207">
        <v>2</v>
      </c>
      <c r="EC37" s="207">
        <f t="shared" si="68"/>
        <v>3.5</v>
      </c>
      <c r="ED37" s="207">
        <v>0</v>
      </c>
      <c r="EE37" s="207">
        <f t="shared" si="69"/>
        <v>0</v>
      </c>
      <c r="EF37" s="207">
        <v>1</v>
      </c>
      <c r="EG37" s="207">
        <f t="shared" si="70"/>
        <v>1</v>
      </c>
      <c r="EH37" s="207">
        <f t="shared" si="71"/>
        <v>4.5</v>
      </c>
      <c r="EI37" s="208">
        <f t="shared" si="72"/>
        <v>49.5</v>
      </c>
      <c r="EJ37" s="205">
        <f t="shared" si="73"/>
        <v>24.852437499999997</v>
      </c>
      <c r="EK37" s="206" t="str">
        <f t="shared" si="74"/>
        <v>(2.31)</v>
      </c>
      <c r="EL37" s="207">
        <v>2</v>
      </c>
      <c r="EM37" s="207">
        <f t="shared" si="75"/>
        <v>3.5</v>
      </c>
      <c r="EN37" s="207">
        <v>0</v>
      </c>
      <c r="EO37" s="207">
        <f t="shared" si="76"/>
        <v>0</v>
      </c>
      <c r="EP37" s="207">
        <v>1</v>
      </c>
      <c r="EQ37" s="207">
        <f t="shared" si="77"/>
        <v>1</v>
      </c>
      <c r="ER37" s="207">
        <f t="shared" si="78"/>
        <v>4.5</v>
      </c>
      <c r="ES37" s="208">
        <f t="shared" si="79"/>
        <v>55.5</v>
      </c>
      <c r="ET37" s="205">
        <f t="shared" si="80"/>
        <v>27.539187500000001</v>
      </c>
      <c r="EU37" s="206" t="str">
        <f t="shared" si="81"/>
        <v>(2.56)</v>
      </c>
      <c r="EV37" s="207">
        <v>2</v>
      </c>
      <c r="EW37" s="207">
        <f t="shared" si="82"/>
        <v>3.5</v>
      </c>
      <c r="EX37" s="207">
        <v>0</v>
      </c>
      <c r="EY37" s="207">
        <f t="shared" si="83"/>
        <v>0</v>
      </c>
      <c r="EZ37" s="207">
        <v>1</v>
      </c>
      <c r="FA37" s="207">
        <f t="shared" si="84"/>
        <v>1</v>
      </c>
      <c r="FB37" s="207">
        <f t="shared" si="85"/>
        <v>4.5</v>
      </c>
      <c r="FC37" s="208">
        <f t="shared" si="86"/>
        <v>61.5</v>
      </c>
      <c r="FD37" s="205">
        <f t="shared" si="87"/>
        <v>30.673729166666664</v>
      </c>
      <c r="FE37" s="206" t="str">
        <f t="shared" si="88"/>
        <v>(2.85)</v>
      </c>
      <c r="FF37" s="207">
        <v>2</v>
      </c>
      <c r="FG37" s="207">
        <f t="shared" si="89"/>
        <v>3.5</v>
      </c>
      <c r="FH37" s="469">
        <v>0</v>
      </c>
      <c r="FI37" s="207">
        <f t="shared" si="90"/>
        <v>0</v>
      </c>
      <c r="FJ37" s="207">
        <v>0</v>
      </c>
      <c r="FK37" s="207">
        <f t="shared" si="91"/>
        <v>0</v>
      </c>
      <c r="FL37" s="207">
        <f t="shared" si="92"/>
        <v>3.5</v>
      </c>
      <c r="FM37" s="208">
        <f t="shared" si="93"/>
        <v>68.5</v>
      </c>
      <c r="FN37" s="30"/>
      <c r="FO37" s="30"/>
      <c r="FP37" s="31"/>
      <c r="FQ37" s="31"/>
      <c r="FR37" s="31"/>
      <c r="FS37" s="31"/>
      <c r="FT37" s="31"/>
      <c r="FU37" s="31"/>
      <c r="FV37" s="30"/>
      <c r="FW37" s="30"/>
      <c r="FX37" s="30"/>
      <c r="FY37" s="30"/>
      <c r="FZ37" s="30"/>
      <c r="GA37" s="30"/>
      <c r="GB37" s="30"/>
      <c r="GC37" s="30"/>
      <c r="GD37" s="30"/>
      <c r="GE37" s="30"/>
      <c r="GF37" s="30"/>
      <c r="GG37" s="30"/>
      <c r="GH37" s="30"/>
      <c r="GI37" s="30"/>
      <c r="GJ37" s="31"/>
      <c r="GK37" s="31"/>
      <c r="GL37" s="31"/>
      <c r="GM37" s="31"/>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1"/>
      <c r="HO37" s="31"/>
      <c r="HP37" s="31"/>
      <c r="HQ37" s="31"/>
      <c r="HR37" s="31"/>
      <c r="HS37" s="31"/>
      <c r="HT37" s="31"/>
      <c r="HU37" s="31"/>
      <c r="HV37" s="31"/>
      <c r="HW37" s="31"/>
      <c r="HX37" s="31"/>
      <c r="HY37" s="31"/>
      <c r="HZ37" s="31"/>
      <c r="IA37" s="31"/>
      <c r="IB37" s="31"/>
      <c r="IC37" s="31"/>
      <c r="ID37" s="31"/>
      <c r="IE37" s="31"/>
      <c r="IF37" s="30"/>
      <c r="IG37" s="30"/>
      <c r="IH37" s="31"/>
      <c r="II37" s="31"/>
      <c r="IJ37" s="31"/>
      <c r="IK37" s="31"/>
      <c r="IL37" s="31"/>
      <c r="IM37" s="31"/>
      <c r="IN37" s="32"/>
      <c r="IO37" s="32"/>
      <c r="IP37" s="32"/>
      <c r="IQ37" s="24">
        <v>24</v>
      </c>
      <c r="IR37" s="25">
        <v>2.65</v>
      </c>
      <c r="IS37" s="25">
        <v>2.65</v>
      </c>
      <c r="IT37" s="25">
        <v>0.88200000000000001</v>
      </c>
      <c r="IU37" s="25">
        <v>1.75</v>
      </c>
      <c r="IV37" s="25">
        <v>1</v>
      </c>
      <c r="IW37" s="25">
        <v>1.125</v>
      </c>
      <c r="IX37" s="7"/>
    </row>
    <row r="38" spans="2:258" ht="15.75" thickBot="1" x14ac:dyDescent="0.3">
      <c r="B38" s="47"/>
      <c r="C38" s="76"/>
      <c r="D38" s="76"/>
      <c r="E38" s="76"/>
      <c r="F38" s="76"/>
      <c r="G38" s="76"/>
      <c r="H38" s="76"/>
      <c r="I38" s="76"/>
      <c r="J38" s="76"/>
      <c r="K38" s="76"/>
      <c r="L38" s="76"/>
      <c r="M38" s="76"/>
      <c r="N38" s="76"/>
      <c r="O38" s="76"/>
      <c r="P38" s="76"/>
      <c r="Q38" s="76"/>
      <c r="R38" s="76"/>
      <c r="S38" s="76"/>
      <c r="T38" s="76"/>
      <c r="U38" s="76"/>
      <c r="V38" s="76"/>
      <c r="W38" s="76"/>
      <c r="X38" s="76"/>
      <c r="Y38" s="46"/>
      <c r="AT38" s="3"/>
      <c r="AU38" s="26">
        <f t="shared" si="151"/>
        <v>108</v>
      </c>
      <c r="AV38" s="27" t="str">
        <f t="shared" si="10"/>
        <v>(2750)</v>
      </c>
      <c r="AW38" s="18"/>
      <c r="AX38" s="19">
        <f t="shared" si="11"/>
        <v>2.6102847222222221</v>
      </c>
      <c r="AY38" s="20" t="str">
        <f t="shared" si="12"/>
        <v>(0.24)</v>
      </c>
      <c r="AZ38" s="21">
        <v>2</v>
      </c>
      <c r="BA38" s="21">
        <f t="shared" si="13"/>
        <v>3.5</v>
      </c>
      <c r="BB38" s="21">
        <v>0</v>
      </c>
      <c r="BC38" s="21">
        <f t="shared" si="14"/>
        <v>0</v>
      </c>
      <c r="BD38" s="21">
        <v>0</v>
      </c>
      <c r="BE38" s="21">
        <f t="shared" si="15"/>
        <v>0</v>
      </c>
      <c r="BF38" s="21">
        <f t="shared" si="16"/>
        <v>3.5</v>
      </c>
      <c r="BG38" s="22">
        <f t="shared" si="17"/>
        <v>5.5</v>
      </c>
      <c r="BH38" s="205">
        <f t="shared" si="18"/>
        <v>4.0340763888888889</v>
      </c>
      <c r="BI38" s="206" t="str">
        <f t="shared" si="19"/>
        <v>(0.37)</v>
      </c>
      <c r="BJ38" s="207">
        <v>2</v>
      </c>
      <c r="BK38" s="207">
        <f t="shared" si="20"/>
        <v>3.5</v>
      </c>
      <c r="BL38" s="207">
        <v>0</v>
      </c>
      <c r="BM38" s="207">
        <f t="shared" si="21"/>
        <v>0</v>
      </c>
      <c r="BN38" s="207">
        <v>0</v>
      </c>
      <c r="BO38" s="207">
        <f t="shared" si="22"/>
        <v>0</v>
      </c>
      <c r="BP38" s="207">
        <f t="shared" si="23"/>
        <v>3.5</v>
      </c>
      <c r="BQ38" s="208">
        <f t="shared" si="24"/>
        <v>8.5</v>
      </c>
      <c r="BR38" s="205">
        <f t="shared" si="25"/>
        <v>6.8816597222222216</v>
      </c>
      <c r="BS38" s="206" t="str">
        <f t="shared" si="26"/>
        <v>(0.64)</v>
      </c>
      <c r="BT38" s="207">
        <v>2</v>
      </c>
      <c r="BU38" s="207">
        <f t="shared" si="27"/>
        <v>3.5</v>
      </c>
      <c r="BV38" s="207">
        <v>0</v>
      </c>
      <c r="BW38" s="207">
        <f t="shared" si="28"/>
        <v>0</v>
      </c>
      <c r="BX38" s="207">
        <v>0</v>
      </c>
      <c r="BY38" s="207">
        <f t="shared" si="29"/>
        <v>0</v>
      </c>
      <c r="BZ38" s="207">
        <f t="shared" si="30"/>
        <v>3.5</v>
      </c>
      <c r="CA38" s="208">
        <f t="shared" si="31"/>
        <v>14.5</v>
      </c>
      <c r="CB38" s="205">
        <f t="shared" si="32"/>
        <v>9.7292430555555551</v>
      </c>
      <c r="CC38" s="206" t="str">
        <f t="shared" si="33"/>
        <v>(0.9)</v>
      </c>
      <c r="CD38" s="207">
        <v>2</v>
      </c>
      <c r="CE38" s="207">
        <f t="shared" si="34"/>
        <v>3.5</v>
      </c>
      <c r="CF38" s="207">
        <v>0</v>
      </c>
      <c r="CG38" s="207">
        <f t="shared" si="35"/>
        <v>0</v>
      </c>
      <c r="CH38" s="207">
        <v>0</v>
      </c>
      <c r="CI38" s="207">
        <f t="shared" si="36"/>
        <v>0</v>
      </c>
      <c r="CJ38" s="207">
        <f t="shared" si="37"/>
        <v>3.5</v>
      </c>
      <c r="CK38" s="208">
        <f t="shared" si="38"/>
        <v>20.5</v>
      </c>
      <c r="CL38" s="205">
        <f t="shared" si="39"/>
        <v>12.576826388888888</v>
      </c>
      <c r="CM38" s="206" t="str">
        <f t="shared" si="40"/>
        <v>(1.17)</v>
      </c>
      <c r="CN38" s="207">
        <v>2</v>
      </c>
      <c r="CO38" s="207">
        <f t="shared" si="41"/>
        <v>3.5</v>
      </c>
      <c r="CP38" s="207">
        <v>0</v>
      </c>
      <c r="CQ38" s="207">
        <f t="shared" si="42"/>
        <v>0</v>
      </c>
      <c r="CR38" s="207">
        <v>0</v>
      </c>
      <c r="CS38" s="207">
        <f t="shared" si="43"/>
        <v>0</v>
      </c>
      <c r="CT38" s="207">
        <f t="shared" si="44"/>
        <v>3.5</v>
      </c>
      <c r="CU38" s="208">
        <f t="shared" si="45"/>
        <v>26.5</v>
      </c>
      <c r="CV38" s="205">
        <f t="shared" si="46"/>
        <v>15.424409722222221</v>
      </c>
      <c r="CW38" s="206" t="str">
        <f t="shared" si="47"/>
        <v>(1.43)</v>
      </c>
      <c r="CX38" s="207">
        <v>2</v>
      </c>
      <c r="CY38" s="207">
        <f t="shared" si="48"/>
        <v>3.5</v>
      </c>
      <c r="CZ38" s="207">
        <v>0</v>
      </c>
      <c r="DA38" s="207">
        <f t="shared" si="49"/>
        <v>0</v>
      </c>
      <c r="DB38" s="207">
        <v>0</v>
      </c>
      <c r="DC38" s="207">
        <f t="shared" si="50"/>
        <v>0</v>
      </c>
      <c r="DD38" s="207">
        <f t="shared" si="51"/>
        <v>3.5</v>
      </c>
      <c r="DE38" s="208">
        <f t="shared" si="52"/>
        <v>32.5</v>
      </c>
      <c r="DF38" s="205">
        <f t="shared" si="53"/>
        <v>18.271993055555555</v>
      </c>
      <c r="DG38" s="206" t="str">
        <f t="shared" si="54"/>
        <v>(1.7)</v>
      </c>
      <c r="DH38" s="207">
        <v>2</v>
      </c>
      <c r="DI38" s="207">
        <f t="shared" si="55"/>
        <v>3.5</v>
      </c>
      <c r="DJ38" s="207">
        <v>0</v>
      </c>
      <c r="DK38" s="207">
        <f t="shared" si="56"/>
        <v>0</v>
      </c>
      <c r="DL38" s="207">
        <v>0</v>
      </c>
      <c r="DM38" s="207">
        <f t="shared" si="57"/>
        <v>0</v>
      </c>
      <c r="DN38" s="207">
        <f t="shared" si="58"/>
        <v>3.5</v>
      </c>
      <c r="DO38" s="208">
        <f t="shared" si="59"/>
        <v>38.5</v>
      </c>
      <c r="DP38" s="205">
        <f t="shared" si="60"/>
        <v>21.119576388888888</v>
      </c>
      <c r="DQ38" s="206" t="str">
        <f t="shared" si="61"/>
        <v>(1.96)</v>
      </c>
      <c r="DR38" s="207">
        <v>2</v>
      </c>
      <c r="DS38" s="207">
        <f t="shared" si="150"/>
        <v>3.5</v>
      </c>
      <c r="DT38" s="207">
        <v>0</v>
      </c>
      <c r="DU38" s="207">
        <f t="shared" si="62"/>
        <v>0</v>
      </c>
      <c r="DV38" s="207">
        <v>0</v>
      </c>
      <c r="DW38" s="207">
        <f t="shared" si="63"/>
        <v>0</v>
      </c>
      <c r="DX38" s="207">
        <f t="shared" si="64"/>
        <v>3.5</v>
      </c>
      <c r="DY38" s="208">
        <f t="shared" si="65"/>
        <v>44.5</v>
      </c>
      <c r="DZ38" s="205">
        <f t="shared" si="66"/>
        <v>23.492562500000002</v>
      </c>
      <c r="EA38" s="206" t="str">
        <f t="shared" si="67"/>
        <v>(2.18)</v>
      </c>
      <c r="EB38" s="207">
        <v>2</v>
      </c>
      <c r="EC38" s="207">
        <f t="shared" si="68"/>
        <v>3.5</v>
      </c>
      <c r="ED38" s="207">
        <v>0</v>
      </c>
      <c r="EE38" s="207">
        <f t="shared" si="69"/>
        <v>0</v>
      </c>
      <c r="EF38" s="207">
        <v>1</v>
      </c>
      <c r="EG38" s="207">
        <f t="shared" si="70"/>
        <v>1</v>
      </c>
      <c r="EH38" s="207">
        <f t="shared" si="71"/>
        <v>4.5</v>
      </c>
      <c r="EI38" s="208">
        <f t="shared" si="72"/>
        <v>49.5</v>
      </c>
      <c r="EJ38" s="205">
        <f t="shared" si="73"/>
        <v>26.340145833333331</v>
      </c>
      <c r="EK38" s="206" t="str">
        <f t="shared" si="74"/>
        <v>(2.45)</v>
      </c>
      <c r="EL38" s="207">
        <v>2</v>
      </c>
      <c r="EM38" s="207">
        <f t="shared" si="75"/>
        <v>3.5</v>
      </c>
      <c r="EN38" s="207">
        <v>0</v>
      </c>
      <c r="EO38" s="207">
        <f t="shared" si="76"/>
        <v>0</v>
      </c>
      <c r="EP38" s="207">
        <v>1</v>
      </c>
      <c r="EQ38" s="207">
        <f t="shared" si="77"/>
        <v>1</v>
      </c>
      <c r="ER38" s="207">
        <f t="shared" si="78"/>
        <v>4.5</v>
      </c>
      <c r="ES38" s="208">
        <f t="shared" si="79"/>
        <v>55.5</v>
      </c>
      <c r="ET38" s="205">
        <f t="shared" si="80"/>
        <v>29.187729166666671</v>
      </c>
      <c r="EU38" s="206" t="str">
        <f t="shared" si="81"/>
        <v>(2.71)</v>
      </c>
      <c r="EV38" s="207">
        <v>2</v>
      </c>
      <c r="EW38" s="207">
        <f t="shared" si="82"/>
        <v>3.5</v>
      </c>
      <c r="EX38" s="207">
        <v>0</v>
      </c>
      <c r="EY38" s="207">
        <f t="shared" si="83"/>
        <v>0</v>
      </c>
      <c r="EZ38" s="207">
        <v>1</v>
      </c>
      <c r="FA38" s="207">
        <f t="shared" si="84"/>
        <v>1</v>
      </c>
      <c r="FB38" s="207">
        <f t="shared" si="85"/>
        <v>4.5</v>
      </c>
      <c r="FC38" s="208">
        <f t="shared" si="86"/>
        <v>61.5</v>
      </c>
      <c r="FD38" s="205">
        <f t="shared" si="87"/>
        <v>32.509909722222218</v>
      </c>
      <c r="FE38" s="206" t="str">
        <f t="shared" si="88"/>
        <v>(3.02)</v>
      </c>
      <c r="FF38" s="207">
        <v>2</v>
      </c>
      <c r="FG38" s="207">
        <f t="shared" si="89"/>
        <v>3.5</v>
      </c>
      <c r="FH38" s="469">
        <v>0</v>
      </c>
      <c r="FI38" s="207">
        <f t="shared" si="90"/>
        <v>0</v>
      </c>
      <c r="FJ38" s="207">
        <v>0</v>
      </c>
      <c r="FK38" s="207">
        <f t="shared" si="91"/>
        <v>0</v>
      </c>
      <c r="FL38" s="207">
        <f t="shared" si="92"/>
        <v>3.5</v>
      </c>
      <c r="FM38" s="208">
        <f t="shared" si="93"/>
        <v>68.5</v>
      </c>
      <c r="FN38" s="30"/>
      <c r="FO38" s="30"/>
      <c r="FP38" s="31"/>
      <c r="FQ38" s="31"/>
      <c r="FR38" s="31"/>
      <c r="FS38" s="31"/>
      <c r="FT38" s="31"/>
      <c r="FU38" s="31"/>
      <c r="FV38" s="30"/>
      <c r="FW38" s="30"/>
      <c r="FX38" s="30"/>
      <c r="FY38" s="30"/>
      <c r="FZ38" s="30"/>
      <c r="GA38" s="30"/>
      <c r="GB38" s="30"/>
      <c r="GC38" s="30"/>
      <c r="GD38" s="30"/>
      <c r="GE38" s="30"/>
      <c r="GF38" s="30"/>
      <c r="GG38" s="30"/>
      <c r="GH38" s="30"/>
      <c r="GI38" s="30"/>
      <c r="GJ38" s="31"/>
      <c r="GK38" s="31"/>
      <c r="GL38" s="31"/>
      <c r="GM38" s="31"/>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1"/>
      <c r="HO38" s="31"/>
      <c r="HP38" s="31"/>
      <c r="HQ38" s="31"/>
      <c r="HR38" s="31"/>
      <c r="HS38" s="31"/>
      <c r="HT38" s="31"/>
      <c r="HU38" s="31"/>
      <c r="HV38" s="31"/>
      <c r="HW38" s="31"/>
      <c r="HX38" s="31"/>
      <c r="HY38" s="31"/>
      <c r="HZ38" s="31"/>
      <c r="IA38" s="31"/>
      <c r="IB38" s="31"/>
      <c r="IC38" s="31"/>
      <c r="ID38" s="31"/>
      <c r="IE38" s="31"/>
      <c r="IF38" s="30"/>
      <c r="IG38" s="30"/>
      <c r="IH38" s="31"/>
      <c r="II38" s="31"/>
      <c r="IJ38" s="31"/>
      <c r="IK38" s="31"/>
      <c r="IL38" s="31"/>
      <c r="IM38" s="31"/>
      <c r="IN38" s="32"/>
      <c r="IO38" s="32"/>
      <c r="IP38" s="32"/>
      <c r="IQ38" s="24">
        <v>25</v>
      </c>
      <c r="IR38" s="25">
        <v>2.65</v>
      </c>
      <c r="IS38" s="25">
        <v>2.65</v>
      </c>
      <c r="IT38" s="25">
        <v>2.0920000000000001</v>
      </c>
      <c r="IU38" s="25">
        <v>1.75</v>
      </c>
      <c r="IV38" s="25">
        <v>1</v>
      </c>
      <c r="IW38" s="25">
        <v>1.125</v>
      </c>
      <c r="IX38" s="7"/>
    </row>
    <row r="39" spans="2:258" ht="15.75" thickBot="1" x14ac:dyDescent="0.3">
      <c r="B39" s="47"/>
      <c r="C39" s="45"/>
      <c r="D39" s="45"/>
      <c r="E39" s="45"/>
      <c r="F39" s="45"/>
      <c r="G39" s="45"/>
      <c r="H39" s="45"/>
      <c r="I39" s="45"/>
      <c r="J39" s="45"/>
      <c r="K39" s="45"/>
      <c r="L39" s="45"/>
      <c r="M39" s="45"/>
      <c r="N39" s="45"/>
      <c r="O39" s="45"/>
      <c r="P39" s="45"/>
      <c r="Q39" s="45"/>
      <c r="R39" s="45"/>
      <c r="S39" s="45"/>
      <c r="T39" s="45"/>
      <c r="U39" s="45"/>
      <c r="V39" s="45"/>
      <c r="W39" s="45"/>
      <c r="X39" s="76"/>
      <c r="Y39" s="46"/>
      <c r="AT39" s="3"/>
      <c r="AU39" s="26">
        <f t="shared" si="151"/>
        <v>114</v>
      </c>
      <c r="AV39" s="27" t="str">
        <f t="shared" si="10"/>
        <v>(2900)</v>
      </c>
      <c r="AW39" s="18"/>
      <c r="AX39" s="19">
        <f t="shared" si="11"/>
        <v>2.7665000000000002</v>
      </c>
      <c r="AY39" s="20" t="str">
        <f t="shared" si="12"/>
        <v>(0.26)</v>
      </c>
      <c r="AZ39" s="21">
        <v>2</v>
      </c>
      <c r="BA39" s="21">
        <f t="shared" si="13"/>
        <v>3.5</v>
      </c>
      <c r="BB39" s="21">
        <v>0</v>
      </c>
      <c r="BC39" s="21">
        <f t="shared" si="14"/>
        <v>0</v>
      </c>
      <c r="BD39" s="21">
        <v>0</v>
      </c>
      <c r="BE39" s="21">
        <f t="shared" si="15"/>
        <v>0</v>
      </c>
      <c r="BF39" s="21">
        <f t="shared" si="16"/>
        <v>3.5</v>
      </c>
      <c r="BG39" s="22">
        <f t="shared" si="17"/>
        <v>5.5</v>
      </c>
      <c r="BH39" s="205">
        <f t="shared" si="18"/>
        <v>4.2755000000000001</v>
      </c>
      <c r="BI39" s="206" t="str">
        <f t="shared" si="19"/>
        <v>(0.40)</v>
      </c>
      <c r="BJ39" s="207">
        <v>2</v>
      </c>
      <c r="BK39" s="207">
        <f t="shared" si="20"/>
        <v>3.5</v>
      </c>
      <c r="BL39" s="207">
        <v>0</v>
      </c>
      <c r="BM39" s="207">
        <f t="shared" si="21"/>
        <v>0</v>
      </c>
      <c r="BN39" s="207">
        <v>0</v>
      </c>
      <c r="BO39" s="207">
        <f t="shared" si="22"/>
        <v>0</v>
      </c>
      <c r="BP39" s="207">
        <f t="shared" si="23"/>
        <v>3.5</v>
      </c>
      <c r="BQ39" s="208">
        <f t="shared" si="24"/>
        <v>8.5</v>
      </c>
      <c r="BR39" s="205">
        <f t="shared" si="25"/>
        <v>7.2935000000000008</v>
      </c>
      <c r="BS39" s="206" t="str">
        <f t="shared" si="26"/>
        <v>(0.68)</v>
      </c>
      <c r="BT39" s="207">
        <v>2</v>
      </c>
      <c r="BU39" s="207">
        <f t="shared" si="27"/>
        <v>3.5</v>
      </c>
      <c r="BV39" s="207">
        <v>0</v>
      </c>
      <c r="BW39" s="207">
        <f t="shared" si="28"/>
        <v>0</v>
      </c>
      <c r="BX39" s="207">
        <v>0</v>
      </c>
      <c r="BY39" s="207">
        <f t="shared" si="29"/>
        <v>0</v>
      </c>
      <c r="BZ39" s="207">
        <f t="shared" si="30"/>
        <v>3.5</v>
      </c>
      <c r="CA39" s="208">
        <f t="shared" si="31"/>
        <v>14.5</v>
      </c>
      <c r="CB39" s="205">
        <f t="shared" si="32"/>
        <v>10.311500000000001</v>
      </c>
      <c r="CC39" s="206" t="str">
        <f t="shared" si="33"/>
        <v>(0.96)</v>
      </c>
      <c r="CD39" s="207">
        <v>2</v>
      </c>
      <c r="CE39" s="207">
        <f t="shared" si="34"/>
        <v>3.5</v>
      </c>
      <c r="CF39" s="207">
        <v>0</v>
      </c>
      <c r="CG39" s="207">
        <f t="shared" si="35"/>
        <v>0</v>
      </c>
      <c r="CH39" s="207">
        <v>0</v>
      </c>
      <c r="CI39" s="207">
        <f t="shared" si="36"/>
        <v>0</v>
      </c>
      <c r="CJ39" s="207">
        <f t="shared" si="37"/>
        <v>3.5</v>
      </c>
      <c r="CK39" s="208">
        <f t="shared" si="38"/>
        <v>20.5</v>
      </c>
      <c r="CL39" s="205">
        <f t="shared" si="39"/>
        <v>13.329500000000001</v>
      </c>
      <c r="CM39" s="206" t="str">
        <f t="shared" si="40"/>
        <v>(1.24)</v>
      </c>
      <c r="CN39" s="207">
        <v>2</v>
      </c>
      <c r="CO39" s="207">
        <f t="shared" si="41"/>
        <v>3.5</v>
      </c>
      <c r="CP39" s="207">
        <v>0</v>
      </c>
      <c r="CQ39" s="207">
        <f t="shared" si="42"/>
        <v>0</v>
      </c>
      <c r="CR39" s="207">
        <v>0</v>
      </c>
      <c r="CS39" s="207">
        <f t="shared" si="43"/>
        <v>0</v>
      </c>
      <c r="CT39" s="207">
        <f t="shared" si="44"/>
        <v>3.5</v>
      </c>
      <c r="CU39" s="208">
        <f t="shared" si="45"/>
        <v>26.5</v>
      </c>
      <c r="CV39" s="205">
        <f t="shared" si="46"/>
        <v>16.3475</v>
      </c>
      <c r="CW39" s="206" t="str">
        <f t="shared" si="47"/>
        <v>(1.52)</v>
      </c>
      <c r="CX39" s="207">
        <v>2</v>
      </c>
      <c r="CY39" s="207">
        <f t="shared" si="48"/>
        <v>3.5</v>
      </c>
      <c r="CZ39" s="207">
        <v>0</v>
      </c>
      <c r="DA39" s="207">
        <f t="shared" si="49"/>
        <v>0</v>
      </c>
      <c r="DB39" s="207">
        <v>0</v>
      </c>
      <c r="DC39" s="207">
        <f t="shared" si="50"/>
        <v>0</v>
      </c>
      <c r="DD39" s="207">
        <f t="shared" si="51"/>
        <v>3.5</v>
      </c>
      <c r="DE39" s="208">
        <f t="shared" si="52"/>
        <v>32.5</v>
      </c>
      <c r="DF39" s="205">
        <f t="shared" si="53"/>
        <v>19.365500000000001</v>
      </c>
      <c r="DG39" s="206" t="str">
        <f t="shared" si="54"/>
        <v>(1.8)</v>
      </c>
      <c r="DH39" s="207">
        <v>2</v>
      </c>
      <c r="DI39" s="207">
        <f t="shared" si="55"/>
        <v>3.5</v>
      </c>
      <c r="DJ39" s="207">
        <v>0</v>
      </c>
      <c r="DK39" s="207">
        <f t="shared" si="56"/>
        <v>0</v>
      </c>
      <c r="DL39" s="207">
        <v>0</v>
      </c>
      <c r="DM39" s="207">
        <f t="shared" si="57"/>
        <v>0</v>
      </c>
      <c r="DN39" s="207">
        <f t="shared" si="58"/>
        <v>3.5</v>
      </c>
      <c r="DO39" s="208">
        <f t="shared" si="59"/>
        <v>38.5</v>
      </c>
      <c r="DP39" s="205">
        <f t="shared" si="60"/>
        <v>22.383500000000002</v>
      </c>
      <c r="DQ39" s="206" t="str">
        <f t="shared" si="61"/>
        <v>(2.08)</v>
      </c>
      <c r="DR39" s="207">
        <v>2</v>
      </c>
      <c r="DS39" s="207">
        <f t="shared" si="150"/>
        <v>3.5</v>
      </c>
      <c r="DT39" s="207">
        <v>0</v>
      </c>
      <c r="DU39" s="207">
        <f t="shared" si="62"/>
        <v>0</v>
      </c>
      <c r="DV39" s="207">
        <v>0</v>
      </c>
      <c r="DW39" s="207">
        <f t="shared" si="63"/>
        <v>0</v>
      </c>
      <c r="DX39" s="207">
        <f t="shared" si="64"/>
        <v>3.5</v>
      </c>
      <c r="DY39" s="208">
        <f t="shared" si="65"/>
        <v>44.5</v>
      </c>
      <c r="DZ39" s="205">
        <f t="shared" si="66"/>
        <v>24.898499999999999</v>
      </c>
      <c r="EA39" s="206" t="str">
        <f t="shared" si="67"/>
        <v>(2.31)</v>
      </c>
      <c r="EB39" s="207">
        <v>2</v>
      </c>
      <c r="EC39" s="207">
        <f t="shared" si="68"/>
        <v>3.5</v>
      </c>
      <c r="ED39" s="207">
        <v>0</v>
      </c>
      <c r="EE39" s="207">
        <f t="shared" si="69"/>
        <v>0</v>
      </c>
      <c r="EF39" s="207">
        <v>1</v>
      </c>
      <c r="EG39" s="207">
        <f t="shared" si="70"/>
        <v>1</v>
      </c>
      <c r="EH39" s="207">
        <f t="shared" si="71"/>
        <v>4.5</v>
      </c>
      <c r="EI39" s="208">
        <f t="shared" si="72"/>
        <v>49.5</v>
      </c>
      <c r="EJ39" s="205">
        <f t="shared" si="73"/>
        <v>27.916499999999999</v>
      </c>
      <c r="EK39" s="206" t="str">
        <f t="shared" si="74"/>
        <v>(2.59)</v>
      </c>
      <c r="EL39" s="207">
        <v>2</v>
      </c>
      <c r="EM39" s="207">
        <f t="shared" si="75"/>
        <v>3.5</v>
      </c>
      <c r="EN39" s="207">
        <v>0</v>
      </c>
      <c r="EO39" s="207">
        <f t="shared" si="76"/>
        <v>0</v>
      </c>
      <c r="EP39" s="207">
        <v>1</v>
      </c>
      <c r="EQ39" s="207">
        <f t="shared" si="77"/>
        <v>1</v>
      </c>
      <c r="ER39" s="207">
        <f t="shared" si="78"/>
        <v>4.5</v>
      </c>
      <c r="ES39" s="208">
        <f t="shared" si="79"/>
        <v>55.5</v>
      </c>
      <c r="ET39" s="205">
        <f t="shared" si="80"/>
        <v>30.9345</v>
      </c>
      <c r="EU39" s="206" t="str">
        <f t="shared" si="81"/>
        <v>(2.87)</v>
      </c>
      <c r="EV39" s="207">
        <v>2</v>
      </c>
      <c r="EW39" s="207">
        <f t="shared" si="82"/>
        <v>3.5</v>
      </c>
      <c r="EX39" s="207">
        <v>0</v>
      </c>
      <c r="EY39" s="207">
        <f t="shared" si="83"/>
        <v>0</v>
      </c>
      <c r="EZ39" s="207">
        <v>1</v>
      </c>
      <c r="FA39" s="207">
        <f t="shared" si="84"/>
        <v>1</v>
      </c>
      <c r="FB39" s="207">
        <f t="shared" si="85"/>
        <v>4.5</v>
      </c>
      <c r="FC39" s="208">
        <f t="shared" si="86"/>
        <v>61.5</v>
      </c>
      <c r="FD39" s="205">
        <f t="shared" si="87"/>
        <v>34.455500000000001</v>
      </c>
      <c r="FE39" s="206" t="str">
        <f t="shared" si="88"/>
        <v>(3.20)</v>
      </c>
      <c r="FF39" s="207">
        <v>2</v>
      </c>
      <c r="FG39" s="207">
        <f t="shared" si="89"/>
        <v>3.5</v>
      </c>
      <c r="FH39" s="469">
        <v>0</v>
      </c>
      <c r="FI39" s="207">
        <f t="shared" si="90"/>
        <v>0</v>
      </c>
      <c r="FJ39" s="207">
        <v>0</v>
      </c>
      <c r="FK39" s="207">
        <f t="shared" si="91"/>
        <v>0</v>
      </c>
      <c r="FL39" s="207">
        <f t="shared" si="92"/>
        <v>3.5</v>
      </c>
      <c r="FM39" s="208">
        <f t="shared" si="93"/>
        <v>68.5</v>
      </c>
      <c r="FN39" s="30"/>
      <c r="FO39" s="30"/>
      <c r="FP39" s="31"/>
      <c r="FQ39" s="31"/>
      <c r="FR39" s="31"/>
      <c r="FS39" s="31"/>
      <c r="FT39" s="31"/>
      <c r="FU39" s="31"/>
      <c r="FV39" s="5"/>
      <c r="FW39" s="5"/>
      <c r="FX39" s="5"/>
      <c r="FY39" s="5"/>
      <c r="FZ39" s="5"/>
      <c r="GA39" s="5"/>
      <c r="GB39" s="5"/>
      <c r="GC39" s="5"/>
      <c r="GD39" s="5"/>
      <c r="GE39" s="5"/>
      <c r="GF39" s="5"/>
      <c r="GG39" s="5"/>
      <c r="GH39" s="30"/>
      <c r="GI39" s="30"/>
      <c r="GJ39" s="31"/>
      <c r="GK39" s="31"/>
      <c r="GL39" s="31"/>
      <c r="GM39" s="31"/>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1"/>
      <c r="HO39" s="31"/>
      <c r="HP39" s="31"/>
      <c r="HQ39" s="31"/>
      <c r="HR39" s="31"/>
      <c r="HS39" s="31"/>
      <c r="HT39" s="31"/>
      <c r="HU39" s="31"/>
      <c r="HV39" s="31"/>
      <c r="HW39" s="31"/>
      <c r="HX39" s="31"/>
      <c r="HY39" s="31"/>
      <c r="HZ39" s="31"/>
      <c r="IA39" s="31"/>
      <c r="IB39" s="31"/>
      <c r="IC39" s="31"/>
      <c r="ID39" s="31"/>
      <c r="IE39" s="31"/>
      <c r="IF39" s="30"/>
      <c r="IG39" s="30"/>
      <c r="IH39" s="31"/>
      <c r="II39" s="31"/>
      <c r="IJ39" s="31"/>
      <c r="IK39" s="31"/>
      <c r="IL39" s="31"/>
      <c r="IM39" s="31"/>
      <c r="IN39" s="32"/>
      <c r="IO39" s="32"/>
      <c r="IP39" s="32"/>
      <c r="IQ39" s="24">
        <v>27</v>
      </c>
      <c r="IR39" s="25">
        <v>2.65</v>
      </c>
      <c r="IS39" s="25">
        <v>2.65</v>
      </c>
      <c r="IT39" s="25">
        <v>0.88200000000000001</v>
      </c>
      <c r="IU39" s="25">
        <v>1.75</v>
      </c>
      <c r="IV39" s="25">
        <v>1</v>
      </c>
      <c r="IW39" s="25">
        <v>1.125</v>
      </c>
      <c r="IX39" s="7"/>
    </row>
    <row r="40" spans="2:258" ht="15.75" thickBot="1" x14ac:dyDescent="0.3">
      <c r="B40" s="48"/>
      <c r="C40" s="49"/>
      <c r="D40" s="49"/>
      <c r="E40" s="49"/>
      <c r="F40" s="49"/>
      <c r="G40" s="49"/>
      <c r="H40" s="49"/>
      <c r="I40" s="49"/>
      <c r="J40" s="49"/>
      <c r="K40" s="49"/>
      <c r="L40" s="49"/>
      <c r="M40" s="49"/>
      <c r="N40" s="49"/>
      <c r="O40" s="49"/>
      <c r="P40" s="49"/>
      <c r="Q40" s="49"/>
      <c r="R40" s="49"/>
      <c r="S40" s="49"/>
      <c r="T40" s="49"/>
      <c r="U40" s="49"/>
      <c r="V40" s="49"/>
      <c r="W40" s="49"/>
      <c r="X40" s="49"/>
      <c r="Y40" s="50"/>
      <c r="AT40" s="3"/>
      <c r="AU40" s="26">
        <f t="shared" si="151"/>
        <v>120</v>
      </c>
      <c r="AV40" s="27" t="str">
        <f t="shared" si="10"/>
        <v>(3050)</v>
      </c>
      <c r="AW40" s="18"/>
      <c r="AX40" s="19">
        <f t="shared" si="11"/>
        <v>2.9139305555555555</v>
      </c>
      <c r="AY40" s="28" t="str">
        <f t="shared" si="12"/>
        <v>(0.27)</v>
      </c>
      <c r="AZ40" s="21">
        <v>2</v>
      </c>
      <c r="BA40" s="21">
        <f t="shared" si="13"/>
        <v>3.5</v>
      </c>
      <c r="BB40" s="29">
        <v>0</v>
      </c>
      <c r="BC40" s="21">
        <f t="shared" si="14"/>
        <v>0</v>
      </c>
      <c r="BD40" s="29">
        <v>0</v>
      </c>
      <c r="BE40" s="21">
        <f t="shared" si="15"/>
        <v>0</v>
      </c>
      <c r="BF40" s="21">
        <f t="shared" si="16"/>
        <v>3.5</v>
      </c>
      <c r="BG40" s="22">
        <f t="shared" si="17"/>
        <v>5.5</v>
      </c>
      <c r="BH40" s="205">
        <f t="shared" si="18"/>
        <v>4.5033472222222217</v>
      </c>
      <c r="BI40" s="206" t="str">
        <f t="shared" si="19"/>
        <v>(0.42)</v>
      </c>
      <c r="BJ40" s="207">
        <v>2</v>
      </c>
      <c r="BK40" s="207">
        <f t="shared" si="20"/>
        <v>3.5</v>
      </c>
      <c r="BL40" s="207">
        <v>0</v>
      </c>
      <c r="BM40" s="207">
        <f t="shared" si="21"/>
        <v>0</v>
      </c>
      <c r="BN40" s="207">
        <v>0</v>
      </c>
      <c r="BO40" s="207">
        <f t="shared" si="22"/>
        <v>0</v>
      </c>
      <c r="BP40" s="207">
        <f t="shared" si="23"/>
        <v>3.5</v>
      </c>
      <c r="BQ40" s="208">
        <f t="shared" si="24"/>
        <v>8.5</v>
      </c>
      <c r="BR40" s="205">
        <f t="shared" si="25"/>
        <v>7.6821805555555551</v>
      </c>
      <c r="BS40" s="206" t="str">
        <f t="shared" si="26"/>
        <v>(0.71)</v>
      </c>
      <c r="BT40" s="207">
        <v>2</v>
      </c>
      <c r="BU40" s="207">
        <f t="shared" si="27"/>
        <v>3.5</v>
      </c>
      <c r="BV40" s="207">
        <v>0</v>
      </c>
      <c r="BW40" s="207">
        <f t="shared" si="28"/>
        <v>0</v>
      </c>
      <c r="BX40" s="207">
        <v>0</v>
      </c>
      <c r="BY40" s="207">
        <f t="shared" si="29"/>
        <v>0</v>
      </c>
      <c r="BZ40" s="207">
        <f t="shared" si="30"/>
        <v>3.5</v>
      </c>
      <c r="CA40" s="208">
        <f t="shared" si="31"/>
        <v>14.5</v>
      </c>
      <c r="CB40" s="205">
        <f t="shared" si="32"/>
        <v>10.861013888888889</v>
      </c>
      <c r="CC40" s="206" t="str">
        <f t="shared" si="33"/>
        <v>(1.01)</v>
      </c>
      <c r="CD40" s="207">
        <v>2</v>
      </c>
      <c r="CE40" s="207">
        <f t="shared" si="34"/>
        <v>3.5</v>
      </c>
      <c r="CF40" s="207">
        <v>0</v>
      </c>
      <c r="CG40" s="207">
        <f t="shared" si="35"/>
        <v>0</v>
      </c>
      <c r="CH40" s="207">
        <v>0</v>
      </c>
      <c r="CI40" s="207">
        <f t="shared" si="36"/>
        <v>0</v>
      </c>
      <c r="CJ40" s="207">
        <f t="shared" si="37"/>
        <v>3.5</v>
      </c>
      <c r="CK40" s="208">
        <f t="shared" si="38"/>
        <v>20.5</v>
      </c>
      <c r="CL40" s="205">
        <f t="shared" si="39"/>
        <v>14.039847222222223</v>
      </c>
      <c r="CM40" s="206" t="str">
        <f t="shared" si="40"/>
        <v>(1.3)</v>
      </c>
      <c r="CN40" s="207">
        <v>2</v>
      </c>
      <c r="CO40" s="207">
        <f t="shared" si="41"/>
        <v>3.5</v>
      </c>
      <c r="CP40" s="207">
        <v>0</v>
      </c>
      <c r="CQ40" s="207">
        <f t="shared" si="42"/>
        <v>0</v>
      </c>
      <c r="CR40" s="207">
        <v>0</v>
      </c>
      <c r="CS40" s="207">
        <f t="shared" si="43"/>
        <v>0</v>
      </c>
      <c r="CT40" s="207">
        <f t="shared" si="44"/>
        <v>3.5</v>
      </c>
      <c r="CU40" s="208">
        <f t="shared" si="45"/>
        <v>26.5</v>
      </c>
      <c r="CV40" s="205">
        <f t="shared" si="46"/>
        <v>17.218680555555558</v>
      </c>
      <c r="CW40" s="206" t="str">
        <f t="shared" si="47"/>
        <v>(1.6)</v>
      </c>
      <c r="CX40" s="207">
        <v>2</v>
      </c>
      <c r="CY40" s="207">
        <f t="shared" si="48"/>
        <v>3.5</v>
      </c>
      <c r="CZ40" s="207">
        <v>0</v>
      </c>
      <c r="DA40" s="207">
        <f t="shared" si="49"/>
        <v>0</v>
      </c>
      <c r="DB40" s="207">
        <v>0</v>
      </c>
      <c r="DC40" s="207">
        <f t="shared" si="50"/>
        <v>0</v>
      </c>
      <c r="DD40" s="207">
        <f t="shared" si="51"/>
        <v>3.5</v>
      </c>
      <c r="DE40" s="208">
        <f t="shared" si="52"/>
        <v>32.5</v>
      </c>
      <c r="DF40" s="205">
        <f t="shared" si="53"/>
        <v>20.397513888888891</v>
      </c>
      <c r="DG40" s="206" t="str">
        <f t="shared" si="54"/>
        <v>(1.89)</v>
      </c>
      <c r="DH40" s="207">
        <v>2</v>
      </c>
      <c r="DI40" s="207">
        <f t="shared" si="55"/>
        <v>3.5</v>
      </c>
      <c r="DJ40" s="207">
        <v>0</v>
      </c>
      <c r="DK40" s="207">
        <f t="shared" si="56"/>
        <v>0</v>
      </c>
      <c r="DL40" s="207">
        <v>0</v>
      </c>
      <c r="DM40" s="207">
        <f t="shared" si="57"/>
        <v>0</v>
      </c>
      <c r="DN40" s="207">
        <f t="shared" si="58"/>
        <v>3.5</v>
      </c>
      <c r="DO40" s="208">
        <f t="shared" si="59"/>
        <v>38.5</v>
      </c>
      <c r="DP40" s="205">
        <f t="shared" si="60"/>
        <v>23.576347222222225</v>
      </c>
      <c r="DQ40" s="206" t="str">
        <f t="shared" si="61"/>
        <v>(2.19)</v>
      </c>
      <c r="DR40" s="207">
        <v>2</v>
      </c>
      <c r="DS40" s="207">
        <f t="shared" si="150"/>
        <v>3.5</v>
      </c>
      <c r="DT40" s="207">
        <v>0</v>
      </c>
      <c r="DU40" s="207">
        <f t="shared" si="62"/>
        <v>0</v>
      </c>
      <c r="DV40" s="207">
        <v>0</v>
      </c>
      <c r="DW40" s="207">
        <f t="shared" si="63"/>
        <v>0</v>
      </c>
      <c r="DX40" s="207">
        <f t="shared" si="64"/>
        <v>3.5</v>
      </c>
      <c r="DY40" s="208">
        <f t="shared" si="65"/>
        <v>44.5</v>
      </c>
      <c r="DZ40" s="205">
        <f t="shared" si="66"/>
        <v>26.225375</v>
      </c>
      <c r="EA40" s="206" t="str">
        <f t="shared" si="67"/>
        <v>(2.44)</v>
      </c>
      <c r="EB40" s="207">
        <v>2</v>
      </c>
      <c r="EC40" s="207">
        <f t="shared" si="68"/>
        <v>3.5</v>
      </c>
      <c r="ED40" s="207">
        <v>0</v>
      </c>
      <c r="EE40" s="207">
        <f t="shared" si="69"/>
        <v>0</v>
      </c>
      <c r="EF40" s="207">
        <v>1</v>
      </c>
      <c r="EG40" s="207">
        <f t="shared" si="70"/>
        <v>1</v>
      </c>
      <c r="EH40" s="207">
        <f t="shared" si="71"/>
        <v>4.5</v>
      </c>
      <c r="EI40" s="208">
        <f t="shared" si="72"/>
        <v>49.5</v>
      </c>
      <c r="EJ40" s="205">
        <f t="shared" si="73"/>
        <v>29.404208333333333</v>
      </c>
      <c r="EK40" s="206" t="str">
        <f t="shared" si="74"/>
        <v>(2.73)</v>
      </c>
      <c r="EL40" s="207">
        <v>2</v>
      </c>
      <c r="EM40" s="207">
        <f t="shared" si="75"/>
        <v>3.5</v>
      </c>
      <c r="EN40" s="207">
        <v>0</v>
      </c>
      <c r="EO40" s="207">
        <f t="shared" si="76"/>
        <v>0</v>
      </c>
      <c r="EP40" s="207">
        <v>1</v>
      </c>
      <c r="EQ40" s="207">
        <f t="shared" si="77"/>
        <v>1</v>
      </c>
      <c r="ER40" s="207">
        <f t="shared" si="78"/>
        <v>4.5</v>
      </c>
      <c r="ES40" s="208">
        <f t="shared" si="79"/>
        <v>55.5</v>
      </c>
      <c r="ET40" s="205">
        <f t="shared" si="80"/>
        <v>32.583041666666674</v>
      </c>
      <c r="EU40" s="206" t="str">
        <f t="shared" si="81"/>
        <v>(3.03)</v>
      </c>
      <c r="EV40" s="207">
        <v>2</v>
      </c>
      <c r="EW40" s="207">
        <f t="shared" si="82"/>
        <v>3.5</v>
      </c>
      <c r="EX40" s="207">
        <v>0</v>
      </c>
      <c r="EY40" s="207">
        <f t="shared" si="83"/>
        <v>0</v>
      </c>
      <c r="EZ40" s="207">
        <v>1</v>
      </c>
      <c r="FA40" s="207">
        <f t="shared" si="84"/>
        <v>1</v>
      </c>
      <c r="FB40" s="207">
        <f t="shared" si="85"/>
        <v>4.5</v>
      </c>
      <c r="FC40" s="208">
        <f t="shared" si="86"/>
        <v>61.5</v>
      </c>
      <c r="FD40" s="205">
        <f t="shared" si="87"/>
        <v>36.291680555555558</v>
      </c>
      <c r="FE40" s="206" t="str">
        <f t="shared" si="88"/>
        <v>(3.37)</v>
      </c>
      <c r="FF40" s="207">
        <v>2</v>
      </c>
      <c r="FG40" s="207">
        <f t="shared" si="89"/>
        <v>3.5</v>
      </c>
      <c r="FH40" s="469">
        <v>0</v>
      </c>
      <c r="FI40" s="207">
        <f t="shared" si="90"/>
        <v>0</v>
      </c>
      <c r="FJ40" s="207">
        <v>0</v>
      </c>
      <c r="FK40" s="207">
        <f t="shared" si="91"/>
        <v>0</v>
      </c>
      <c r="FL40" s="207">
        <f t="shared" si="92"/>
        <v>3.5</v>
      </c>
      <c r="FM40" s="208">
        <f t="shared" si="93"/>
        <v>68.5</v>
      </c>
      <c r="FN40" s="30"/>
      <c r="FO40" s="30"/>
      <c r="FP40" s="31"/>
      <c r="FQ40" s="31"/>
      <c r="FR40" s="31"/>
      <c r="FS40" s="31"/>
      <c r="FT40" s="31"/>
      <c r="FU40" s="31"/>
      <c r="FV40" s="30"/>
      <c r="FW40" s="30"/>
      <c r="FX40" s="30"/>
      <c r="FY40" s="30"/>
      <c r="FZ40" s="30"/>
      <c r="GA40" s="30"/>
      <c r="GB40" s="30"/>
      <c r="GC40" s="30"/>
      <c r="GD40" s="30"/>
      <c r="GE40" s="30"/>
      <c r="GF40" s="30"/>
      <c r="GG40" s="30"/>
      <c r="GH40" s="30"/>
      <c r="GI40" s="30"/>
      <c r="GJ40" s="31"/>
      <c r="GK40" s="31"/>
      <c r="GL40" s="31"/>
      <c r="GM40" s="31"/>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1"/>
      <c r="HO40" s="31"/>
      <c r="HP40" s="31"/>
      <c r="HQ40" s="31"/>
      <c r="HR40" s="31"/>
      <c r="HS40" s="31"/>
      <c r="HT40" s="31"/>
      <c r="HU40" s="31"/>
      <c r="HV40" s="31"/>
      <c r="HW40" s="31"/>
      <c r="HX40" s="31"/>
      <c r="HY40" s="31"/>
      <c r="HZ40" s="31"/>
      <c r="IA40" s="31"/>
      <c r="IB40" s="31"/>
      <c r="IC40" s="31"/>
      <c r="ID40" s="31"/>
      <c r="IE40" s="31"/>
      <c r="IF40" s="30"/>
      <c r="IG40" s="30"/>
      <c r="IH40" s="31"/>
      <c r="II40" s="31"/>
      <c r="IJ40" s="33"/>
      <c r="IK40" s="31"/>
      <c r="IL40" s="31"/>
      <c r="IM40" s="31"/>
      <c r="IN40" s="32"/>
      <c r="IO40" s="32"/>
      <c r="IP40" s="32"/>
      <c r="IQ40" s="24">
        <v>28</v>
      </c>
      <c r="IR40" s="25">
        <v>2.65</v>
      </c>
      <c r="IS40" s="25">
        <v>2.65</v>
      </c>
      <c r="IT40" s="25">
        <v>2.0920000000000001</v>
      </c>
      <c r="IU40" s="25">
        <v>1.75</v>
      </c>
      <c r="IV40" s="25">
        <v>1</v>
      </c>
      <c r="IW40" s="25">
        <v>1.125</v>
      </c>
      <c r="IX40" s="7"/>
    </row>
    <row r="41" spans="2:258" ht="15.75" thickBot="1" x14ac:dyDescent="0.3">
      <c r="B41" s="2"/>
      <c r="C41" s="2"/>
      <c r="D41" s="2"/>
      <c r="E41" s="2"/>
      <c r="F41" s="2"/>
      <c r="G41" s="2"/>
      <c r="H41" s="2"/>
      <c r="I41" s="2"/>
      <c r="J41" s="2"/>
      <c r="K41" s="2"/>
      <c r="L41" s="2"/>
      <c r="M41" s="2"/>
      <c r="N41" s="2"/>
      <c r="O41" s="2"/>
      <c r="P41" s="2"/>
      <c r="Q41" s="2"/>
      <c r="R41" s="2"/>
      <c r="S41" s="2"/>
      <c r="T41" s="2"/>
      <c r="U41" s="2"/>
      <c r="V41" s="2"/>
      <c r="W41" s="2"/>
      <c r="X41" s="2"/>
      <c r="AT41" s="34"/>
      <c r="AU41" s="35"/>
      <c r="AV41" s="35"/>
      <c r="AW41" s="35"/>
      <c r="AX41" s="35"/>
      <c r="AY41" s="35"/>
      <c r="AZ41" s="35"/>
      <c r="BA41" s="35"/>
      <c r="BB41" s="35"/>
      <c r="BC41" s="35"/>
      <c r="BD41" s="35"/>
      <c r="BE41" s="35"/>
      <c r="BF41" s="35"/>
      <c r="BG41" s="35"/>
      <c r="BH41" s="36"/>
      <c r="BI41" s="37"/>
      <c r="BJ41" s="37"/>
      <c r="BK41" s="37"/>
      <c r="BL41" s="37"/>
      <c r="BM41" s="37"/>
      <c r="BN41" s="37"/>
      <c r="BO41" s="37"/>
      <c r="BP41" s="37"/>
      <c r="BQ41" s="37"/>
      <c r="BR41" s="36"/>
      <c r="BS41" s="37"/>
      <c r="BT41" s="37"/>
      <c r="BU41" s="37"/>
      <c r="BV41" s="37"/>
      <c r="BW41" s="37"/>
      <c r="BX41" s="37"/>
      <c r="BY41" s="37"/>
      <c r="BZ41" s="37"/>
      <c r="CA41" s="37"/>
      <c r="CB41" s="36"/>
      <c r="CC41" s="37"/>
      <c r="CD41" s="37"/>
      <c r="CE41" s="37"/>
      <c r="CF41" s="37"/>
      <c r="CG41" s="37"/>
      <c r="CH41" s="37"/>
      <c r="CI41" s="37"/>
      <c r="CJ41" s="37"/>
      <c r="CK41" s="37"/>
      <c r="CL41" s="36"/>
      <c r="CM41" s="37"/>
      <c r="CN41" s="37"/>
      <c r="CO41" s="37"/>
      <c r="CP41" s="37"/>
      <c r="CQ41" s="37"/>
      <c r="CR41" s="37"/>
      <c r="CS41" s="37"/>
      <c r="CT41" s="37"/>
      <c r="CU41" s="37"/>
      <c r="CV41" s="36"/>
      <c r="CW41" s="37"/>
      <c r="CX41" s="37"/>
      <c r="CY41" s="37"/>
      <c r="CZ41" s="37"/>
      <c r="DA41" s="37"/>
      <c r="DB41" s="37"/>
      <c r="DC41" s="37"/>
      <c r="DD41" s="37"/>
      <c r="DE41" s="37"/>
      <c r="DF41" s="36"/>
      <c r="DG41" s="37"/>
      <c r="DH41" s="37"/>
      <c r="DI41" s="37"/>
      <c r="DJ41" s="37"/>
      <c r="DK41" s="37"/>
      <c r="DL41" s="37"/>
      <c r="DM41" s="37"/>
      <c r="DN41" s="37"/>
      <c r="DO41" s="37"/>
      <c r="DP41" s="36"/>
      <c r="DQ41" s="37"/>
      <c r="DR41" s="37"/>
      <c r="DS41" s="37"/>
      <c r="DT41" s="37"/>
      <c r="DU41" s="37"/>
      <c r="DV41" s="37"/>
      <c r="DW41" s="37"/>
      <c r="DX41" s="37"/>
      <c r="DY41" s="37"/>
      <c r="DZ41" s="36"/>
      <c r="EA41" s="37"/>
      <c r="EB41" s="37"/>
      <c r="EC41" s="37"/>
      <c r="ED41" s="37"/>
      <c r="EE41" s="37"/>
      <c r="EF41" s="37"/>
      <c r="EG41" s="37"/>
      <c r="EH41" s="37"/>
      <c r="EI41" s="37"/>
      <c r="EJ41" s="36"/>
      <c r="EK41" s="37"/>
      <c r="EL41" s="37"/>
      <c r="EM41" s="37"/>
      <c r="EN41" s="37"/>
      <c r="EO41" s="37"/>
      <c r="EP41" s="37"/>
      <c r="EQ41" s="37"/>
      <c r="ER41" s="37"/>
      <c r="ES41" s="37"/>
      <c r="ET41" s="36"/>
      <c r="EU41" s="37"/>
      <c r="EV41" s="37"/>
      <c r="EW41" s="37"/>
      <c r="EX41" s="37"/>
      <c r="EY41" s="37"/>
      <c r="EZ41" s="37"/>
      <c r="FA41" s="37"/>
      <c r="FB41" s="37"/>
      <c r="FC41" s="37"/>
      <c r="FD41" s="36"/>
      <c r="FE41" s="37"/>
      <c r="FF41" s="37"/>
      <c r="FG41" s="37"/>
      <c r="FH41" s="37"/>
      <c r="FI41" s="37"/>
      <c r="FJ41" s="37"/>
      <c r="FK41" s="37"/>
      <c r="FL41" s="37"/>
      <c r="FM41" s="37"/>
      <c r="FN41" s="36"/>
      <c r="FO41" s="37"/>
      <c r="FP41" s="37"/>
      <c r="FQ41" s="37"/>
      <c r="FR41" s="37"/>
      <c r="FS41" s="37"/>
      <c r="FT41" s="37"/>
      <c r="FU41" s="37"/>
      <c r="FV41" s="161"/>
      <c r="FW41" s="161"/>
      <c r="FX41" s="161"/>
      <c r="FY41" s="161"/>
      <c r="FZ41" s="161"/>
      <c r="GA41" s="161"/>
      <c r="GB41" s="161"/>
      <c r="GC41" s="161"/>
      <c r="GD41" s="161"/>
      <c r="GE41" s="161"/>
      <c r="GF41" s="161"/>
      <c r="GG41" s="161"/>
      <c r="GH41" s="36"/>
      <c r="GI41" s="37"/>
      <c r="GJ41" s="37"/>
      <c r="GK41" s="37"/>
      <c r="GL41" s="37"/>
      <c r="GM41" s="37"/>
      <c r="GN41" s="161"/>
      <c r="GO41" s="161"/>
      <c r="GP41" s="161"/>
      <c r="GQ41" s="161"/>
      <c r="GR41" s="161"/>
      <c r="GS41" s="161"/>
      <c r="GT41" s="161"/>
      <c r="GU41" s="161"/>
      <c r="GV41" s="161"/>
      <c r="GW41" s="161"/>
      <c r="GX41" s="161"/>
      <c r="GY41" s="161"/>
      <c r="GZ41" s="161"/>
      <c r="HA41" s="161"/>
      <c r="HB41" s="161"/>
      <c r="HC41" s="161"/>
      <c r="HD41" s="161"/>
      <c r="HE41" s="161"/>
      <c r="HF41" s="161"/>
      <c r="HG41" s="161"/>
      <c r="HH41" s="161"/>
      <c r="HI41" s="161"/>
      <c r="HJ41" s="161"/>
      <c r="HK41" s="161"/>
      <c r="HL41" s="36"/>
      <c r="HM41" s="37"/>
      <c r="HN41" s="37"/>
      <c r="HO41" s="37"/>
      <c r="HP41" s="37"/>
      <c r="HQ41" s="37"/>
      <c r="HR41" s="37"/>
      <c r="HS41" s="37"/>
      <c r="HT41" s="162"/>
      <c r="HU41" s="162"/>
      <c r="HV41" s="162"/>
      <c r="HW41" s="162"/>
      <c r="HX41" s="162"/>
      <c r="HY41" s="162"/>
      <c r="HZ41" s="162"/>
      <c r="IA41" s="162"/>
      <c r="IB41" s="162"/>
      <c r="IC41" s="162"/>
      <c r="ID41" s="162"/>
      <c r="IE41" s="162"/>
      <c r="IF41" s="36"/>
      <c r="IG41" s="37"/>
      <c r="IH41" s="37"/>
      <c r="II41" s="37"/>
      <c r="IJ41" s="37"/>
      <c r="IK41" s="37"/>
      <c r="IL41" s="37"/>
      <c r="IM41" s="37"/>
      <c r="IN41" s="35"/>
      <c r="IO41" s="35"/>
      <c r="IP41" s="35"/>
      <c r="IQ41" s="35"/>
      <c r="IR41" s="35"/>
      <c r="IS41" s="35"/>
      <c r="IT41" s="35"/>
      <c r="IU41" s="35"/>
      <c r="IV41" s="35"/>
      <c r="IW41" s="35"/>
      <c r="IX41" s="38"/>
    </row>
    <row r="42" spans="2:258" ht="16.5" thickTop="1" thickBot="1" x14ac:dyDescent="0.3">
      <c r="B42" s="2"/>
      <c r="C42" s="2"/>
      <c r="D42" s="2"/>
      <c r="E42" s="2"/>
      <c r="F42" s="2"/>
      <c r="G42" s="2"/>
      <c r="H42" s="2"/>
      <c r="I42" s="2"/>
      <c r="J42" s="2"/>
      <c r="K42" s="2"/>
      <c r="L42" s="2"/>
      <c r="M42" s="2"/>
      <c r="N42" s="2"/>
      <c r="O42" s="2"/>
      <c r="P42" s="2"/>
      <c r="Q42" s="2"/>
      <c r="R42" s="2"/>
      <c r="S42" s="2"/>
      <c r="T42" s="2"/>
      <c r="U42" s="2"/>
      <c r="V42" s="2"/>
      <c r="W42" s="2"/>
      <c r="BE42" s="2"/>
    </row>
    <row r="43" spans="2:258" ht="24" thickBot="1" x14ac:dyDescent="0.4">
      <c r="B43" s="166" t="s">
        <v>70</v>
      </c>
      <c r="C43" s="167"/>
      <c r="D43" s="167"/>
      <c r="E43" s="167"/>
      <c r="F43" s="167"/>
      <c r="G43" s="167"/>
      <c r="H43" s="167"/>
      <c r="I43" s="167"/>
      <c r="J43" s="167"/>
      <c r="K43" s="167"/>
      <c r="L43" s="168"/>
      <c r="N43" s="73" t="s">
        <v>145</v>
      </c>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3"/>
      <c r="BE43" s="2"/>
      <c r="BF43" s="6"/>
      <c r="BG43" s="6"/>
      <c r="BH43" s="6"/>
      <c r="BI43" s="6"/>
      <c r="BJ43" s="6"/>
      <c r="BK43" s="6"/>
      <c r="BL43" s="6"/>
      <c r="BM43" s="6"/>
      <c r="BN43" s="5"/>
      <c r="BO43" s="6"/>
      <c r="BP43" s="6"/>
      <c r="BQ43" s="6"/>
      <c r="BR43" s="6"/>
      <c r="BS43" s="6"/>
      <c r="BT43" s="6"/>
      <c r="BU43" s="6"/>
      <c r="BV43" s="6"/>
      <c r="BW43" s="6"/>
      <c r="BX43" s="5"/>
      <c r="BY43" s="6"/>
      <c r="BZ43" s="6"/>
      <c r="CA43" s="6"/>
      <c r="CB43" s="6"/>
      <c r="CC43" s="6"/>
      <c r="CD43" s="6"/>
      <c r="CE43" s="6"/>
      <c r="CF43" s="6"/>
      <c r="CG43" s="6"/>
      <c r="CH43" s="5"/>
      <c r="CI43" s="6"/>
      <c r="CJ43" s="6"/>
      <c r="CK43" s="6"/>
      <c r="CL43" s="6"/>
      <c r="CM43" s="6"/>
      <c r="CN43" s="6"/>
      <c r="CO43" s="6"/>
      <c r="CP43" s="6"/>
      <c r="CQ43" s="6"/>
      <c r="CR43" s="5"/>
      <c r="CS43" s="6"/>
      <c r="CT43" s="6"/>
      <c r="CU43" s="6"/>
      <c r="CV43" s="6"/>
      <c r="CW43" s="6"/>
      <c r="CX43" s="6"/>
      <c r="CY43" s="6"/>
      <c r="CZ43" s="6"/>
      <c r="DA43" s="6"/>
      <c r="DB43" s="5"/>
      <c r="DC43" s="6"/>
      <c r="DD43" s="6"/>
      <c r="DE43" s="6"/>
      <c r="DF43" s="6"/>
      <c r="DG43" s="6"/>
      <c r="DH43" s="6"/>
      <c r="DI43" s="6"/>
      <c r="DJ43" s="6"/>
      <c r="DK43" s="6"/>
      <c r="DL43" s="5"/>
      <c r="DM43" s="6"/>
      <c r="DN43" s="6"/>
      <c r="DO43" s="6"/>
      <c r="DP43" s="6"/>
      <c r="DQ43" s="6"/>
      <c r="DR43" s="6"/>
      <c r="DS43" s="6"/>
      <c r="DT43" s="6"/>
      <c r="DU43" s="6"/>
      <c r="DV43" s="5"/>
      <c r="DW43" s="6"/>
      <c r="DX43" s="6"/>
      <c r="DY43" s="6"/>
      <c r="DZ43" s="6"/>
      <c r="EA43" s="6"/>
      <c r="EB43" s="6"/>
      <c r="EC43" s="6"/>
      <c r="ED43" s="6"/>
      <c r="EE43" s="6"/>
      <c r="EF43" s="5"/>
      <c r="EG43" s="6"/>
      <c r="EH43" s="6"/>
      <c r="EI43" s="6"/>
      <c r="EJ43" s="6"/>
      <c r="EK43" s="6"/>
      <c r="EL43" s="6"/>
      <c r="EM43" s="6"/>
      <c r="EN43" s="6"/>
      <c r="EO43" s="6"/>
      <c r="EP43" s="5"/>
      <c r="EQ43" s="6"/>
      <c r="ER43" s="6"/>
      <c r="ES43" s="6"/>
      <c r="ET43" s="6"/>
      <c r="EU43" s="6"/>
      <c r="EV43" s="6"/>
      <c r="EW43" s="6"/>
      <c r="EX43" s="6"/>
      <c r="EY43" s="6"/>
      <c r="EZ43" s="5"/>
      <c r="FA43" s="6"/>
      <c r="FB43" s="6"/>
      <c r="FC43" s="6"/>
      <c r="FD43" s="6"/>
      <c r="FE43" s="6"/>
      <c r="FF43" s="6"/>
      <c r="FG43" s="6"/>
      <c r="FH43" s="6"/>
      <c r="FI43" s="6"/>
      <c r="FJ43" s="5"/>
      <c r="FK43" s="6"/>
      <c r="FL43" s="6"/>
      <c r="FM43" s="6"/>
      <c r="FN43" s="6"/>
      <c r="FO43" s="6"/>
      <c r="FP43" s="6"/>
      <c r="FQ43" s="6"/>
      <c r="FR43" s="6"/>
      <c r="FS43" s="6"/>
      <c r="FT43" s="5"/>
      <c r="FU43" s="6"/>
      <c r="FV43" s="6"/>
      <c r="FW43" s="6"/>
      <c r="FX43" s="6"/>
      <c r="FY43" s="6"/>
      <c r="FZ43" s="6"/>
      <c r="GA43" s="6"/>
      <c r="GB43" s="6"/>
      <c r="GC43" s="6"/>
      <c r="GD43" s="5"/>
      <c r="GE43" s="6"/>
      <c r="GF43" s="6"/>
      <c r="GG43" s="6"/>
      <c r="GH43" s="6"/>
      <c r="GI43" s="6"/>
      <c r="GJ43" s="6"/>
      <c r="GK43" s="6"/>
      <c r="GL43" s="6"/>
      <c r="GM43" s="6"/>
      <c r="GN43" s="5"/>
      <c r="GO43" s="6"/>
      <c r="GP43" s="6"/>
      <c r="GQ43" s="6"/>
      <c r="GR43" s="6"/>
      <c r="GS43" s="6"/>
      <c r="GT43" s="6"/>
      <c r="GU43" s="6"/>
      <c r="GV43" s="4"/>
      <c r="GW43" s="4"/>
      <c r="GX43" s="4"/>
      <c r="GY43" s="4"/>
      <c r="GZ43" s="4"/>
      <c r="HA43" s="4"/>
      <c r="HB43" s="4"/>
      <c r="HC43" s="4"/>
      <c r="HD43" s="4"/>
      <c r="HE43" s="4"/>
      <c r="HF43" s="4"/>
    </row>
    <row r="44" spans="2:258" ht="19.5" thickBot="1" x14ac:dyDescent="0.35">
      <c r="B44" s="164" t="s">
        <v>181</v>
      </c>
      <c r="C44" s="111" t="e">
        <f>C10</f>
        <v>#VALUE!</v>
      </c>
      <c r="D44" s="53"/>
      <c r="E44" s="53"/>
      <c r="F44" s="53"/>
      <c r="G44" s="53"/>
      <c r="H44" s="53"/>
      <c r="I44" s="53"/>
      <c r="J44" s="53"/>
      <c r="K44" s="53"/>
      <c r="L44" s="165"/>
      <c r="N44" s="994"/>
      <c r="O44" s="155"/>
      <c r="P44" s="75"/>
      <c r="Q44" s="156">
        <v>9</v>
      </c>
      <c r="R44" s="157">
        <v>12</v>
      </c>
      <c r="S44" s="157">
        <f t="shared" ref="S44:AJ44" si="152">R44+6</f>
        <v>18</v>
      </c>
      <c r="T44" s="157">
        <f t="shared" si="152"/>
        <v>24</v>
      </c>
      <c r="U44" s="157">
        <f t="shared" si="152"/>
        <v>30</v>
      </c>
      <c r="V44" s="157">
        <f t="shared" si="152"/>
        <v>36</v>
      </c>
      <c r="W44" s="157">
        <f t="shared" si="152"/>
        <v>42</v>
      </c>
      <c r="X44" s="158">
        <f t="shared" si="152"/>
        <v>48</v>
      </c>
      <c r="Y44" s="157">
        <f t="shared" si="152"/>
        <v>54</v>
      </c>
      <c r="Z44" s="157">
        <f t="shared" si="152"/>
        <v>60</v>
      </c>
      <c r="AA44" s="157">
        <f t="shared" si="152"/>
        <v>66</v>
      </c>
      <c r="AB44" s="157">
        <f t="shared" si="152"/>
        <v>72</v>
      </c>
      <c r="AC44" s="157">
        <f t="shared" si="152"/>
        <v>78</v>
      </c>
      <c r="AD44" s="158">
        <f t="shared" si="152"/>
        <v>84</v>
      </c>
      <c r="AE44" s="157">
        <f t="shared" si="152"/>
        <v>90</v>
      </c>
      <c r="AF44" s="157">
        <f t="shared" si="152"/>
        <v>96</v>
      </c>
      <c r="AG44" s="157">
        <f t="shared" si="152"/>
        <v>102</v>
      </c>
      <c r="AH44" s="157">
        <f t="shared" si="152"/>
        <v>108</v>
      </c>
      <c r="AI44" s="157">
        <f t="shared" si="152"/>
        <v>114</v>
      </c>
      <c r="AJ44" s="158">
        <f t="shared" si="152"/>
        <v>120</v>
      </c>
      <c r="AK44" s="74"/>
      <c r="AL44" s="74"/>
      <c r="AM44" s="74"/>
      <c r="AN44" s="74"/>
      <c r="AO44" s="74"/>
      <c r="AP44" s="74"/>
      <c r="AQ44" s="75"/>
    </row>
    <row r="45" spans="2:258" ht="18.75" customHeight="1" thickBot="1" x14ac:dyDescent="0.35">
      <c r="B45" s="150" t="s">
        <v>39</v>
      </c>
      <c r="C45" s="112" t="e">
        <f>I10</f>
        <v>#VALUE!</v>
      </c>
      <c r="D45" s="2"/>
      <c r="E45" s="51"/>
      <c r="F45" s="51"/>
      <c r="G45" s="51"/>
      <c r="H45" s="51"/>
      <c r="I45" s="51"/>
      <c r="J45" s="51"/>
      <c r="K45" s="51"/>
      <c r="L45" s="54"/>
      <c r="N45" s="995"/>
      <c r="O45" s="48"/>
      <c r="P45" s="182">
        <v>1</v>
      </c>
      <c r="Q45" s="125">
        <v>2</v>
      </c>
      <c r="R45" s="49">
        <v>3</v>
      </c>
      <c r="S45" s="49">
        <v>4</v>
      </c>
      <c r="T45" s="49">
        <v>5</v>
      </c>
      <c r="U45" s="49">
        <v>6</v>
      </c>
      <c r="V45" s="49">
        <v>7</v>
      </c>
      <c r="W45" s="49">
        <v>8</v>
      </c>
      <c r="X45" s="49">
        <v>9</v>
      </c>
      <c r="Y45" s="49">
        <v>10</v>
      </c>
      <c r="Z45" s="49">
        <v>11</v>
      </c>
      <c r="AA45" s="49">
        <v>12</v>
      </c>
      <c r="AB45" s="49">
        <v>13</v>
      </c>
      <c r="AC45" s="49">
        <v>14</v>
      </c>
      <c r="AD45" s="49">
        <v>15</v>
      </c>
      <c r="AE45" s="49">
        <v>16</v>
      </c>
      <c r="AF45" s="49">
        <v>17</v>
      </c>
      <c r="AG45" s="49">
        <v>18</v>
      </c>
      <c r="AH45" s="49">
        <v>19</v>
      </c>
      <c r="AI45" s="49">
        <v>20</v>
      </c>
      <c r="AJ45" s="49">
        <v>21</v>
      </c>
      <c r="AK45" s="49"/>
      <c r="AL45" s="49"/>
      <c r="AM45" s="49"/>
      <c r="AN45" s="49"/>
      <c r="AO45" s="49"/>
      <c r="AP45" s="49"/>
      <c r="AQ45" s="50"/>
      <c r="FH45" s="72" t="s">
        <v>188</v>
      </c>
    </row>
    <row r="46" spans="2:258" ht="15.75" customHeight="1" thickBot="1" x14ac:dyDescent="0.4">
      <c r="B46" s="454" t="s">
        <v>63</v>
      </c>
      <c r="C46" s="51"/>
      <c r="D46" s="51"/>
      <c r="E46" s="51"/>
      <c r="F46" s="51"/>
      <c r="G46" s="51"/>
      <c r="H46" s="51"/>
      <c r="I46" s="51"/>
      <c r="J46" s="51"/>
      <c r="K46" s="51"/>
      <c r="L46" s="54"/>
      <c r="N46" s="451"/>
      <c r="O46" s="154">
        <f>H5</f>
        <v>9.5</v>
      </c>
      <c r="P46" s="183">
        <v>2</v>
      </c>
      <c r="Q46" s="490"/>
      <c r="R46" s="291">
        <v>3.73</v>
      </c>
      <c r="S46" s="291">
        <v>5.33</v>
      </c>
      <c r="T46" s="291">
        <v>6.92</v>
      </c>
      <c r="U46" s="291">
        <v>8.52</v>
      </c>
      <c r="V46" s="291">
        <v>10.119999999999999</v>
      </c>
      <c r="W46" s="291">
        <v>11.72</v>
      </c>
      <c r="X46" s="291">
        <v>13.32</v>
      </c>
      <c r="Y46" s="291">
        <v>14.92</v>
      </c>
      <c r="Z46" s="291">
        <v>16.52</v>
      </c>
      <c r="AA46" s="493"/>
      <c r="AB46" s="493"/>
      <c r="AC46" s="493"/>
      <c r="AD46" s="493"/>
      <c r="AE46" s="493"/>
      <c r="AF46" s="493"/>
      <c r="AG46" s="493"/>
      <c r="AH46" s="493"/>
      <c r="AI46" s="493"/>
      <c r="AJ46" s="493"/>
      <c r="AK46" s="114"/>
      <c r="AL46" s="114"/>
      <c r="AM46" s="114"/>
      <c r="AN46" s="114"/>
      <c r="AO46" s="114"/>
      <c r="AP46" s="114"/>
      <c r="AQ46" s="120"/>
      <c r="IS46" s="135"/>
    </row>
    <row r="47" spans="2:258" ht="15" customHeight="1" thickBot="1" x14ac:dyDescent="0.3">
      <c r="B47" s="57"/>
      <c r="C47" s="2"/>
      <c r="D47" s="51"/>
      <c r="E47" s="51"/>
      <c r="F47" s="51"/>
      <c r="G47" s="51"/>
      <c r="H47" s="51"/>
      <c r="I47" s="51"/>
      <c r="J47" s="51"/>
      <c r="K47" s="51"/>
      <c r="L47" s="54"/>
      <c r="N47" s="136"/>
      <c r="O47" s="124">
        <v>12</v>
      </c>
      <c r="P47" s="184">
        <v>3</v>
      </c>
      <c r="Q47" s="491"/>
      <c r="R47" s="298">
        <v>4.09</v>
      </c>
      <c r="S47" s="298">
        <v>5.69</v>
      </c>
      <c r="T47" s="298">
        <v>7.29</v>
      </c>
      <c r="U47" s="298">
        <v>8.89</v>
      </c>
      <c r="V47" s="298">
        <v>10.49</v>
      </c>
      <c r="W47" s="298">
        <v>12.09</v>
      </c>
      <c r="X47" s="298">
        <v>13.68</v>
      </c>
      <c r="Y47" s="298">
        <v>15.28</v>
      </c>
      <c r="Z47" s="298">
        <v>16.88</v>
      </c>
      <c r="AA47" s="492"/>
      <c r="AB47" s="492"/>
      <c r="AC47" s="492"/>
      <c r="AD47" s="492"/>
      <c r="AE47" s="492"/>
      <c r="AF47" s="492"/>
      <c r="AG47" s="492"/>
      <c r="AH47" s="492"/>
      <c r="AI47" s="492"/>
      <c r="AJ47" s="492"/>
      <c r="AK47" s="45"/>
      <c r="AL47" s="117"/>
      <c r="AM47" s="117" t="e">
        <f>D50</f>
        <v>#VALUE!</v>
      </c>
      <c r="AN47" s="118" t="e">
        <f>C44</f>
        <v>#VALUE!</v>
      </c>
      <c r="AO47" s="117" t="e">
        <f>E50</f>
        <v>#VALUE!</v>
      </c>
      <c r="AP47" s="45"/>
      <c r="AQ47" s="46"/>
      <c r="CL47" s="61"/>
      <c r="CM47" s="61"/>
      <c r="CN47" s="61"/>
      <c r="CO47" s="61"/>
      <c r="CP47" s="61"/>
      <c r="CQ47" s="61"/>
      <c r="CR47" s="61"/>
      <c r="CS47" s="61"/>
    </row>
    <row r="48" spans="2:258" ht="15" customHeight="1" thickBot="1" x14ac:dyDescent="0.3">
      <c r="B48" s="57"/>
      <c r="C48" s="96"/>
      <c r="D48" s="97" t="s">
        <v>215</v>
      </c>
      <c r="E48" s="98"/>
      <c r="F48" s="98"/>
      <c r="G48" s="100"/>
      <c r="H48" s="97" t="s">
        <v>33</v>
      </c>
      <c r="I48" s="99"/>
      <c r="J48" s="51"/>
      <c r="K48" s="51"/>
      <c r="L48" s="54"/>
      <c r="N48" s="79"/>
      <c r="O48" s="124">
        <f t="shared" ref="O48:O65" si="153">O47+6</f>
        <v>18</v>
      </c>
      <c r="P48" s="184">
        <v>4</v>
      </c>
      <c r="Q48" s="491"/>
      <c r="R48" s="298">
        <v>6.02</v>
      </c>
      <c r="S48" s="298">
        <v>8.32</v>
      </c>
      <c r="T48" s="298">
        <v>10.620000000000001</v>
      </c>
      <c r="U48" s="298">
        <v>12.920000000000002</v>
      </c>
      <c r="V48" s="298">
        <v>15.220000000000002</v>
      </c>
      <c r="W48" s="298">
        <v>17.520000000000003</v>
      </c>
      <c r="X48" s="298">
        <v>19.830000000000005</v>
      </c>
      <c r="Y48" s="298">
        <v>22.130000000000006</v>
      </c>
      <c r="Z48" s="298">
        <v>24.430000000000007</v>
      </c>
      <c r="AA48" s="492"/>
      <c r="AB48" s="492"/>
      <c r="AC48" s="492"/>
      <c r="AD48" s="492"/>
      <c r="AE48" s="492"/>
      <c r="AF48" s="492"/>
      <c r="AG48" s="492"/>
      <c r="AH48" s="492"/>
      <c r="AI48" s="492"/>
      <c r="AJ48" s="492"/>
      <c r="AK48" s="76"/>
      <c r="AL48" s="117" t="e">
        <f>H50</f>
        <v>#VALUE!</v>
      </c>
      <c r="AM48" s="118" t="e">
        <f>INDEX(P45:AJ65,$H$51,$D$51)</f>
        <v>#VALUE!</v>
      </c>
      <c r="AN48" s="118" t="e">
        <f>(((AN47-AM47)/(AO47-AM47))*(AO48-AM48))+AM48</f>
        <v>#VALUE!</v>
      </c>
      <c r="AO48" s="118" t="e">
        <f>INDEX(P45:AJ65,$H$51,$E$51)</f>
        <v>#VALUE!</v>
      </c>
      <c r="AP48" s="45"/>
      <c r="AQ48" s="46"/>
    </row>
    <row r="49" spans="1:59" ht="16.5" thickBot="1" x14ac:dyDescent="0.3">
      <c r="B49" s="57"/>
      <c r="C49" s="92"/>
      <c r="D49" s="93" t="s">
        <v>64</v>
      </c>
      <c r="E49" s="94" t="s">
        <v>65</v>
      </c>
      <c r="F49" s="94"/>
      <c r="G49" s="101"/>
      <c r="H49" s="93" t="s">
        <v>64</v>
      </c>
      <c r="I49" s="95" t="s">
        <v>65</v>
      </c>
      <c r="J49" s="51"/>
      <c r="K49" s="51"/>
      <c r="L49" s="54"/>
      <c r="N49" s="79"/>
      <c r="O49" s="124">
        <f t="shared" si="153"/>
        <v>24</v>
      </c>
      <c r="P49" s="184">
        <v>5</v>
      </c>
      <c r="Q49" s="491"/>
      <c r="R49" s="298">
        <v>7.42</v>
      </c>
      <c r="S49" s="298">
        <v>10.07</v>
      </c>
      <c r="T49" s="298">
        <v>12.72</v>
      </c>
      <c r="U49" s="298">
        <v>15.370000000000001</v>
      </c>
      <c r="V49" s="298">
        <v>18.02</v>
      </c>
      <c r="W49" s="298">
        <v>20.669999999999998</v>
      </c>
      <c r="X49" s="298">
        <v>23.33</v>
      </c>
      <c r="Y49" s="298">
        <v>25.979999999999997</v>
      </c>
      <c r="Z49" s="298">
        <v>28.629999999999995</v>
      </c>
      <c r="AA49" s="492"/>
      <c r="AB49" s="492"/>
      <c r="AC49" s="492"/>
      <c r="AD49" s="492"/>
      <c r="AE49" s="492"/>
      <c r="AF49" s="492"/>
      <c r="AG49" s="492"/>
      <c r="AH49" s="492"/>
      <c r="AI49" s="492"/>
      <c r="AJ49" s="492"/>
      <c r="AK49" s="45"/>
      <c r="AL49" s="413" t="e">
        <f>C45</f>
        <v>#VALUE!</v>
      </c>
      <c r="AM49" s="118" t="e">
        <f>(((AL49-AL48)/(AL50-AL48))*(AM50-AM48))+AM48</f>
        <v>#VALUE!</v>
      </c>
      <c r="AN49" s="119" t="e">
        <f>IF(AND(AN47&gt;72,AL49&gt;72),5/0,IF(AN47=120,AM49,(((AN48-AM48)/(AO48-AM48))*(AO49-AM49))+AM49))</f>
        <v>#VALUE!</v>
      </c>
      <c r="AO49" s="118" t="e">
        <f>(((AL49-AL48)/(AL50-AL48))*(AO50-AO48))+AO48</f>
        <v>#VALUE!</v>
      </c>
      <c r="AP49" s="45"/>
      <c r="AQ49" s="46"/>
    </row>
    <row r="50" spans="1:59" ht="16.5" thickBot="1" x14ac:dyDescent="0.3">
      <c r="B50" s="57"/>
      <c r="C50" s="90"/>
      <c r="D50" s="88" t="e">
        <f>IF(AND(C44&lt;12,C44&gt;=H3),H3,FLOOR(C44/6,1)*6)</f>
        <v>#VALUE!</v>
      </c>
      <c r="E50" s="84" t="e">
        <f>IF(D50&lt;12,12,D50+6)</f>
        <v>#VALUE!</v>
      </c>
      <c r="F50" s="84"/>
      <c r="G50" s="102"/>
      <c r="H50" s="88" t="e">
        <f>IF(AND(C45&lt;12,C45&gt;=H5),H5,FLOOR(C45/6,1)*6)</f>
        <v>#VALUE!</v>
      </c>
      <c r="I50" s="85" t="e">
        <f>IF(H50&lt;12,12,H50+6)</f>
        <v>#VALUE!</v>
      </c>
      <c r="J50" s="51"/>
      <c r="K50" s="51"/>
      <c r="L50" s="54"/>
      <c r="N50" s="79"/>
      <c r="O50" s="124">
        <f t="shared" si="153"/>
        <v>30</v>
      </c>
      <c r="P50" s="184">
        <v>6</v>
      </c>
      <c r="Q50" s="491"/>
      <c r="R50" s="298">
        <v>9.35</v>
      </c>
      <c r="S50" s="298">
        <v>12.71</v>
      </c>
      <c r="T50" s="298">
        <v>16.07</v>
      </c>
      <c r="U50" s="298">
        <v>19.43</v>
      </c>
      <c r="V50" s="298">
        <v>22.79</v>
      </c>
      <c r="W50" s="298">
        <v>26.15</v>
      </c>
      <c r="X50" s="298">
        <v>29.48</v>
      </c>
      <c r="Y50" s="298">
        <v>32.840000000000003</v>
      </c>
      <c r="Z50" s="298">
        <v>36.200000000000003</v>
      </c>
      <c r="AA50" s="492"/>
      <c r="AB50" s="492"/>
      <c r="AC50" s="492"/>
      <c r="AD50" s="492"/>
      <c r="AE50" s="492"/>
      <c r="AF50" s="492"/>
      <c r="AG50" s="492"/>
      <c r="AH50" s="492"/>
      <c r="AI50" s="492"/>
      <c r="AJ50" s="492"/>
      <c r="AK50" s="45"/>
      <c r="AL50" s="117" t="e">
        <f>I50</f>
        <v>#VALUE!</v>
      </c>
      <c r="AM50" s="118" t="e">
        <f>INDEX(P45:AJ65,$I$51,$D$51)</f>
        <v>#VALUE!</v>
      </c>
      <c r="AN50" s="118" t="e">
        <f>(((AN47-AM47)/(AO47-AM47))*(AO50-AM50))+AM50</f>
        <v>#VALUE!</v>
      </c>
      <c r="AO50" s="118" t="e">
        <f>INDEX(P45:AJ65,$I$51,$E$51)</f>
        <v>#VALUE!</v>
      </c>
      <c r="AP50" s="45"/>
      <c r="AQ50" s="46"/>
    </row>
    <row r="51" spans="1:59" ht="15.75" thickBot="1" x14ac:dyDescent="0.3">
      <c r="B51" s="57"/>
      <c r="C51" s="90" t="s">
        <v>34</v>
      </c>
      <c r="D51" s="88" t="e">
        <f>HLOOKUP(D50,C16:W17,2)</f>
        <v>#VALUE!</v>
      </c>
      <c r="E51" s="84" t="e">
        <f>HLOOKUP(E50,C16:W17,2)</f>
        <v>#VALUE!</v>
      </c>
      <c r="F51" s="84"/>
      <c r="G51" s="102" t="s">
        <v>35</v>
      </c>
      <c r="H51" s="88" t="e">
        <f>VLOOKUP(H50,B17:C37,2)</f>
        <v>#VALUE!</v>
      </c>
      <c r="I51" s="85" t="e">
        <f>VLOOKUP(I50,B17:C37,2)</f>
        <v>#VALUE!</v>
      </c>
      <c r="J51" s="51"/>
      <c r="K51" s="51"/>
      <c r="L51" s="54"/>
      <c r="N51" s="79"/>
      <c r="O51" s="124">
        <f t="shared" si="153"/>
        <v>36</v>
      </c>
      <c r="P51" s="184">
        <v>7</v>
      </c>
      <c r="Q51" s="491"/>
      <c r="R51" s="298">
        <v>10.75</v>
      </c>
      <c r="S51" s="298">
        <v>14.46</v>
      </c>
      <c r="T51" s="298">
        <v>18.170000000000002</v>
      </c>
      <c r="U51" s="298">
        <v>21.880000000000003</v>
      </c>
      <c r="V51" s="298">
        <v>25.590000000000003</v>
      </c>
      <c r="W51" s="298">
        <v>29.300000000000004</v>
      </c>
      <c r="X51" s="298">
        <v>32.979999999999997</v>
      </c>
      <c r="Y51" s="298">
        <v>36.69</v>
      </c>
      <c r="Z51" s="298">
        <v>40.4</v>
      </c>
      <c r="AA51" s="492"/>
      <c r="AB51" s="492"/>
      <c r="AC51" s="492"/>
      <c r="AD51" s="492"/>
      <c r="AE51" s="492"/>
      <c r="AF51" s="492"/>
      <c r="AG51" s="492"/>
      <c r="AH51" s="492"/>
      <c r="AI51" s="492"/>
      <c r="AJ51" s="492"/>
      <c r="AK51" s="45"/>
      <c r="AL51" s="45"/>
      <c r="AM51" s="45"/>
      <c r="AN51" s="45"/>
      <c r="AO51" s="45"/>
      <c r="AP51" s="45"/>
      <c r="AQ51" s="46"/>
    </row>
    <row r="52" spans="1:59" ht="16.5" thickBot="1" x14ac:dyDescent="0.3">
      <c r="B52" s="57"/>
      <c r="C52" s="91"/>
      <c r="D52" s="89"/>
      <c r="E52" s="86"/>
      <c r="F52" s="86"/>
      <c r="G52" s="103"/>
      <c r="H52" s="89"/>
      <c r="I52" s="87"/>
      <c r="J52" s="51"/>
      <c r="K52" s="51"/>
      <c r="L52" s="54"/>
      <c r="N52" s="79"/>
      <c r="O52" s="124">
        <f t="shared" si="153"/>
        <v>42</v>
      </c>
      <c r="P52" s="184">
        <v>8</v>
      </c>
      <c r="Q52" s="491"/>
      <c r="R52" s="298">
        <v>12.68</v>
      </c>
      <c r="S52" s="298">
        <v>17.09</v>
      </c>
      <c r="T52" s="298">
        <v>21.5</v>
      </c>
      <c r="U52" s="298">
        <v>25.91</v>
      </c>
      <c r="V52" s="298">
        <v>30.32</v>
      </c>
      <c r="W52" s="298">
        <v>34.730000000000004</v>
      </c>
      <c r="X52" s="298">
        <v>39.130000000000003</v>
      </c>
      <c r="Y52" s="298">
        <v>43.540000000000006</v>
      </c>
      <c r="Z52" s="298">
        <v>47.95</v>
      </c>
      <c r="AA52" s="492"/>
      <c r="AB52" s="492"/>
      <c r="AC52" s="492"/>
      <c r="AD52" s="492"/>
      <c r="AE52" s="492"/>
      <c r="AF52" s="492"/>
      <c r="AG52" s="492"/>
      <c r="AH52" s="492"/>
      <c r="AI52" s="492"/>
      <c r="AJ52" s="492"/>
      <c r="AK52" s="45"/>
      <c r="AL52" s="117"/>
      <c r="AM52" s="117" t="e">
        <f>D69</f>
        <v>#VALUE!</v>
      </c>
      <c r="AN52" s="118" t="e">
        <f>C63</f>
        <v>#VALUE!</v>
      </c>
      <c r="AO52" s="117" t="e">
        <f>E69</f>
        <v>#VALUE!</v>
      </c>
      <c r="AP52" s="45"/>
      <c r="AQ52" s="46"/>
    </row>
    <row r="53" spans="1:59" ht="16.5" thickBot="1" x14ac:dyDescent="0.3">
      <c r="A53" s="71"/>
      <c r="B53" s="57"/>
      <c r="C53" s="51"/>
      <c r="D53" s="51"/>
      <c r="E53" s="51"/>
      <c r="F53" s="51"/>
      <c r="G53" s="51"/>
      <c r="H53" s="51"/>
      <c r="I53" s="51"/>
      <c r="J53" s="51"/>
      <c r="K53" s="51"/>
      <c r="L53" s="54"/>
      <c r="N53" s="79"/>
      <c r="O53" s="124">
        <f t="shared" si="153"/>
        <v>48</v>
      </c>
      <c r="P53" s="184">
        <v>9</v>
      </c>
      <c r="Q53" s="491"/>
      <c r="R53" s="298">
        <v>14.08</v>
      </c>
      <c r="S53" s="298">
        <v>18.84</v>
      </c>
      <c r="T53" s="298">
        <v>23.6</v>
      </c>
      <c r="U53" s="298">
        <v>28.36</v>
      </c>
      <c r="V53" s="298">
        <v>33.119999999999997</v>
      </c>
      <c r="W53" s="298">
        <v>37.879999999999995</v>
      </c>
      <c r="X53" s="298">
        <v>42.63</v>
      </c>
      <c r="Y53" s="298">
        <v>47.39</v>
      </c>
      <c r="Z53" s="298">
        <v>52.15</v>
      </c>
      <c r="AA53" s="492"/>
      <c r="AB53" s="492"/>
      <c r="AC53" s="492"/>
      <c r="AD53" s="492"/>
      <c r="AE53" s="492"/>
      <c r="AF53" s="492"/>
      <c r="AG53" s="492"/>
      <c r="AH53" s="492"/>
      <c r="AI53" s="492"/>
      <c r="AJ53" s="492"/>
      <c r="AK53" s="45"/>
      <c r="AL53" s="117" t="e">
        <f>H69</f>
        <v>#VALUE!</v>
      </c>
      <c r="AM53" s="118" t="e">
        <f>INDEX(P45:AJ65,$H$70,$D$70)</f>
        <v>#VALUE!</v>
      </c>
      <c r="AN53" s="118" t="e">
        <f>(((AN52-AM52)/(AO52-AM52))*(AO53-AM53))+AM53</f>
        <v>#VALUE!</v>
      </c>
      <c r="AO53" s="118" t="e">
        <f>INDEX(P45:AJ65,$H$70,$E$70)</f>
        <v>#VALUE!</v>
      </c>
      <c r="AP53" s="45"/>
      <c r="AQ53" s="46"/>
    </row>
    <row r="54" spans="1:59" ht="21.75" thickBot="1" x14ac:dyDescent="0.4">
      <c r="B54" s="151" t="s">
        <v>57</v>
      </c>
      <c r="C54" s="51"/>
      <c r="D54" s="2"/>
      <c r="E54" s="51"/>
      <c r="F54" s="51"/>
      <c r="G54" s="51"/>
      <c r="H54" s="51"/>
      <c r="I54" s="108"/>
      <c r="J54" s="108"/>
      <c r="K54" s="108"/>
      <c r="L54" s="54"/>
      <c r="N54" s="79"/>
      <c r="O54" s="124">
        <f t="shared" si="153"/>
        <v>54</v>
      </c>
      <c r="P54" s="184">
        <v>10</v>
      </c>
      <c r="Q54" s="491"/>
      <c r="R54" s="298">
        <v>16.010000000000002</v>
      </c>
      <c r="S54" s="298">
        <v>21.47</v>
      </c>
      <c r="T54" s="298">
        <v>26.929999999999996</v>
      </c>
      <c r="U54" s="298">
        <v>32.389999999999993</v>
      </c>
      <c r="V54" s="298">
        <v>37.849999999999994</v>
      </c>
      <c r="W54" s="298">
        <v>43.309999999999988</v>
      </c>
      <c r="X54" s="298">
        <v>48.78</v>
      </c>
      <c r="Y54" s="298">
        <v>54.239999999999995</v>
      </c>
      <c r="Z54" s="298">
        <v>59.699999999999989</v>
      </c>
      <c r="AA54" s="492"/>
      <c r="AB54" s="492"/>
      <c r="AC54" s="492"/>
      <c r="AD54" s="492"/>
      <c r="AE54" s="492"/>
      <c r="AF54" s="492"/>
      <c r="AG54" s="492"/>
      <c r="AH54" s="492"/>
      <c r="AI54" s="492"/>
      <c r="AJ54" s="492"/>
      <c r="AK54" s="45"/>
      <c r="AL54" s="413" t="e">
        <f>C64</f>
        <v>#VALUE!</v>
      </c>
      <c r="AM54" s="118" t="e">
        <f>(((AL54-AL53)/(AL55-AL53))*(AM55-AM53))+AM53</f>
        <v>#VALUE!</v>
      </c>
      <c r="AN54" s="119" t="e">
        <f>IF(AND(AN52&gt;72,AL54&gt;72),5/0,IF(AN52=120,AM54,(((AN53-AM53)/(AO53-AM53))*(AO54-AM54))+AM54))</f>
        <v>#VALUE!</v>
      </c>
      <c r="AO54" s="118" t="e">
        <f>(((AL54-AL53)/(AL55-AL53))*(AO55-AO53))+AO53</f>
        <v>#VALUE!</v>
      </c>
      <c r="AP54" s="45"/>
      <c r="AQ54" s="46"/>
    </row>
    <row r="55" spans="1:59" ht="19.5" thickBot="1" x14ac:dyDescent="0.35">
      <c r="B55" s="57"/>
      <c r="C55" s="51"/>
      <c r="D55" s="83"/>
      <c r="E55" s="83" t="e">
        <f>D50</f>
        <v>#VALUE!</v>
      </c>
      <c r="F55" s="104" t="e">
        <f>C44</f>
        <v>#VALUE!</v>
      </c>
      <c r="G55" s="83" t="e">
        <f>E50</f>
        <v>#VALUE!</v>
      </c>
      <c r="H55" s="51"/>
      <c r="I55" s="108"/>
      <c r="J55" s="108"/>
      <c r="K55" s="108"/>
      <c r="L55" s="54"/>
      <c r="N55" s="79"/>
      <c r="O55" s="124">
        <f t="shared" si="153"/>
        <v>60</v>
      </c>
      <c r="P55" s="184">
        <v>11</v>
      </c>
      <c r="Q55" s="491"/>
      <c r="R55" s="298">
        <v>17.420000000000002</v>
      </c>
      <c r="S55" s="298">
        <v>23.23</v>
      </c>
      <c r="T55" s="298">
        <v>29.04</v>
      </c>
      <c r="U55" s="298">
        <v>34.849999999999994</v>
      </c>
      <c r="V55" s="298">
        <v>40.659999999999997</v>
      </c>
      <c r="W55" s="298">
        <v>46.47</v>
      </c>
      <c r="X55" s="298">
        <v>52.28</v>
      </c>
      <c r="Y55" s="298">
        <v>58.09</v>
      </c>
      <c r="Z55" s="298">
        <v>63.900000000000006</v>
      </c>
      <c r="AA55" s="492"/>
      <c r="AB55" s="492"/>
      <c r="AC55" s="492"/>
      <c r="AD55" s="492"/>
      <c r="AE55" s="492"/>
      <c r="AF55" s="492"/>
      <c r="AG55" s="492"/>
      <c r="AH55" s="492"/>
      <c r="AI55" s="492"/>
      <c r="AJ55" s="492"/>
      <c r="AK55" s="45"/>
      <c r="AL55" s="117" t="e">
        <f>I69</f>
        <v>#VALUE!</v>
      </c>
      <c r="AM55" s="118" t="e">
        <f>INDEX(P45:AJ65,$I$70,$D$70)</f>
        <v>#VALUE!</v>
      </c>
      <c r="AN55" s="118" t="e">
        <f>(((AN52-AM52)/(AO52-AM52))*(AO55-AM55))+AM55</f>
        <v>#VALUE!</v>
      </c>
      <c r="AO55" s="118" t="e">
        <f>INDEX(P45:AJ65,$I$70,$E$70)</f>
        <v>#VALUE!</v>
      </c>
      <c r="AP55" s="185"/>
      <c r="AQ55" s="46"/>
    </row>
    <row r="56" spans="1:59" ht="19.5" thickBot="1" x14ac:dyDescent="0.35">
      <c r="B56" s="57"/>
      <c r="C56" s="51"/>
      <c r="D56" s="83" t="e">
        <f>H50</f>
        <v>#VALUE!</v>
      </c>
      <c r="E56" s="105" t="e">
        <f>INDEX(C17:W37,$H$51,$D$51)</f>
        <v>#VALUE!</v>
      </c>
      <c r="F56" s="105" t="e">
        <f>(((F55-E55)/(G55-E55))*(G56-E56))+E56</f>
        <v>#VALUE!</v>
      </c>
      <c r="G56" s="105" t="e">
        <f>INDEX(C17:W37,$H$51,$E$51)</f>
        <v>#VALUE!</v>
      </c>
      <c r="H56" s="51"/>
      <c r="I56" s="108" t="s">
        <v>43</v>
      </c>
      <c r="J56" s="108" t="e">
        <f>F57*(C3*C5)/144</f>
        <v>#VALUE!</v>
      </c>
      <c r="K56" s="108" t="s">
        <v>42</v>
      </c>
      <c r="L56" s="54"/>
      <c r="N56" s="79"/>
      <c r="O56" s="124">
        <f t="shared" si="153"/>
        <v>66</v>
      </c>
      <c r="P56" s="184">
        <v>12</v>
      </c>
      <c r="Q56" s="491"/>
      <c r="R56" s="298">
        <v>19.34</v>
      </c>
      <c r="S56" s="298">
        <v>25.86</v>
      </c>
      <c r="T56" s="298">
        <v>32.379999999999995</v>
      </c>
      <c r="U56" s="298">
        <v>38.899999999999991</v>
      </c>
      <c r="V56" s="298">
        <v>45.419999999999987</v>
      </c>
      <c r="W56" s="298">
        <v>51.939999999999984</v>
      </c>
      <c r="X56" s="298">
        <v>58.46</v>
      </c>
      <c r="Y56" s="298">
        <v>64.98</v>
      </c>
      <c r="Z56" s="298">
        <v>71.5</v>
      </c>
      <c r="AA56" s="492"/>
      <c r="AB56" s="492"/>
      <c r="AC56" s="492"/>
      <c r="AD56" s="492"/>
      <c r="AE56" s="492"/>
      <c r="AF56" s="492"/>
      <c r="AG56" s="492"/>
      <c r="AH56" s="492"/>
      <c r="AI56" s="492"/>
      <c r="AJ56" s="492"/>
      <c r="AK56" s="45"/>
      <c r="AL56" s="327"/>
      <c r="AM56" s="327"/>
      <c r="AN56" s="327"/>
      <c r="AO56" s="327"/>
      <c r="AP56" s="327"/>
      <c r="AQ56" s="46"/>
    </row>
    <row r="57" spans="1:59" ht="19.5" thickBot="1" x14ac:dyDescent="0.35">
      <c r="B57" s="57"/>
      <c r="C57" s="51"/>
      <c r="D57" s="83" t="e">
        <f>C45</f>
        <v>#VALUE!</v>
      </c>
      <c r="E57" s="105" t="e">
        <f>(((D57-D56)/(D58-D56))*(E58-E56))+E56</f>
        <v>#VALUE!</v>
      </c>
      <c r="F57" s="106" t="e">
        <f>IF(AND(F55&gt;72,D57&gt;72),5/0,IF(F55=120,E57,(((F56-E56)/(G56-E56))*(G57-E57))+E57))</f>
        <v>#VALUE!</v>
      </c>
      <c r="G57" s="105" t="e">
        <f>(((D57-D56)/(D58-D56))*(G58-G56))+G56</f>
        <v>#VALUE!</v>
      </c>
      <c r="H57" s="51"/>
      <c r="I57" s="108"/>
      <c r="J57" s="510"/>
      <c r="K57" s="108"/>
      <c r="L57" s="54"/>
      <c r="N57" s="79"/>
      <c r="O57" s="124">
        <f t="shared" si="153"/>
        <v>72</v>
      </c>
      <c r="P57" s="184">
        <v>13</v>
      </c>
      <c r="Q57" s="491"/>
      <c r="R57" s="298">
        <v>20.75</v>
      </c>
      <c r="S57" s="298">
        <v>27.61</v>
      </c>
      <c r="T57" s="298">
        <v>34.47</v>
      </c>
      <c r="U57" s="298">
        <v>41.33</v>
      </c>
      <c r="V57" s="298">
        <v>48.19</v>
      </c>
      <c r="W57" s="298">
        <v>55.05</v>
      </c>
      <c r="X57" s="298">
        <v>61.93</v>
      </c>
      <c r="Y57" s="298">
        <v>68.789999999999992</v>
      </c>
      <c r="Z57" s="298">
        <v>75.649999999999991</v>
      </c>
      <c r="AA57" s="492"/>
      <c r="AB57" s="492"/>
      <c r="AC57" s="492"/>
      <c r="AD57" s="492"/>
      <c r="AE57" s="492"/>
      <c r="AF57" s="492"/>
      <c r="AG57" s="492"/>
      <c r="AH57" s="492"/>
      <c r="AI57" s="492"/>
      <c r="AJ57" s="492"/>
      <c r="AK57" s="45"/>
      <c r="AL57" s="45"/>
      <c r="AM57" s="327"/>
      <c r="AN57" s="186"/>
      <c r="AO57" s="185"/>
      <c r="AP57" s="325"/>
      <c r="AQ57" s="46"/>
    </row>
    <row r="58" spans="1:59" ht="19.5" thickBot="1" x14ac:dyDescent="0.35">
      <c r="B58" s="57"/>
      <c r="C58" s="51"/>
      <c r="D58" s="83" t="e">
        <f>I50</f>
        <v>#VALUE!</v>
      </c>
      <c r="E58" s="105" t="e">
        <f>INDEX(C17:W37,$I$51,$D$51)</f>
        <v>#VALUE!</v>
      </c>
      <c r="F58" s="105" t="e">
        <f>(((F55-E55)/(G55-E55))*(G58-E58))+E58</f>
        <v>#VALUE!</v>
      </c>
      <c r="G58" s="105" t="e">
        <f>INDEX(C17:W37,$I$51,$E$51)</f>
        <v>#VALUE!</v>
      </c>
      <c r="H58" s="51"/>
      <c r="I58" s="108"/>
      <c r="J58" s="108"/>
      <c r="K58" s="108"/>
      <c r="L58" s="54"/>
      <c r="N58" s="79"/>
      <c r="O58" s="124">
        <f t="shared" si="153"/>
        <v>78</v>
      </c>
      <c r="P58" s="184">
        <v>14</v>
      </c>
      <c r="Q58" s="491"/>
      <c r="R58" s="492"/>
      <c r="S58" s="492"/>
      <c r="T58" s="492"/>
      <c r="U58" s="492"/>
      <c r="V58" s="492"/>
      <c r="W58" s="492"/>
      <c r="X58" s="492"/>
      <c r="Y58" s="492"/>
      <c r="Z58" s="492"/>
      <c r="AA58" s="492"/>
      <c r="AB58" s="492"/>
      <c r="AC58" s="492"/>
      <c r="AD58" s="492"/>
      <c r="AE58" s="492"/>
      <c r="AF58" s="492"/>
      <c r="AG58" s="492"/>
      <c r="AH58" s="492"/>
      <c r="AI58" s="492"/>
      <c r="AJ58" s="492"/>
      <c r="AK58" s="45"/>
      <c r="AL58" s="45"/>
      <c r="AM58" s="327" t="s">
        <v>241</v>
      </c>
      <c r="AN58" s="186"/>
      <c r="AO58" s="153" t="e">
        <f>AN49</f>
        <v>#VALUE!</v>
      </c>
      <c r="AP58" s="325" t="s">
        <v>141</v>
      </c>
      <c r="AQ58" s="46"/>
    </row>
    <row r="59" spans="1:59" ht="19.5" thickBot="1" x14ac:dyDescent="0.35">
      <c r="B59" s="57"/>
      <c r="C59" s="51"/>
      <c r="D59" s="51"/>
      <c r="E59" s="51"/>
      <c r="F59" s="51"/>
      <c r="G59" s="51"/>
      <c r="H59" s="51"/>
      <c r="I59" s="108"/>
      <c r="J59" s="108"/>
      <c r="K59" s="108"/>
      <c r="L59" s="54"/>
      <c r="N59" s="79"/>
      <c r="O59" s="124">
        <f t="shared" si="153"/>
        <v>84</v>
      </c>
      <c r="P59" s="184">
        <v>15</v>
      </c>
      <c r="Q59" s="491"/>
      <c r="R59" s="492"/>
      <c r="S59" s="492"/>
      <c r="T59" s="492"/>
      <c r="U59" s="492"/>
      <c r="V59" s="492"/>
      <c r="W59" s="492"/>
      <c r="X59" s="492"/>
      <c r="Y59" s="492"/>
      <c r="Z59" s="492"/>
      <c r="AA59" s="492"/>
      <c r="AB59" s="492"/>
      <c r="AC59" s="492"/>
      <c r="AD59" s="492"/>
      <c r="AE59" s="492"/>
      <c r="AF59" s="492"/>
      <c r="AG59" s="492"/>
      <c r="AH59" s="492"/>
      <c r="AI59" s="492"/>
      <c r="AJ59" s="492"/>
      <c r="AK59" s="45"/>
      <c r="AL59" s="45"/>
      <c r="AM59" s="327" t="s">
        <v>242</v>
      </c>
      <c r="AN59" s="185"/>
      <c r="AO59" s="153" t="e">
        <f>AN54</f>
        <v>#VALUE!</v>
      </c>
      <c r="AP59" s="185" t="s">
        <v>141</v>
      </c>
      <c r="AQ59" s="77"/>
    </row>
    <row r="60" spans="1:59" ht="15.75" thickBot="1" x14ac:dyDescent="0.3">
      <c r="B60" s="57"/>
      <c r="C60" s="51"/>
      <c r="D60" s="51"/>
      <c r="E60" s="51"/>
      <c r="F60" s="51"/>
      <c r="G60" s="51"/>
      <c r="H60" s="51"/>
      <c r="I60" s="51"/>
      <c r="J60" s="51"/>
      <c r="K60" s="51"/>
      <c r="L60" s="54"/>
      <c r="N60" s="79"/>
      <c r="O60" s="124">
        <f t="shared" si="153"/>
        <v>90</v>
      </c>
      <c r="P60" s="184">
        <v>16</v>
      </c>
      <c r="Q60" s="491"/>
      <c r="R60" s="492"/>
      <c r="S60" s="492"/>
      <c r="T60" s="492"/>
      <c r="U60" s="492"/>
      <c r="V60" s="492"/>
      <c r="W60" s="492"/>
      <c r="X60" s="492"/>
      <c r="Y60" s="492"/>
      <c r="Z60" s="492"/>
      <c r="AA60" s="492"/>
      <c r="AB60" s="492"/>
      <c r="AC60" s="492"/>
      <c r="AD60" s="492"/>
      <c r="AE60" s="492"/>
      <c r="AF60" s="492"/>
      <c r="AG60" s="492"/>
      <c r="AH60" s="492"/>
      <c r="AI60" s="492"/>
      <c r="AJ60" s="492"/>
      <c r="AK60" s="45"/>
      <c r="AL60" s="45"/>
      <c r="AM60" s="45"/>
      <c r="AN60" s="45"/>
      <c r="AO60" s="45"/>
      <c r="AP60" s="45"/>
      <c r="AQ60" s="77"/>
      <c r="BG60" s="61"/>
    </row>
    <row r="61" spans="1:59" ht="15.75" thickBot="1" x14ac:dyDescent="0.3">
      <c r="B61" s="57"/>
      <c r="C61" s="51"/>
      <c r="D61" s="51"/>
      <c r="E61" s="51"/>
      <c r="F61" s="51"/>
      <c r="G61" s="51"/>
      <c r="H61" s="51"/>
      <c r="I61" s="51"/>
      <c r="J61" s="51"/>
      <c r="K61" s="51"/>
      <c r="L61" s="54"/>
      <c r="N61" s="79"/>
      <c r="O61" s="124">
        <f t="shared" si="153"/>
        <v>96</v>
      </c>
      <c r="P61" s="184">
        <v>17</v>
      </c>
      <c r="Q61" s="491"/>
      <c r="R61" s="492"/>
      <c r="S61" s="492"/>
      <c r="T61" s="492"/>
      <c r="U61" s="492"/>
      <c r="V61" s="492"/>
      <c r="W61" s="492"/>
      <c r="X61" s="492"/>
      <c r="Y61" s="492"/>
      <c r="Z61" s="492"/>
      <c r="AA61" s="492"/>
      <c r="AB61" s="492"/>
      <c r="AC61" s="492"/>
      <c r="AD61" s="492"/>
      <c r="AE61" s="492"/>
      <c r="AF61" s="492"/>
      <c r="AG61" s="492"/>
      <c r="AH61" s="492"/>
      <c r="AI61" s="492"/>
      <c r="AJ61" s="492"/>
      <c r="AK61" s="45"/>
      <c r="AL61" s="45"/>
      <c r="AM61" s="45"/>
      <c r="AN61" s="45"/>
      <c r="AO61" s="45"/>
      <c r="AP61" s="45"/>
      <c r="AQ61" s="77"/>
      <c r="BG61" s="61"/>
    </row>
    <row r="62" spans="1:59" ht="15.75" thickBot="1" x14ac:dyDescent="0.3">
      <c r="A62" s="1"/>
      <c r="B62" s="51"/>
      <c r="C62" s="51"/>
      <c r="D62" s="51"/>
      <c r="E62" s="51"/>
      <c r="F62" s="51"/>
      <c r="G62" s="51"/>
      <c r="H62" s="51"/>
      <c r="I62" s="51"/>
      <c r="J62" s="51"/>
      <c r="K62" s="51"/>
      <c r="L62" s="54"/>
      <c r="N62" s="79"/>
      <c r="O62" s="124">
        <f t="shared" si="153"/>
        <v>102</v>
      </c>
      <c r="P62" s="184">
        <v>18</v>
      </c>
      <c r="Q62" s="491"/>
      <c r="R62" s="492"/>
      <c r="S62" s="492"/>
      <c r="T62" s="492"/>
      <c r="U62" s="492"/>
      <c r="V62" s="492"/>
      <c r="W62" s="492"/>
      <c r="X62" s="492"/>
      <c r="Y62" s="492"/>
      <c r="Z62" s="492"/>
      <c r="AA62" s="492"/>
      <c r="AB62" s="492"/>
      <c r="AC62" s="492"/>
      <c r="AD62" s="492"/>
      <c r="AE62" s="492"/>
      <c r="AF62" s="492"/>
      <c r="AG62" s="492"/>
      <c r="AH62" s="492"/>
      <c r="AI62" s="492"/>
      <c r="AJ62" s="492"/>
      <c r="AK62" s="45"/>
      <c r="AL62" s="45"/>
      <c r="AM62" s="45"/>
      <c r="AN62" s="45"/>
      <c r="AO62" s="45"/>
      <c r="AP62" s="45"/>
      <c r="AQ62" s="77"/>
      <c r="BG62" s="61"/>
    </row>
    <row r="63" spans="1:59" ht="19.5" thickBot="1" x14ac:dyDescent="0.35">
      <c r="A63" s="1"/>
      <c r="B63" s="150" t="s">
        <v>38</v>
      </c>
      <c r="C63" s="112" t="e">
        <f>F10</f>
        <v>#VALUE!</v>
      </c>
      <c r="D63" s="51"/>
      <c r="E63" s="51"/>
      <c r="F63" s="51"/>
      <c r="G63" s="51"/>
      <c r="H63" s="51"/>
      <c r="I63" s="51"/>
      <c r="J63" s="51"/>
      <c r="K63" s="51"/>
      <c r="L63" s="54"/>
      <c r="N63" s="79"/>
      <c r="O63" s="124">
        <f t="shared" si="153"/>
        <v>108</v>
      </c>
      <c r="P63" s="184">
        <v>19</v>
      </c>
      <c r="Q63" s="491"/>
      <c r="R63" s="492"/>
      <c r="S63" s="492"/>
      <c r="T63" s="492"/>
      <c r="U63" s="492"/>
      <c r="V63" s="492"/>
      <c r="W63" s="492"/>
      <c r="X63" s="492"/>
      <c r="Y63" s="492"/>
      <c r="Z63" s="492"/>
      <c r="AA63" s="492"/>
      <c r="AB63" s="492"/>
      <c r="AC63" s="492"/>
      <c r="AD63" s="492"/>
      <c r="AE63" s="492"/>
      <c r="AF63" s="492"/>
      <c r="AG63" s="492"/>
      <c r="AH63" s="492"/>
      <c r="AI63" s="492"/>
      <c r="AJ63" s="492"/>
      <c r="AK63" s="45"/>
      <c r="AL63" s="45"/>
      <c r="AM63" s="45"/>
      <c r="AN63" s="45"/>
      <c r="AO63" s="45"/>
      <c r="AP63" s="45"/>
      <c r="AQ63" s="77"/>
      <c r="BG63" s="61"/>
    </row>
    <row r="64" spans="1:59" ht="19.5" thickBot="1" x14ac:dyDescent="0.35">
      <c r="B64" s="150" t="s">
        <v>39</v>
      </c>
      <c r="C64" s="112" t="e">
        <f>I10</f>
        <v>#VALUE!</v>
      </c>
      <c r="D64" s="2"/>
      <c r="E64" s="51"/>
      <c r="F64" s="51"/>
      <c r="G64" s="51"/>
      <c r="H64" s="51"/>
      <c r="I64" s="51"/>
      <c r="J64" s="51"/>
      <c r="K64" s="51"/>
      <c r="L64" s="54"/>
      <c r="N64" s="79"/>
      <c r="O64" s="124">
        <f t="shared" si="153"/>
        <v>114</v>
      </c>
      <c r="P64" s="184">
        <v>20</v>
      </c>
      <c r="Q64" s="491"/>
      <c r="R64" s="492"/>
      <c r="S64" s="492"/>
      <c r="T64" s="492"/>
      <c r="U64" s="492"/>
      <c r="V64" s="492"/>
      <c r="W64" s="492"/>
      <c r="X64" s="492"/>
      <c r="Y64" s="492"/>
      <c r="Z64" s="492"/>
      <c r="AA64" s="492"/>
      <c r="AB64" s="492"/>
      <c r="AC64" s="492"/>
      <c r="AD64" s="492"/>
      <c r="AE64" s="492"/>
      <c r="AF64" s="492"/>
      <c r="AG64" s="492"/>
      <c r="AH64" s="492"/>
      <c r="AI64" s="492"/>
      <c r="AJ64" s="492"/>
      <c r="AK64" s="45"/>
      <c r="AL64" s="45"/>
      <c r="AM64" s="45"/>
      <c r="AN64" s="45"/>
      <c r="AO64" s="45"/>
      <c r="AP64" s="45"/>
      <c r="AQ64" s="77"/>
      <c r="BG64" s="61"/>
    </row>
    <row r="65" spans="1:79" ht="21.75" thickBot="1" x14ac:dyDescent="0.4">
      <c r="B65" s="454" t="s">
        <v>63</v>
      </c>
      <c r="C65" s="51"/>
      <c r="D65" s="51"/>
      <c r="E65" s="51"/>
      <c r="F65" s="51"/>
      <c r="G65" s="51"/>
      <c r="H65" s="51"/>
      <c r="I65" s="51"/>
      <c r="J65" s="51"/>
      <c r="K65" s="51"/>
      <c r="L65" s="54"/>
      <c r="N65" s="79"/>
      <c r="O65" s="124">
        <f t="shared" si="153"/>
        <v>120</v>
      </c>
      <c r="P65" s="184">
        <v>21</v>
      </c>
      <c r="Q65" s="491"/>
      <c r="R65" s="492"/>
      <c r="S65" s="492"/>
      <c r="T65" s="492"/>
      <c r="U65" s="492"/>
      <c r="V65" s="492"/>
      <c r="W65" s="492"/>
      <c r="X65" s="492"/>
      <c r="Y65" s="492"/>
      <c r="Z65" s="492"/>
      <c r="AA65" s="492"/>
      <c r="AB65" s="492"/>
      <c r="AC65" s="492"/>
      <c r="AD65" s="492"/>
      <c r="AE65" s="492"/>
      <c r="AF65" s="492"/>
      <c r="AG65" s="492"/>
      <c r="AH65" s="492"/>
      <c r="AI65" s="492"/>
      <c r="AJ65" s="492"/>
      <c r="AK65" s="45"/>
      <c r="AL65" s="45"/>
      <c r="AM65" s="45"/>
      <c r="AN65" s="45"/>
      <c r="AO65" s="45"/>
      <c r="AP65" s="45"/>
      <c r="AQ65" s="77"/>
      <c r="BG65" s="61"/>
    </row>
    <row r="66" spans="1:79" ht="15.75" thickBot="1" x14ac:dyDescent="0.3">
      <c r="B66" s="57"/>
      <c r="C66" s="2"/>
      <c r="D66" s="51"/>
      <c r="E66" s="51"/>
      <c r="F66" s="51"/>
      <c r="G66" s="51"/>
      <c r="H66" s="51"/>
      <c r="I66" s="51"/>
      <c r="J66" s="51"/>
      <c r="K66" s="51"/>
      <c r="L66" s="54"/>
      <c r="N66" s="79"/>
      <c r="O66" s="113"/>
      <c r="P66" s="184"/>
      <c r="Q66" s="113"/>
      <c r="R66" s="45"/>
      <c r="S66" s="45"/>
      <c r="T66" s="45"/>
      <c r="U66" s="45"/>
      <c r="V66" s="45"/>
      <c r="W66" s="45"/>
      <c r="X66" s="45"/>
      <c r="Y66" s="45"/>
      <c r="Z66" s="45"/>
      <c r="AA66" s="116"/>
      <c r="AB66" s="116"/>
      <c r="AC66" s="116"/>
      <c r="AD66" s="116"/>
      <c r="AE66" s="116"/>
      <c r="AF66" s="116"/>
      <c r="AG66" s="116"/>
      <c r="AH66" s="116"/>
      <c r="AI66" s="116"/>
      <c r="AJ66" s="116"/>
      <c r="AK66" s="45"/>
      <c r="AL66" s="45"/>
      <c r="AM66" s="45"/>
      <c r="AN66" s="45"/>
      <c r="AO66" s="45"/>
      <c r="AP66" s="45"/>
      <c r="AQ66" s="46"/>
      <c r="BG66" s="61"/>
    </row>
    <row r="67" spans="1:79" ht="15.75" thickBot="1" x14ac:dyDescent="0.3">
      <c r="B67" s="57"/>
      <c r="C67" s="96"/>
      <c r="D67" s="97" t="s">
        <v>32</v>
      </c>
      <c r="E67" s="98"/>
      <c r="F67" s="98"/>
      <c r="G67" s="100"/>
      <c r="H67" s="97" t="s">
        <v>33</v>
      </c>
      <c r="I67" s="99"/>
      <c r="J67" s="51"/>
      <c r="K67" s="51"/>
      <c r="L67" s="54"/>
      <c r="N67" s="79"/>
      <c r="O67" s="113"/>
      <c r="P67" s="46"/>
      <c r="Q67" s="113"/>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6"/>
      <c r="BG67" s="2"/>
      <c r="BH67" s="2"/>
    </row>
    <row r="68" spans="1:79" ht="15.75" thickBot="1" x14ac:dyDescent="0.3">
      <c r="B68" s="57"/>
      <c r="C68" s="92"/>
      <c r="D68" s="93" t="s">
        <v>64</v>
      </c>
      <c r="E68" s="94" t="s">
        <v>65</v>
      </c>
      <c r="F68" s="94"/>
      <c r="G68" s="101"/>
      <c r="H68" s="93" t="s">
        <v>64</v>
      </c>
      <c r="I68" s="95" t="s">
        <v>65</v>
      </c>
      <c r="J68" s="51"/>
      <c r="K68" s="51"/>
      <c r="L68" s="54"/>
      <c r="N68" s="126"/>
      <c r="O68" s="125"/>
      <c r="P68" s="50"/>
      <c r="Q68" s="125"/>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50"/>
      <c r="BG68" s="2"/>
      <c r="BH68" s="2"/>
    </row>
    <row r="69" spans="1:79" ht="15.75" thickBot="1" x14ac:dyDescent="0.3">
      <c r="A69" s="2"/>
      <c r="B69" s="57"/>
      <c r="C69" s="90"/>
      <c r="D69" s="88" t="e">
        <f>IF(AND(C63&lt;12,C63&gt;=H3),H3,FLOOR(C63/6,1)*6)</f>
        <v>#VALUE!</v>
      </c>
      <c r="E69" s="84" t="e">
        <f>IF(D69&lt;12,12,D69+6)</f>
        <v>#VALUE!</v>
      </c>
      <c r="F69" s="84"/>
      <c r="G69" s="102"/>
      <c r="H69" s="88" t="e">
        <f>IF(AND(C64&lt;12,C64&gt;=H5),H5,FLOOR(C64/6,1)*6)</f>
        <v>#VALUE!</v>
      </c>
      <c r="I69" s="85" t="e">
        <f>IF(H69&lt;12,12,H69+6)</f>
        <v>#VALUE!</v>
      </c>
      <c r="J69" s="51"/>
      <c r="K69" s="51"/>
      <c r="L69" s="54"/>
      <c r="BG69" s="2"/>
      <c r="BH69" s="2"/>
    </row>
    <row r="70" spans="1:79" ht="24" thickBot="1" x14ac:dyDescent="0.4">
      <c r="A70" s="2"/>
      <c r="B70" s="57"/>
      <c r="C70" s="90" t="s">
        <v>34</v>
      </c>
      <c r="D70" s="88" t="e">
        <f>HLOOKUP(D69,C16:W17,2)</f>
        <v>#VALUE!</v>
      </c>
      <c r="E70" s="84" t="e">
        <f>HLOOKUP(E69,C16:W17,2)</f>
        <v>#VALUE!</v>
      </c>
      <c r="F70" s="84"/>
      <c r="G70" s="102" t="s">
        <v>35</v>
      </c>
      <c r="H70" s="88" t="e">
        <f>VLOOKUP(H69,B17:C37,2)</f>
        <v>#VALUE!</v>
      </c>
      <c r="I70" s="85" t="e">
        <f>VLOOKUP(I69,B17:C37,2)</f>
        <v>#VALUE!</v>
      </c>
      <c r="J70" s="51"/>
      <c r="K70" s="51"/>
      <c r="L70" s="54"/>
      <c r="N70" s="121" t="s">
        <v>250</v>
      </c>
      <c r="O70" s="122"/>
      <c r="P70" s="122"/>
      <c r="Q70" s="122"/>
      <c r="R70" s="122"/>
      <c r="S70" s="122"/>
      <c r="T70" s="122"/>
      <c r="U70" s="122"/>
      <c r="V70" s="122"/>
      <c r="W70" s="123"/>
      <c r="X70" s="193"/>
      <c r="Y70" s="414" t="s">
        <v>84</v>
      </c>
      <c r="Z70" s="196"/>
      <c r="AA70" s="189"/>
      <c r="AB70" s="189"/>
      <c r="AC70" s="189"/>
      <c r="AD70" s="189"/>
      <c r="AE70" s="189"/>
      <c r="AF70" s="189"/>
      <c r="AG70" s="189"/>
      <c r="AH70" s="189"/>
      <c r="AI70" s="189"/>
      <c r="AJ70" s="190"/>
      <c r="BG70" s="2"/>
    </row>
    <row r="71" spans="1:79" x14ac:dyDescent="0.25">
      <c r="A71" s="2"/>
      <c r="B71" s="57"/>
      <c r="C71" s="91"/>
      <c r="D71" s="89"/>
      <c r="E71" s="86"/>
      <c r="F71" s="86"/>
      <c r="G71" s="103"/>
      <c r="H71" s="89"/>
      <c r="I71" s="87"/>
      <c r="J71" s="51"/>
      <c r="K71" s="51"/>
      <c r="L71" s="54"/>
      <c r="N71" s="996"/>
      <c r="O71" s="189"/>
      <c r="P71" s="189"/>
      <c r="Q71" s="421"/>
      <c r="R71" s="421"/>
      <c r="S71" s="421"/>
      <c r="T71" s="421"/>
      <c r="U71" s="421"/>
      <c r="V71" s="421"/>
      <c r="W71" s="432"/>
      <c r="X71" s="424"/>
      <c r="Y71" s="41"/>
      <c r="Z71" s="40"/>
      <c r="AA71" s="40"/>
      <c r="AB71" s="40"/>
      <c r="AC71" s="40"/>
      <c r="AD71" s="40"/>
      <c r="AE71" s="40"/>
      <c r="AF71" s="40"/>
      <c r="AG71" s="40"/>
      <c r="AH71" s="40"/>
      <c r="AI71" s="40"/>
      <c r="AJ71" s="169"/>
      <c r="BF71" s="2"/>
      <c r="BG71" s="2"/>
    </row>
    <row r="72" spans="1:79" ht="25.5" customHeight="1" x14ac:dyDescent="0.25">
      <c r="B72" s="57"/>
      <c r="C72" s="51"/>
      <c r="D72" s="51"/>
      <c r="E72" s="51"/>
      <c r="F72" s="51"/>
      <c r="G72" s="51"/>
      <c r="H72" s="51"/>
      <c r="I72" s="51"/>
      <c r="J72" s="51"/>
      <c r="K72" s="51"/>
      <c r="L72" s="54"/>
      <c r="N72" s="997"/>
      <c r="O72" s="423" t="s">
        <v>243</v>
      </c>
      <c r="P72" s="422"/>
      <c r="Q72" s="40"/>
      <c r="R72" s="423" t="s">
        <v>248</v>
      </c>
      <c r="S72" s="40"/>
      <c r="T72" s="40"/>
      <c r="U72" s="423" t="s">
        <v>249</v>
      </c>
      <c r="V72" s="40"/>
      <c r="W72" s="169"/>
      <c r="X72" s="193"/>
      <c r="Y72" s="41"/>
      <c r="Z72" s="496" t="s">
        <v>149</v>
      </c>
      <c r="AA72" s="40"/>
      <c r="AB72" s="40" t="e">
        <f>(AO58*D12*2)+(AO59*G12*2)</f>
        <v>#VALUE!</v>
      </c>
      <c r="AC72" s="40" t="s">
        <v>141</v>
      </c>
      <c r="AD72" s="40"/>
      <c r="AE72" s="40"/>
      <c r="AF72" s="40"/>
      <c r="AG72" s="40"/>
      <c r="AH72" s="40"/>
      <c r="AI72" s="40"/>
      <c r="AJ72" s="169"/>
      <c r="BF72" s="2"/>
      <c r="BG72" s="2"/>
    </row>
    <row r="73" spans="1:79" ht="21" x14ac:dyDescent="0.35">
      <c r="A73" s="2"/>
      <c r="B73" s="151" t="s">
        <v>57</v>
      </c>
      <c r="C73" s="51"/>
      <c r="D73" s="2"/>
      <c r="E73" s="51"/>
      <c r="F73" s="51"/>
      <c r="G73" s="51"/>
      <c r="H73" s="51"/>
      <c r="I73" s="51"/>
      <c r="J73" s="51"/>
      <c r="K73" s="51"/>
      <c r="L73" s="54"/>
      <c r="N73" s="458"/>
      <c r="O73" s="223" t="s">
        <v>142</v>
      </c>
      <c r="P73" s="40">
        <v>0.13619999999999999</v>
      </c>
      <c r="Q73" s="40" t="s">
        <v>139</v>
      </c>
      <c r="R73" s="40" t="s">
        <v>313</v>
      </c>
      <c r="S73" s="40">
        <f>0.5</f>
        <v>0.5</v>
      </c>
      <c r="T73" s="40" t="s">
        <v>141</v>
      </c>
      <c r="U73" s="581" t="str">
        <f>IF(C4&gt;107.815,"GA_8.25",IF(AND(C3&lt;=107.815,C4&lt;=35.815),"OP_8.25","SE_8.25"))</f>
        <v>GA_8.25</v>
      </c>
      <c r="V73" s="583" t="e">
        <f>INDEX(BC_ROOF!J2:K10, MATCH(U73,BC_ROOF!J2:J10,0),2)</f>
        <v>#VALUE!</v>
      </c>
      <c r="W73" s="169" t="s">
        <v>141</v>
      </c>
      <c r="X73" s="193"/>
      <c r="Y73" s="41"/>
      <c r="Z73" s="496" t="s">
        <v>247</v>
      </c>
      <c r="AA73" s="40"/>
      <c r="AB73" s="415" t="e">
        <f>P76</f>
        <v>#VALUE!</v>
      </c>
      <c r="AC73" s="40" t="s">
        <v>141</v>
      </c>
      <c r="AD73" s="40"/>
      <c r="AE73" s="40"/>
      <c r="AF73" s="40"/>
      <c r="AG73" s="40"/>
      <c r="AH73" s="40"/>
      <c r="AI73" s="40"/>
      <c r="AJ73" s="169"/>
      <c r="BF73" s="2"/>
    </row>
    <row r="74" spans="1:79" ht="15.75" x14ac:dyDescent="0.25">
      <c r="A74" s="2"/>
      <c r="B74" s="57"/>
      <c r="C74" s="51"/>
      <c r="D74" s="83"/>
      <c r="E74" s="83" t="e">
        <f>D69</f>
        <v>#VALUE!</v>
      </c>
      <c r="F74" s="104" t="e">
        <f>C63</f>
        <v>#VALUE!</v>
      </c>
      <c r="G74" s="83" t="e">
        <f>E69</f>
        <v>#VALUE!</v>
      </c>
      <c r="H74" s="51"/>
      <c r="I74" s="51"/>
      <c r="J74" s="51"/>
      <c r="K74" s="51"/>
      <c r="L74" s="54"/>
      <c r="N74" s="420"/>
      <c r="O74" s="40" t="s">
        <v>231</v>
      </c>
      <c r="P74" s="40" t="str">
        <f>C5</f>
        <v>ENTER HEIGHT</v>
      </c>
      <c r="Q74" s="40" t="s">
        <v>151</v>
      </c>
      <c r="R74" s="40" t="s">
        <v>244</v>
      </c>
      <c r="S74" s="40" t="e">
        <f>D13</f>
        <v>#VALUE!</v>
      </c>
      <c r="T74" s="40"/>
      <c r="U74" s="192"/>
      <c r="V74" s="584"/>
      <c r="W74" s="169"/>
      <c r="X74" s="193"/>
      <c r="Y74" s="41"/>
      <c r="Z74" s="496" t="s">
        <v>148</v>
      </c>
      <c r="AA74" s="40"/>
      <c r="AB74" s="415" t="e">
        <f>P83</f>
        <v>#VALUE!</v>
      </c>
      <c r="AC74" s="40" t="s">
        <v>141</v>
      </c>
      <c r="AD74" s="40"/>
      <c r="AE74" s="40"/>
      <c r="AF74" s="40"/>
      <c r="AG74" s="40"/>
      <c r="AH74" s="40"/>
      <c r="AI74" s="40"/>
      <c r="AJ74" s="169"/>
    </row>
    <row r="75" spans="1:79" ht="15.75" x14ac:dyDescent="0.25">
      <c r="A75" s="2"/>
      <c r="B75" s="57"/>
      <c r="C75" s="51"/>
      <c r="D75" s="83" t="e">
        <f>H69</f>
        <v>#VALUE!</v>
      </c>
      <c r="E75" s="105" t="e">
        <f>INDEX(C17:W37,$H$70,$D$70)</f>
        <v>#VALUE!</v>
      </c>
      <c r="F75" s="105" t="e">
        <f>(((F74-E74)/(G74-E74))*(G75-E75))+E75</f>
        <v>#VALUE!</v>
      </c>
      <c r="G75" s="105" t="e">
        <f>INDEX(C17:W37,$H$70,$E$70)</f>
        <v>#VALUE!</v>
      </c>
      <c r="H75" s="51"/>
      <c r="I75" s="51"/>
      <c r="J75" s="51"/>
      <c r="K75" s="51"/>
      <c r="L75" s="54"/>
      <c r="N75" s="41"/>
      <c r="O75" s="40"/>
      <c r="P75" s="40"/>
      <c r="Q75" s="40"/>
      <c r="R75" s="40"/>
      <c r="S75" s="40"/>
      <c r="T75" s="40"/>
      <c r="U75" s="192"/>
      <c r="V75" s="584"/>
      <c r="W75" s="169"/>
      <c r="X75" s="193"/>
      <c r="Y75" s="41"/>
      <c r="Z75" s="496" t="s">
        <v>248</v>
      </c>
      <c r="AA75" s="40"/>
      <c r="AB75" s="40" t="e">
        <f>S76</f>
        <v>#VALUE!</v>
      </c>
      <c r="AC75" s="40" t="s">
        <v>141</v>
      </c>
      <c r="AD75" s="40"/>
      <c r="AE75" s="40"/>
      <c r="AF75" s="40"/>
      <c r="AG75" s="40"/>
      <c r="AH75" s="40"/>
      <c r="AI75" s="40"/>
      <c r="AJ75" s="169"/>
    </row>
    <row r="76" spans="1:79" ht="18.75" x14ac:dyDescent="0.3">
      <c r="A76" s="2"/>
      <c r="B76" s="57"/>
      <c r="C76" s="51"/>
      <c r="D76" s="83" t="e">
        <f>C64</f>
        <v>#VALUE!</v>
      </c>
      <c r="E76" s="105" t="e">
        <f>(((D76-D75)/(D77-D75))*(E77-E75))+E75</f>
        <v>#VALUE!</v>
      </c>
      <c r="F76" s="106" t="e">
        <f>IF(AND(F74&gt;72,D76&gt;72),5/0,IF(F74=120,E76,(((F75-E75)/(G75-E75))*(G76-E76))+E76))</f>
        <v>#VALUE!</v>
      </c>
      <c r="G76" s="105" t="e">
        <f>(((D76-D75)/(D77-D75))*(G77-G75))+G75</f>
        <v>#VALUE!</v>
      </c>
      <c r="H76" s="51"/>
      <c r="I76" s="108" t="s">
        <v>43</v>
      </c>
      <c r="J76" s="108" t="e">
        <f>F76*(C4*C5)/144</f>
        <v>#VALUE!</v>
      </c>
      <c r="K76" s="108" t="s">
        <v>42</v>
      </c>
      <c r="L76" s="54"/>
      <c r="N76" s="41"/>
      <c r="O76" s="499" t="s">
        <v>247</v>
      </c>
      <c r="P76" s="40" t="e">
        <f>4*(P73*P74)</f>
        <v>#VALUE!</v>
      </c>
      <c r="Q76" s="40" t="s">
        <v>141</v>
      </c>
      <c r="R76" s="495" t="s">
        <v>248</v>
      </c>
      <c r="S76" s="40" t="e">
        <f>S74*2*S73</f>
        <v>#VALUE!</v>
      </c>
      <c r="T76" s="40" t="s">
        <v>141</v>
      </c>
      <c r="U76" s="582" t="s">
        <v>249</v>
      </c>
      <c r="V76" s="583" t="e">
        <f>V73</f>
        <v>#VALUE!</v>
      </c>
      <c r="W76" s="169" t="s">
        <v>141</v>
      </c>
      <c r="X76" s="193"/>
      <c r="Y76" s="41"/>
      <c r="Z76" s="496" t="s">
        <v>245</v>
      </c>
      <c r="AA76" s="40"/>
      <c r="AB76" s="40" t="e">
        <f>S83</f>
        <v>#VALUE!</v>
      </c>
      <c r="AC76" s="40" t="s">
        <v>141</v>
      </c>
      <c r="AD76" s="40"/>
      <c r="AE76" s="40"/>
      <c r="AF76" s="40"/>
      <c r="AG76" s="40"/>
      <c r="AH76" s="40"/>
      <c r="AI76" s="40"/>
      <c r="AJ76" s="169"/>
      <c r="BS76" s="2"/>
      <c r="BT76" s="2"/>
      <c r="BU76" s="2"/>
      <c r="BV76" s="2"/>
      <c r="BW76" s="2"/>
      <c r="BX76" s="2"/>
      <c r="BY76" s="2"/>
      <c r="BZ76" s="2"/>
      <c r="CA76" s="2"/>
    </row>
    <row r="77" spans="1:79" ht="18.75" x14ac:dyDescent="0.3">
      <c r="B77" s="57"/>
      <c r="C77" s="51"/>
      <c r="D77" s="83" t="e">
        <f>I69</f>
        <v>#VALUE!</v>
      </c>
      <c r="E77" s="105" t="e">
        <f>INDEX(C17:W37,$I$70,$D$70)</f>
        <v>#VALUE!</v>
      </c>
      <c r="F77" s="105" t="e">
        <f>(((F74-E74)/(G74-E74))*(G77-E77))+E77</f>
        <v>#VALUE!</v>
      </c>
      <c r="G77" s="105" t="e">
        <f>INDEX(C17:W37,$I$70,$E$70)</f>
        <v>#VALUE!</v>
      </c>
      <c r="H77" s="51"/>
      <c r="I77" s="108"/>
      <c r="J77" s="108"/>
      <c r="K77" s="108"/>
      <c r="L77" s="54"/>
      <c r="N77" s="41"/>
      <c r="O77" s="423"/>
      <c r="P77" s="40"/>
      <c r="Q77" s="40"/>
      <c r="R77" s="40"/>
      <c r="S77" s="40"/>
      <c r="T77" s="40"/>
      <c r="U77" s="40"/>
      <c r="V77" s="40"/>
      <c r="W77" s="169"/>
      <c r="X77" s="193"/>
      <c r="Y77" s="41"/>
      <c r="Z77" s="496" t="s">
        <v>246</v>
      </c>
      <c r="AA77" s="40"/>
      <c r="AB77" s="40" t="e">
        <f>V83</f>
        <v>#VALUE!</v>
      </c>
      <c r="AC77" s="40" t="s">
        <v>141</v>
      </c>
      <c r="AD77" s="40"/>
      <c r="AE77" s="40"/>
      <c r="AF77" s="40"/>
      <c r="AG77" s="40"/>
      <c r="AH77" s="40"/>
      <c r="AI77" s="40"/>
      <c r="AJ77" s="169"/>
      <c r="BS77" s="2"/>
      <c r="BT77" s="2"/>
      <c r="BU77" s="2"/>
      <c r="BV77" s="2"/>
      <c r="BW77" s="2"/>
      <c r="BX77" s="2"/>
      <c r="BY77" s="2"/>
      <c r="BZ77" s="2"/>
      <c r="CA77" s="2"/>
    </row>
    <row r="78" spans="1:79" x14ac:dyDescent="0.25">
      <c r="B78" s="57"/>
      <c r="C78" s="51"/>
      <c r="D78" s="51"/>
      <c r="E78" s="51"/>
      <c r="F78" s="51"/>
      <c r="G78" s="51"/>
      <c r="H78" s="51"/>
      <c r="I78" s="51"/>
      <c r="J78" s="51"/>
      <c r="K78" s="51"/>
      <c r="L78" s="54"/>
      <c r="N78" s="41"/>
      <c r="O78" s="423"/>
      <c r="P78" s="40"/>
      <c r="Q78" s="40"/>
      <c r="R78" s="40"/>
      <c r="S78" s="40"/>
      <c r="T78" s="40"/>
      <c r="U78" s="40"/>
      <c r="V78" s="40"/>
      <c r="W78" s="169"/>
      <c r="X78" s="193"/>
      <c r="Y78" s="41"/>
      <c r="Z78" s="496" t="s">
        <v>249</v>
      </c>
      <c r="AA78" s="40"/>
      <c r="AB78" s="585" t="e">
        <f>V76</f>
        <v>#VALUE!</v>
      </c>
      <c r="AC78" s="40" t="s">
        <v>141</v>
      </c>
      <c r="AD78" s="40"/>
      <c r="AE78" s="40"/>
      <c r="AF78" s="40"/>
      <c r="AG78" s="40"/>
      <c r="AH78" s="40"/>
      <c r="AI78" s="40"/>
      <c r="AJ78" s="169"/>
      <c r="BS78" s="2"/>
      <c r="BT78" s="2"/>
      <c r="BU78" s="2"/>
      <c r="BV78" s="2"/>
      <c r="BW78" s="2"/>
      <c r="BX78" s="2"/>
      <c r="BY78" s="2"/>
      <c r="BZ78" s="2"/>
      <c r="CA78" s="2"/>
    </row>
    <row r="79" spans="1:79" x14ac:dyDescent="0.25">
      <c r="B79" s="57"/>
      <c r="C79" s="51"/>
      <c r="D79" s="51"/>
      <c r="E79" s="51"/>
      <c r="F79" s="51"/>
      <c r="G79" s="51"/>
      <c r="H79" s="51"/>
      <c r="I79" s="51"/>
      <c r="J79" s="51"/>
      <c r="K79" s="51"/>
      <c r="L79" s="54"/>
      <c r="N79" s="41"/>
      <c r="O79" s="423" t="s">
        <v>148</v>
      </c>
      <c r="P79" s="40"/>
      <c r="Q79" s="40"/>
      <c r="R79" s="423" t="s">
        <v>245</v>
      </c>
      <c r="S79" s="40"/>
      <c r="T79" s="40"/>
      <c r="U79" s="423" t="s">
        <v>246</v>
      </c>
      <c r="V79" s="40"/>
      <c r="W79" s="169"/>
      <c r="X79" s="193"/>
      <c r="Y79" s="41"/>
      <c r="Z79" s="40"/>
      <c r="AA79" s="40"/>
      <c r="AB79" s="40"/>
      <c r="AC79" s="40"/>
      <c r="AD79" s="40"/>
      <c r="AE79" s="40"/>
      <c r="AF79" s="40"/>
      <c r="AG79" s="40"/>
      <c r="AH79" s="40"/>
      <c r="AI79" s="40"/>
      <c r="AJ79" s="169"/>
      <c r="BS79" s="2"/>
      <c r="BT79" s="2"/>
      <c r="BU79" s="2"/>
      <c r="BV79" s="2"/>
      <c r="BW79" s="2"/>
      <c r="BX79" s="2"/>
      <c r="BY79" s="2"/>
      <c r="BZ79" s="2"/>
      <c r="CA79" s="2"/>
    </row>
    <row r="80" spans="1:79" x14ac:dyDescent="0.25">
      <c r="B80" s="57"/>
      <c r="C80" s="51"/>
      <c r="D80" s="51"/>
      <c r="E80" s="51"/>
      <c r="F80" s="51"/>
      <c r="G80" s="51"/>
      <c r="H80" s="51"/>
      <c r="I80" s="51"/>
      <c r="J80" s="51"/>
      <c r="K80" s="51"/>
      <c r="L80" s="54"/>
      <c r="N80" s="41"/>
      <c r="O80" s="223" t="s">
        <v>142</v>
      </c>
      <c r="P80" s="40">
        <v>8.9999999999999998E-4</v>
      </c>
      <c r="Q80" s="40" t="s">
        <v>147</v>
      </c>
      <c r="R80" s="40" t="s">
        <v>142</v>
      </c>
      <c r="S80" s="783">
        <f>0.0958333333333333*2</f>
        <v>0.1916666666666666</v>
      </c>
      <c r="T80" s="40" t="s">
        <v>141</v>
      </c>
      <c r="U80" s="40" t="s">
        <v>142</v>
      </c>
      <c r="V80" s="40">
        <v>4.8500000000000001E-2</v>
      </c>
      <c r="W80" s="169" t="s">
        <v>141</v>
      </c>
      <c r="X80" s="193"/>
      <c r="Y80" s="41"/>
      <c r="Z80" s="40" t="s">
        <v>77</v>
      </c>
      <c r="AA80" s="40"/>
      <c r="AB80" s="415" t="e">
        <f>SUM(AB72:AB78)</f>
        <v>#VALUE!</v>
      </c>
      <c r="AC80" s="40" t="s">
        <v>141</v>
      </c>
      <c r="AD80" s="40"/>
      <c r="AE80" s="40"/>
      <c r="AF80" s="40"/>
      <c r="AG80" s="40"/>
      <c r="AH80" s="40"/>
      <c r="AI80" s="40"/>
      <c r="AJ80" s="169"/>
      <c r="BS80" s="2"/>
      <c r="BT80" s="2"/>
      <c r="BU80" s="2"/>
      <c r="BV80" s="2"/>
      <c r="BW80" s="2"/>
      <c r="BX80" s="2"/>
      <c r="BY80" s="2"/>
      <c r="BZ80" s="2"/>
      <c r="CA80" s="2"/>
    </row>
    <row r="81" spans="1:140" ht="21.75" thickBot="1" x14ac:dyDescent="0.4">
      <c r="B81" s="151" t="s">
        <v>66</v>
      </c>
      <c r="C81" s="51"/>
      <c r="D81" s="51"/>
      <c r="E81" s="51"/>
      <c r="F81" s="51"/>
      <c r="G81" s="52"/>
      <c r="H81" s="52"/>
      <c r="I81" s="52"/>
      <c r="J81" s="52"/>
      <c r="K81" s="51"/>
      <c r="L81" s="54"/>
      <c r="N81" s="41"/>
      <c r="O81" s="223" t="s">
        <v>152</v>
      </c>
      <c r="P81" s="40" t="e">
        <f>(C3*C5*2)+(C4*C5*2)</f>
        <v>#VALUE!</v>
      </c>
      <c r="Q81" s="40" t="s">
        <v>153</v>
      </c>
      <c r="R81" s="40" t="s">
        <v>231</v>
      </c>
      <c r="S81" s="40" t="str">
        <f>C5</f>
        <v>ENTER HEIGHT</v>
      </c>
      <c r="T81" s="40" t="s">
        <v>151</v>
      </c>
      <c r="U81" s="40" t="s">
        <v>230</v>
      </c>
      <c r="V81" s="40" t="str">
        <f>C4</f>
        <v>ENTER WIDTH</v>
      </c>
      <c r="W81" s="169" t="s">
        <v>151</v>
      </c>
      <c r="X81" s="193"/>
      <c r="Y81" s="41"/>
      <c r="Z81" s="40" t="s">
        <v>76</v>
      </c>
      <c r="AA81" s="40"/>
      <c r="AB81" s="415" t="e">
        <f>AB80/D13</f>
        <v>#VALUE!</v>
      </c>
      <c r="AC81" s="40" t="s">
        <v>141</v>
      </c>
      <c r="AD81" s="40"/>
      <c r="AE81" s="40"/>
      <c r="AF81" s="40"/>
      <c r="AG81" s="40"/>
      <c r="AH81" s="40"/>
      <c r="AI81" s="40"/>
      <c r="AJ81" s="169"/>
      <c r="BS81" s="2"/>
      <c r="BT81" s="2"/>
      <c r="BU81" s="2"/>
      <c r="BV81" s="2"/>
      <c r="BW81" s="2"/>
      <c r="BX81" s="2"/>
      <c r="BY81" s="2"/>
      <c r="BZ81" s="2"/>
      <c r="CA81" s="2"/>
    </row>
    <row r="82" spans="1:140" ht="18.75" x14ac:dyDescent="0.3">
      <c r="A82" s="2"/>
      <c r="B82" s="152"/>
      <c r="C82" s="51"/>
      <c r="D82" s="107"/>
      <c r="E82" s="159"/>
      <c r="F82" s="512"/>
      <c r="G82" s="523"/>
      <c r="H82" s="587" t="s">
        <v>270</v>
      </c>
      <c r="I82" s="525"/>
      <c r="J82" s="526"/>
      <c r="K82" s="513"/>
      <c r="L82" s="54"/>
      <c r="N82" s="41"/>
      <c r="O82" s="223"/>
      <c r="P82" s="40"/>
      <c r="Q82" s="40"/>
      <c r="R82" s="40" t="s">
        <v>374</v>
      </c>
      <c r="S82" s="40">
        <f>0.93*2</f>
        <v>1.86</v>
      </c>
      <c r="T82" s="40" t="s">
        <v>141</v>
      </c>
      <c r="U82" s="40"/>
      <c r="V82" s="40"/>
      <c r="W82" s="169"/>
      <c r="X82" s="193"/>
      <c r="Y82" s="41"/>
      <c r="Z82" s="40"/>
      <c r="AA82" s="40"/>
      <c r="AB82" s="40"/>
      <c r="AC82" s="40"/>
      <c r="AD82" s="40"/>
      <c r="AE82" s="40"/>
      <c r="AF82" s="40"/>
      <c r="AG82" s="40"/>
      <c r="AH82" s="40"/>
      <c r="AI82" s="40"/>
      <c r="AJ82" s="169"/>
      <c r="BS82" s="2"/>
      <c r="BT82" s="2"/>
      <c r="BU82" s="2"/>
      <c r="BV82" s="2"/>
      <c r="BW82" s="2"/>
      <c r="BX82" s="2"/>
      <c r="BY82" s="2"/>
      <c r="BZ82" s="2"/>
      <c r="CA82" s="2"/>
    </row>
    <row r="83" spans="1:140" ht="18.75" x14ac:dyDescent="0.3">
      <c r="A83" s="2"/>
      <c r="B83" s="152" t="s">
        <v>189</v>
      </c>
      <c r="C83" s="51"/>
      <c r="D83" s="107" t="str">
        <f>IF(OR(C3&gt;I3,C4&gt;I4,C5&gt;I5),"",(J56*2)+(J76*2))</f>
        <v/>
      </c>
      <c r="E83" s="159" t="s">
        <v>42</v>
      </c>
      <c r="F83" s="517"/>
      <c r="G83" s="586"/>
      <c r="H83" s="198" t="str">
        <f>C1&amp;"_ENG_FA"</f>
        <v>BCDE439_ENG_FA</v>
      </c>
      <c r="I83" s="513" t="e">
        <f>(J56*2)+(J76*2)</f>
        <v>#VALUE!</v>
      </c>
      <c r="J83" s="519" t="s">
        <v>42</v>
      </c>
      <c r="K83" s="513"/>
      <c r="L83" s="54"/>
      <c r="N83" s="41"/>
      <c r="O83" s="435" t="s">
        <v>148</v>
      </c>
      <c r="P83" s="415" t="e">
        <f>P80*P81</f>
        <v>#VALUE!</v>
      </c>
      <c r="Q83" s="40" t="s">
        <v>141</v>
      </c>
      <c r="R83" s="495" t="s">
        <v>245</v>
      </c>
      <c r="S83" s="40" t="e">
        <f>IF(D12&gt;=3,((S80*S81)+S82)*(D12-1),0)</f>
        <v>#VALUE!</v>
      </c>
      <c r="T83" s="40" t="s">
        <v>141</v>
      </c>
      <c r="U83" s="495" t="s">
        <v>246</v>
      </c>
      <c r="V83" s="40" t="e">
        <f>IF(D12&gt;=3,((V80*V81)*(D12-1)),0)</f>
        <v>#VALUE!</v>
      </c>
      <c r="W83" s="169" t="s">
        <v>141</v>
      </c>
      <c r="X83" s="193"/>
      <c r="Y83" s="41"/>
      <c r="Z83" s="40"/>
      <c r="AA83" s="40"/>
      <c r="AB83" s="40"/>
      <c r="AC83" s="40"/>
      <c r="AD83" s="40"/>
      <c r="AE83" s="40"/>
      <c r="AF83" s="40"/>
      <c r="AG83" s="40"/>
      <c r="AH83" s="40"/>
      <c r="AI83" s="40"/>
      <c r="AJ83" s="169"/>
      <c r="BS83" s="2"/>
      <c r="BT83" s="2"/>
      <c r="BU83" s="2"/>
      <c r="BV83" s="2"/>
      <c r="BW83" s="2"/>
      <c r="BX83" s="2"/>
      <c r="BY83" s="2"/>
      <c r="BZ83" s="2"/>
      <c r="CA83" s="2"/>
    </row>
    <row r="84" spans="1:140" ht="18.75" x14ac:dyDescent="0.3">
      <c r="A84" s="2"/>
      <c r="B84" s="152" t="s">
        <v>190</v>
      </c>
      <c r="C84" s="51"/>
      <c r="D84" s="107" t="e">
        <f>((C3*C5*2)+(C4*C5*2))/144</f>
        <v>#VALUE!</v>
      </c>
      <c r="E84" s="511" t="s">
        <v>42</v>
      </c>
      <c r="F84" s="40"/>
      <c r="G84" s="520"/>
      <c r="H84" s="198" t="str">
        <f>C1&amp;"_ENG_FACE_AREA"</f>
        <v>BCDE439_ENG_FACE_AREA</v>
      </c>
      <c r="I84" s="107" t="e">
        <f>((C3*C5*2)+(C4*C5*2))/144</f>
        <v>#VALUE!</v>
      </c>
      <c r="J84" s="519" t="s">
        <v>42</v>
      </c>
      <c r="K84" s="513"/>
      <c r="L84" s="54"/>
      <c r="N84" s="41"/>
      <c r="O84" s="423"/>
      <c r="P84" s="422"/>
      <c r="Q84" s="40"/>
      <c r="R84" s="40"/>
      <c r="S84" s="40"/>
      <c r="T84" s="40"/>
      <c r="U84" s="40"/>
      <c r="V84" s="40"/>
      <c r="W84" s="169"/>
      <c r="X84" s="193"/>
      <c r="Y84" s="41"/>
      <c r="Z84" s="40"/>
      <c r="AA84" s="40"/>
      <c r="AB84" s="40"/>
      <c r="AC84" s="40"/>
      <c r="AD84" s="40"/>
      <c r="AE84" s="40"/>
      <c r="AF84" s="40"/>
      <c r="AG84" s="40"/>
      <c r="AH84" s="40"/>
      <c r="AI84" s="40"/>
      <c r="AJ84" s="169"/>
      <c r="BS84" s="2"/>
      <c r="BT84" s="2"/>
      <c r="BU84" s="2"/>
      <c r="BV84" s="2"/>
      <c r="BW84" s="2"/>
      <c r="BX84" s="2"/>
      <c r="BY84" s="2"/>
      <c r="BZ84" s="2"/>
      <c r="CA84" s="2"/>
    </row>
    <row r="85" spans="1:140" ht="18.75" x14ac:dyDescent="0.3">
      <c r="A85" s="2"/>
      <c r="B85" s="152" t="s">
        <v>191</v>
      </c>
      <c r="C85" s="51"/>
      <c r="D85" s="107" t="e">
        <f>(D83/D84)*100</f>
        <v>#VALUE!</v>
      </c>
      <c r="E85" s="511" t="s">
        <v>13</v>
      </c>
      <c r="F85" s="40"/>
      <c r="G85" s="520"/>
      <c r="H85" s="198" t="str">
        <f>C1&amp;"_ENG_FA%"</f>
        <v>BCDE439_ENG_FA%</v>
      </c>
      <c r="I85" s="107" t="e">
        <f>(I83/I84)*100</f>
        <v>#VALUE!</v>
      </c>
      <c r="J85" s="519" t="s">
        <v>13</v>
      </c>
      <c r="K85" s="514"/>
      <c r="L85" s="54"/>
      <c r="N85" s="41"/>
      <c r="O85" s="423"/>
      <c r="P85" s="422"/>
      <c r="Q85" s="40"/>
      <c r="R85" s="40"/>
      <c r="S85" s="40"/>
      <c r="T85" s="40"/>
      <c r="U85" s="40"/>
      <c r="V85" s="40"/>
      <c r="W85" s="169"/>
      <c r="X85" s="193"/>
      <c r="Y85" s="41"/>
      <c r="Z85" s="40"/>
      <c r="AA85" s="40"/>
      <c r="AB85" s="40"/>
      <c r="AC85" s="40"/>
      <c r="AD85" s="40"/>
      <c r="AE85" s="40"/>
      <c r="AF85" s="40"/>
      <c r="AG85" s="40"/>
      <c r="AH85" s="40"/>
      <c r="AI85" s="40"/>
      <c r="AJ85" s="169"/>
      <c r="BS85" s="2"/>
      <c r="BT85" s="2"/>
      <c r="BU85" s="2"/>
      <c r="BV85" s="2"/>
      <c r="BW85" s="2"/>
      <c r="BX85" s="2"/>
      <c r="BY85" s="2"/>
      <c r="BZ85" s="2"/>
      <c r="CA85" s="2"/>
    </row>
    <row r="86" spans="1:140" ht="19.5" thickBot="1" x14ac:dyDescent="0.35">
      <c r="A86" s="2"/>
      <c r="B86" s="57"/>
      <c r="C86" s="82"/>
      <c r="D86" s="51"/>
      <c r="E86" s="512"/>
      <c r="F86" s="40"/>
      <c r="G86" s="520"/>
      <c r="H86" s="198" t="str">
        <f>C1&amp;"_ENG_VEL"</f>
        <v>BCDE439_ENG_VEL</v>
      </c>
      <c r="I86" s="510" t="e">
        <f>C6/I83</f>
        <v>#VALUE!</v>
      </c>
      <c r="J86" s="527" t="s">
        <v>45</v>
      </c>
      <c r="K86" s="514"/>
      <c r="L86" s="54"/>
      <c r="N86" s="42"/>
      <c r="O86" s="433"/>
      <c r="P86" s="434"/>
      <c r="Q86" s="43"/>
      <c r="R86" s="43"/>
      <c r="S86" s="43"/>
      <c r="T86" s="43"/>
      <c r="U86" s="43"/>
      <c r="V86" s="43"/>
      <c r="W86" s="170"/>
      <c r="X86" s="193"/>
      <c r="Y86" s="42"/>
      <c r="Z86" s="43"/>
      <c r="AA86" s="43"/>
      <c r="AB86" s="43"/>
      <c r="AC86" s="43"/>
      <c r="AD86" s="43"/>
      <c r="AE86" s="43"/>
      <c r="AF86" s="43"/>
      <c r="AG86" s="43"/>
      <c r="AH86" s="43"/>
      <c r="AI86" s="43"/>
      <c r="AJ86" s="170"/>
      <c r="BS86" s="2"/>
      <c r="BT86" s="2"/>
      <c r="BU86" s="2"/>
      <c r="BV86" s="2"/>
      <c r="BW86" s="2"/>
      <c r="BX86" s="2"/>
      <c r="BY86" s="2"/>
      <c r="BZ86" s="2"/>
      <c r="CA86" s="2"/>
    </row>
    <row r="87" spans="1:140" ht="18.75" x14ac:dyDescent="0.3">
      <c r="B87" s="470" t="s">
        <v>68</v>
      </c>
      <c r="C87" s="40"/>
      <c r="D87" s="494" t="e">
        <f>C6/D83</f>
        <v>#VALUE!</v>
      </c>
      <c r="E87" s="511" t="s">
        <v>45</v>
      </c>
      <c r="F87" s="40"/>
      <c r="G87" s="528" t="s">
        <v>69</v>
      </c>
      <c r="H87" s="516" t="str">
        <f>C1&amp;"_ENG_P_IN"</f>
        <v>BCDE439_ENG_P_IN</v>
      </c>
      <c r="I87" s="107" t="e">
        <f>1.70654844438105E-07*I86^2 + 7.72494047896E-19* - 2.15105711021124E-16</f>
        <v>#VALUE!</v>
      </c>
      <c r="J87" s="527" t="s">
        <v>85</v>
      </c>
      <c r="K87" s="514"/>
      <c r="L87" s="54"/>
      <c r="BS87" s="2"/>
      <c r="BT87" s="2"/>
      <c r="BU87" s="2"/>
      <c r="BV87" s="2"/>
      <c r="BW87" s="2"/>
      <c r="BX87" s="2"/>
      <c r="BY87" s="2"/>
      <c r="BZ87" s="2"/>
      <c r="CA87" s="2"/>
    </row>
    <row r="88" spans="1:140" ht="19.5" thickBot="1" x14ac:dyDescent="0.35">
      <c r="B88" s="472" t="s">
        <v>69</v>
      </c>
      <c r="C88" s="473" t="s">
        <v>6</v>
      </c>
      <c r="D88" s="494" t="e">
        <f>1.70654844438105E-07*D87^2 + 7.72494047896E-19*D87 - 2.15105711021124E-16</f>
        <v>#VALUE!</v>
      </c>
      <c r="E88" s="511" t="s">
        <v>85</v>
      </c>
      <c r="F88" s="40"/>
      <c r="G88" s="521"/>
      <c r="H88" s="529" t="str">
        <f>C1&amp;"_ENG_P_EX"</f>
        <v>BCDE439_ENG_P_EX</v>
      </c>
      <c r="I88" s="530" t="e">
        <f>1.45002333746652E-07*I86^2 + 7.99599102208E-19*+ 5.27355936696949E-16</f>
        <v>#VALUE!</v>
      </c>
      <c r="J88" s="522" t="s">
        <v>85</v>
      </c>
      <c r="K88" s="514"/>
      <c r="L88" s="54"/>
      <c r="U88" s="72"/>
      <c r="BS88" s="2"/>
      <c r="BT88" s="2"/>
      <c r="BU88" s="2"/>
      <c r="BV88" s="2"/>
      <c r="BW88" s="2"/>
      <c r="BX88" s="2"/>
      <c r="BY88" s="2"/>
      <c r="BZ88" s="2"/>
      <c r="CA88" s="2"/>
    </row>
    <row r="89" spans="1:140" ht="19.5" thickBot="1" x14ac:dyDescent="0.35">
      <c r="B89" s="474"/>
      <c r="C89" s="473" t="s">
        <v>7</v>
      </c>
      <c r="D89" s="494" t="e">
        <f>1.45002333746652E-07*D87^2 + 7.99599102208E-19*D87+ 5.27355936696949E-16</f>
        <v>#VALUE!</v>
      </c>
      <c r="E89" s="159" t="s">
        <v>85</v>
      </c>
      <c r="F89" s="515"/>
      <c r="G89" s="515"/>
      <c r="H89" s="53"/>
      <c r="I89" s="53"/>
      <c r="J89" s="53"/>
      <c r="K89" s="51"/>
      <c r="L89" s="54"/>
      <c r="N89" s="918"/>
      <c r="O89" s="919" t="s">
        <v>412</v>
      </c>
      <c r="P89" s="920"/>
      <c r="Q89" s="919"/>
      <c r="R89" s="919"/>
      <c r="S89" s="919"/>
      <c r="T89" s="919"/>
      <c r="U89" s="919"/>
      <c r="V89" s="919"/>
      <c r="W89" s="919"/>
      <c r="X89" s="919"/>
      <c r="Y89" s="919"/>
      <c r="Z89" s="919"/>
      <c r="AA89" s="919"/>
      <c r="AB89" s="919"/>
      <c r="AC89" s="919"/>
      <c r="AD89" s="919"/>
      <c r="AE89" s="919"/>
      <c r="AF89" s="919"/>
      <c r="AG89" s="919"/>
      <c r="AH89" s="919"/>
      <c r="AI89" s="919"/>
      <c r="AJ89" s="919"/>
      <c r="AK89" s="919"/>
      <c r="AL89" s="919"/>
      <c r="AM89" s="919"/>
      <c r="AN89" s="919"/>
      <c r="AO89" s="919"/>
      <c r="AP89" s="919"/>
      <c r="AQ89" s="919"/>
      <c r="AR89" s="919"/>
      <c r="AS89" s="919"/>
      <c r="AT89" s="919"/>
      <c r="AU89" s="919"/>
      <c r="AV89" s="919"/>
      <c r="AW89" s="919"/>
      <c r="AX89" s="919"/>
      <c r="AY89" s="919"/>
      <c r="AZ89" s="919"/>
      <c r="BA89" s="919"/>
      <c r="BB89" s="919"/>
      <c r="BC89" s="919"/>
      <c r="BD89" s="919"/>
      <c r="BE89" s="919"/>
      <c r="BF89" s="919"/>
      <c r="BG89" s="919"/>
      <c r="BH89" s="919"/>
      <c r="BI89" s="919"/>
      <c r="BJ89" s="919"/>
      <c r="BK89" s="919"/>
      <c r="BL89" s="919"/>
      <c r="BM89" s="919"/>
      <c r="BN89" s="919"/>
      <c r="BO89" s="919"/>
      <c r="BP89" s="919"/>
      <c r="BQ89" s="919"/>
      <c r="BR89" s="919"/>
      <c r="BS89" s="919"/>
      <c r="BT89" s="919"/>
      <c r="BU89" s="919"/>
      <c r="BV89" s="919"/>
      <c r="BW89" s="919"/>
      <c r="BX89" s="919"/>
      <c r="BY89" s="919"/>
      <c r="BZ89" s="919"/>
      <c r="CA89" s="919"/>
      <c r="CB89" s="919"/>
      <c r="CC89" s="919"/>
      <c r="CD89" s="919"/>
      <c r="CE89" s="919"/>
      <c r="CF89" s="919"/>
      <c r="CG89" s="919"/>
      <c r="CH89" s="919"/>
      <c r="CI89" s="919"/>
      <c r="CJ89" s="919"/>
      <c r="CK89" s="919"/>
      <c r="CL89" s="919"/>
      <c r="CM89" s="919"/>
      <c r="CN89" s="919"/>
      <c r="CO89" s="919"/>
      <c r="CP89" s="919"/>
      <c r="CQ89" s="919"/>
      <c r="CR89" s="919"/>
      <c r="CS89" s="919"/>
      <c r="CT89" s="919"/>
      <c r="CU89" s="919"/>
      <c r="CV89" s="919"/>
      <c r="CW89" s="919"/>
      <c r="CX89" s="919"/>
      <c r="CY89" s="919"/>
      <c r="CZ89" s="919"/>
      <c r="DA89" s="919"/>
      <c r="DB89" s="919"/>
      <c r="DC89" s="919"/>
      <c r="DD89" s="919"/>
      <c r="DE89" s="919"/>
      <c r="DF89" s="919"/>
      <c r="DG89" s="919"/>
      <c r="DH89" s="919"/>
      <c r="DI89" s="919"/>
      <c r="DJ89" s="919"/>
      <c r="DK89" s="919"/>
      <c r="DL89" s="919"/>
      <c r="DM89" s="919"/>
      <c r="DN89" s="919"/>
      <c r="DO89" s="919"/>
      <c r="DP89" s="919"/>
      <c r="DQ89" s="919"/>
      <c r="DR89" s="919"/>
      <c r="DS89" s="919"/>
      <c r="DT89" s="919"/>
      <c r="DU89" s="919"/>
      <c r="DV89" s="919"/>
      <c r="DW89" s="919"/>
      <c r="DX89" s="919"/>
      <c r="DY89" s="919"/>
      <c r="DZ89" s="919"/>
      <c r="EA89" s="919"/>
      <c r="EB89" s="919"/>
      <c r="EC89" s="919"/>
      <c r="ED89" s="919"/>
      <c r="EE89" s="919"/>
      <c r="EF89" s="919"/>
      <c r="EG89" s="919"/>
      <c r="EH89" s="919"/>
      <c r="EI89" s="919"/>
      <c r="EJ89" s="921"/>
    </row>
    <row r="90" spans="1:140" ht="15.75" thickBot="1" x14ac:dyDescent="0.3">
      <c r="A90" s="1"/>
      <c r="B90" s="192"/>
      <c r="C90" s="192"/>
      <c r="D90" s="192"/>
      <c r="E90" s="192"/>
      <c r="F90" s="471"/>
      <c r="G90" s="471"/>
      <c r="H90" s="51"/>
      <c r="I90" s="51"/>
      <c r="J90" s="51"/>
      <c r="K90" s="51"/>
      <c r="L90" s="54"/>
      <c r="N90" s="922"/>
      <c r="O90" s="913"/>
      <c r="P90" s="913"/>
      <c r="Q90" s="914">
        <v>9</v>
      </c>
      <c r="R90" s="915">
        <v>12</v>
      </c>
      <c r="S90" s="915">
        <v>18</v>
      </c>
      <c r="T90" s="915">
        <v>24</v>
      </c>
      <c r="U90" s="915">
        <v>30</v>
      </c>
      <c r="V90" s="915">
        <v>36</v>
      </c>
      <c r="W90" s="915">
        <v>42</v>
      </c>
      <c r="X90" s="915">
        <v>48</v>
      </c>
      <c r="Y90" s="915">
        <v>54</v>
      </c>
      <c r="Z90" s="915">
        <v>60</v>
      </c>
      <c r="AA90" s="913" t="s">
        <v>413</v>
      </c>
      <c r="AB90" s="913"/>
      <c r="AC90" s="913"/>
      <c r="AD90" s="913"/>
      <c r="AE90" s="913"/>
      <c r="AF90" s="913"/>
      <c r="AG90" s="913"/>
      <c r="AH90" s="913"/>
      <c r="AI90" s="913"/>
      <c r="AJ90" s="913"/>
      <c r="AK90" s="913"/>
      <c r="AL90" s="913"/>
      <c r="AM90" s="913"/>
      <c r="AN90" s="913"/>
      <c r="AO90" s="913"/>
      <c r="AP90" s="913"/>
      <c r="AQ90" s="913"/>
      <c r="AR90" s="913"/>
      <c r="AS90" s="913"/>
      <c r="AT90" s="913"/>
      <c r="AU90" s="913"/>
      <c r="AV90" s="913"/>
      <c r="AW90" s="913"/>
      <c r="AX90" s="913"/>
      <c r="AY90" s="913"/>
      <c r="AZ90" s="913"/>
      <c r="BA90" s="913"/>
      <c r="BB90" s="913"/>
      <c r="BC90" s="913"/>
      <c r="BD90" s="913"/>
      <c r="BE90" s="913"/>
      <c r="BF90" s="913"/>
      <c r="BG90" s="913"/>
      <c r="BH90" s="913"/>
      <c r="BI90" s="913"/>
      <c r="BJ90" s="913"/>
      <c r="BK90" s="913"/>
      <c r="BL90" s="913"/>
      <c r="BM90" s="913"/>
      <c r="BN90" s="913"/>
      <c r="BO90" s="913"/>
      <c r="BP90" s="913"/>
      <c r="BQ90" s="913"/>
      <c r="BR90" s="913"/>
      <c r="BS90" s="913"/>
      <c r="BT90" s="913"/>
      <c r="BU90" s="913"/>
      <c r="BV90" s="913"/>
      <c r="BW90" s="913"/>
      <c r="BX90" s="913"/>
      <c r="BY90" s="913"/>
      <c r="BZ90" s="913"/>
      <c r="CA90" s="913"/>
      <c r="CB90" s="913"/>
      <c r="CC90" s="913"/>
      <c r="CD90" s="913"/>
      <c r="CE90" s="913"/>
      <c r="CF90" s="913"/>
      <c r="CG90" s="913"/>
      <c r="CH90" s="913"/>
      <c r="CI90" s="913"/>
      <c r="CJ90" s="913"/>
      <c r="CK90" s="913"/>
      <c r="CL90" s="913"/>
      <c r="CM90" s="913"/>
      <c r="CN90" s="913"/>
      <c r="CO90" s="913"/>
      <c r="CP90" s="913"/>
      <c r="CQ90" s="913"/>
      <c r="CR90" s="913"/>
      <c r="CS90" s="913"/>
      <c r="CT90" s="913"/>
      <c r="CU90" s="913"/>
      <c r="CV90" s="913"/>
      <c r="CW90" s="913"/>
      <c r="CX90" s="913"/>
      <c r="CY90" s="913"/>
      <c r="CZ90" s="913"/>
      <c r="DA90" s="913"/>
      <c r="DB90" s="913"/>
      <c r="DC90" s="913"/>
      <c r="DD90" s="913"/>
      <c r="DE90" s="913"/>
      <c r="DF90" s="913"/>
      <c r="DG90" s="913"/>
      <c r="DH90" s="913"/>
      <c r="DI90" s="913"/>
      <c r="DJ90" s="913"/>
      <c r="DK90" s="913"/>
      <c r="DL90" s="913"/>
      <c r="DM90" s="913"/>
      <c r="DN90" s="913"/>
      <c r="DO90" s="913"/>
      <c r="DP90" s="913"/>
      <c r="DQ90" s="913"/>
      <c r="DR90" s="913"/>
      <c r="DS90" s="913"/>
      <c r="DT90" s="913"/>
      <c r="DU90" s="913"/>
      <c r="DV90" s="913"/>
      <c r="DW90" s="913"/>
      <c r="DX90" s="913"/>
      <c r="DY90" s="913"/>
      <c r="DZ90" s="913"/>
      <c r="EA90" s="913"/>
      <c r="EB90" s="913"/>
      <c r="EC90" s="913"/>
      <c r="ED90" s="913"/>
      <c r="EE90" s="913"/>
      <c r="EF90" s="913"/>
      <c r="EG90" s="913"/>
      <c r="EH90" s="913"/>
      <c r="EI90" s="913"/>
      <c r="EJ90" s="923"/>
    </row>
    <row r="91" spans="1:140" ht="15.75" thickBot="1" x14ac:dyDescent="0.3">
      <c r="A91" s="1"/>
      <c r="B91" s="192"/>
      <c r="C91" s="192"/>
      <c r="D91" s="192"/>
      <c r="E91" s="192"/>
      <c r="F91" s="475"/>
      <c r="G91" s="475"/>
      <c r="H91" s="52"/>
      <c r="I91" s="52"/>
      <c r="J91" s="52"/>
      <c r="K91" s="52"/>
      <c r="L91" s="59"/>
      <c r="N91" s="922"/>
      <c r="O91" s="916">
        <v>9.5</v>
      </c>
      <c r="P91" s="913"/>
      <c r="Q91" s="924" t="s">
        <v>414</v>
      </c>
      <c r="R91" s="924" t="s">
        <v>414</v>
      </c>
      <c r="S91" s="925">
        <f t="shared" ref="S91:Z102" si="154">S46-R46</f>
        <v>1.6</v>
      </c>
      <c r="T91" s="925">
        <f t="shared" si="154"/>
        <v>1.5899999999999999</v>
      </c>
      <c r="U91" s="925">
        <f t="shared" si="154"/>
        <v>1.5999999999999996</v>
      </c>
      <c r="V91" s="925">
        <f t="shared" si="154"/>
        <v>1.5999999999999996</v>
      </c>
      <c r="W91" s="925">
        <f t="shared" si="154"/>
        <v>1.6000000000000014</v>
      </c>
      <c r="X91" s="925">
        <f t="shared" si="154"/>
        <v>1.5999999999999996</v>
      </c>
      <c r="Y91" s="925">
        <f t="shared" si="154"/>
        <v>1.5999999999999996</v>
      </c>
      <c r="Z91" s="925">
        <f t="shared" si="154"/>
        <v>1.5999999999999996</v>
      </c>
      <c r="AA91" s="913" t="s">
        <v>415</v>
      </c>
      <c r="AB91" s="913"/>
      <c r="AC91" s="913"/>
      <c r="AD91" s="913"/>
      <c r="AE91" s="913"/>
      <c r="AF91" s="913"/>
      <c r="AG91" s="913"/>
      <c r="AH91" s="913"/>
      <c r="AI91" s="913"/>
      <c r="AJ91" s="913"/>
      <c r="AK91" s="913"/>
      <c r="AL91" s="913"/>
      <c r="AM91" s="913"/>
      <c r="AN91" s="913"/>
      <c r="AO91" s="913"/>
      <c r="AP91" s="913"/>
      <c r="AQ91" s="913"/>
      <c r="AR91" s="913"/>
      <c r="AS91" s="913"/>
      <c r="AT91" s="913"/>
      <c r="AU91" s="913"/>
      <c r="AV91" s="913"/>
      <c r="AW91" s="913"/>
      <c r="AX91" s="913"/>
      <c r="AY91" s="913"/>
      <c r="AZ91" s="913"/>
      <c r="BA91" s="913"/>
      <c r="BB91" s="913"/>
      <c r="BC91" s="913"/>
      <c r="BD91" s="913"/>
      <c r="BE91" s="913"/>
      <c r="BF91" s="913"/>
      <c r="BG91" s="913"/>
      <c r="BH91" s="913"/>
      <c r="BI91" s="913"/>
      <c r="BJ91" s="913"/>
      <c r="BK91" s="913"/>
      <c r="BL91" s="913"/>
      <c r="BM91" s="913"/>
      <c r="BN91" s="913"/>
      <c r="BO91" s="913"/>
      <c r="BP91" s="913"/>
      <c r="BQ91" s="913"/>
      <c r="BR91" s="913"/>
      <c r="BS91" s="913"/>
      <c r="BT91" s="913"/>
      <c r="BU91" s="913"/>
      <c r="BV91" s="913"/>
      <c r="BW91" s="913"/>
      <c r="BX91" s="913"/>
      <c r="BY91" s="913"/>
      <c r="BZ91" s="913"/>
      <c r="CA91" s="913"/>
      <c r="CB91" s="913"/>
      <c r="CC91" s="913"/>
      <c r="CD91" s="913"/>
      <c r="CE91" s="913"/>
      <c r="CF91" s="913"/>
      <c r="CG91" s="913"/>
      <c r="CH91" s="913"/>
      <c r="CI91" s="913"/>
      <c r="CJ91" s="913"/>
      <c r="CK91" s="913"/>
      <c r="CL91" s="913"/>
      <c r="CM91" s="913"/>
      <c r="CN91" s="913"/>
      <c r="CO91" s="913"/>
      <c r="CP91" s="913"/>
      <c r="CQ91" s="913"/>
      <c r="CR91" s="913"/>
      <c r="CS91" s="913"/>
      <c r="CT91" s="913"/>
      <c r="CU91" s="913"/>
      <c r="CV91" s="913"/>
      <c r="CW91" s="913"/>
      <c r="CX91" s="913"/>
      <c r="CY91" s="913"/>
      <c r="CZ91" s="913"/>
      <c r="DA91" s="913"/>
      <c r="DB91" s="913"/>
      <c r="DC91" s="913"/>
      <c r="DD91" s="913"/>
      <c r="DE91" s="913"/>
      <c r="DF91" s="913"/>
      <c r="DG91" s="913"/>
      <c r="DH91" s="913"/>
      <c r="DI91" s="913"/>
      <c r="DJ91" s="913"/>
      <c r="DK91" s="913"/>
      <c r="DL91" s="913"/>
      <c r="DM91" s="913"/>
      <c r="DN91" s="913"/>
      <c r="DO91" s="913"/>
      <c r="DP91" s="913"/>
      <c r="DQ91" s="913"/>
      <c r="DR91" s="913"/>
      <c r="DS91" s="913"/>
      <c r="DT91" s="913"/>
      <c r="DU91" s="913"/>
      <c r="DV91" s="913"/>
      <c r="DW91" s="913"/>
      <c r="DX91" s="913"/>
      <c r="DY91" s="913"/>
      <c r="DZ91" s="913"/>
      <c r="EA91" s="913"/>
      <c r="EB91" s="913"/>
      <c r="EC91" s="913"/>
      <c r="ED91" s="913"/>
      <c r="EE91" s="913"/>
      <c r="EF91" s="913"/>
      <c r="EG91" s="913"/>
      <c r="EH91" s="913"/>
      <c r="EI91" s="913"/>
      <c r="EJ91" s="923"/>
    </row>
    <row r="92" spans="1:140" ht="15.75" thickBot="1" x14ac:dyDescent="0.3">
      <c r="A92" s="1"/>
      <c r="B92" s="192"/>
      <c r="C92" s="192"/>
      <c r="D92" s="192"/>
      <c r="E92" s="192"/>
      <c r="F92" s="475"/>
      <c r="G92" s="475"/>
      <c r="H92" s="52"/>
      <c r="I92" s="52"/>
      <c r="J92" s="52"/>
      <c r="K92" s="52"/>
      <c r="L92" s="59"/>
      <c r="N92" s="922"/>
      <c r="O92" s="917">
        <v>12</v>
      </c>
      <c r="P92" s="913"/>
      <c r="Q92" s="925" t="s">
        <v>414</v>
      </c>
      <c r="R92" s="925" t="s">
        <v>414</v>
      </c>
      <c r="S92" s="925">
        <f t="shared" si="154"/>
        <v>1.6000000000000005</v>
      </c>
      <c r="T92" s="925">
        <f t="shared" si="154"/>
        <v>1.5999999999999996</v>
      </c>
      <c r="U92" s="925">
        <f t="shared" si="154"/>
        <v>1.6000000000000005</v>
      </c>
      <c r="V92" s="925">
        <f t="shared" si="154"/>
        <v>1.5999999999999996</v>
      </c>
      <c r="W92" s="925">
        <f t="shared" si="154"/>
        <v>1.5999999999999996</v>
      </c>
      <c r="X92" s="925">
        <f t="shared" si="154"/>
        <v>1.5899999999999999</v>
      </c>
      <c r="Y92" s="925">
        <f t="shared" si="154"/>
        <v>1.5999999999999996</v>
      </c>
      <c r="Z92" s="925">
        <f t="shared" si="154"/>
        <v>1.5999999999999996</v>
      </c>
      <c r="AA92" s="913"/>
      <c r="AB92" s="913"/>
      <c r="AC92" s="913"/>
      <c r="AD92" s="913"/>
      <c r="AE92" s="913"/>
      <c r="AF92" s="913"/>
      <c r="AG92" s="913"/>
      <c r="AH92" s="913"/>
      <c r="AI92" s="913"/>
      <c r="AJ92" s="913"/>
      <c r="AK92" s="913"/>
      <c r="AL92" s="913"/>
      <c r="AM92" s="913"/>
      <c r="AN92" s="913"/>
      <c r="AO92" s="913"/>
      <c r="AP92" s="913"/>
      <c r="AQ92" s="913"/>
      <c r="AR92" s="913"/>
      <c r="AS92" s="913"/>
      <c r="AT92" s="913"/>
      <c r="AU92" s="913"/>
      <c r="AV92" s="913"/>
      <c r="AW92" s="913"/>
      <c r="AX92" s="913"/>
      <c r="AY92" s="913"/>
      <c r="AZ92" s="913"/>
      <c r="BA92" s="913"/>
      <c r="BB92" s="913"/>
      <c r="BC92" s="913"/>
      <c r="BD92" s="913"/>
      <c r="BE92" s="913"/>
      <c r="BF92" s="913"/>
      <c r="BG92" s="913"/>
      <c r="BH92" s="913"/>
      <c r="BI92" s="913"/>
      <c r="BJ92" s="913"/>
      <c r="BK92" s="913"/>
      <c r="BL92" s="913"/>
      <c r="BM92" s="913"/>
      <c r="BN92" s="913"/>
      <c r="BO92" s="913"/>
      <c r="BP92" s="913"/>
      <c r="BQ92" s="913"/>
      <c r="BR92" s="913"/>
      <c r="BS92" s="913"/>
      <c r="BT92" s="913"/>
      <c r="BU92" s="913"/>
      <c r="BV92" s="913"/>
      <c r="BW92" s="913"/>
      <c r="BX92" s="913"/>
      <c r="BY92" s="913"/>
      <c r="BZ92" s="913"/>
      <c r="CA92" s="913"/>
      <c r="CB92" s="913"/>
      <c r="CC92" s="913"/>
      <c r="CD92" s="913"/>
      <c r="CE92" s="913"/>
      <c r="CF92" s="913"/>
      <c r="CG92" s="913"/>
      <c r="CH92" s="913"/>
      <c r="CI92" s="913"/>
      <c r="CJ92" s="913"/>
      <c r="CK92" s="913"/>
      <c r="CL92" s="913"/>
      <c r="CM92" s="913"/>
      <c r="CN92" s="913"/>
      <c r="CO92" s="913"/>
      <c r="CP92" s="913"/>
      <c r="CQ92" s="913"/>
      <c r="CR92" s="913"/>
      <c r="CS92" s="913"/>
      <c r="CT92" s="913"/>
      <c r="CU92" s="913"/>
      <c r="CV92" s="913"/>
      <c r="CW92" s="913"/>
      <c r="CX92" s="913"/>
      <c r="CY92" s="913"/>
      <c r="CZ92" s="913"/>
      <c r="DA92" s="913"/>
      <c r="DB92" s="913"/>
      <c r="DC92" s="913"/>
      <c r="DD92" s="913"/>
      <c r="DE92" s="913"/>
      <c r="DF92" s="913"/>
      <c r="DG92" s="913"/>
      <c r="DH92" s="913"/>
      <c r="DI92" s="913"/>
      <c r="DJ92" s="913"/>
      <c r="DK92" s="913"/>
      <c r="DL92" s="913"/>
      <c r="DM92" s="913"/>
      <c r="DN92" s="913"/>
      <c r="DO92" s="913"/>
      <c r="DP92" s="913"/>
      <c r="DQ92" s="913"/>
      <c r="DR92" s="913"/>
      <c r="DS92" s="913"/>
      <c r="DT92" s="913"/>
      <c r="DU92" s="913"/>
      <c r="DV92" s="913"/>
      <c r="DW92" s="913"/>
      <c r="DX92" s="913"/>
      <c r="DY92" s="913"/>
      <c r="DZ92" s="913"/>
      <c r="EA92" s="913"/>
      <c r="EB92" s="913"/>
      <c r="EC92" s="913"/>
      <c r="ED92" s="913"/>
      <c r="EE92" s="913"/>
      <c r="EF92" s="913"/>
      <c r="EG92" s="913"/>
      <c r="EH92" s="913"/>
      <c r="EI92" s="913"/>
      <c r="EJ92" s="923"/>
    </row>
    <row r="93" spans="1:140" ht="15.75" thickBot="1" x14ac:dyDescent="0.3">
      <c r="A93" s="1"/>
      <c r="B93" s="192"/>
      <c r="C93" s="192"/>
      <c r="D93" s="192"/>
      <c r="E93" s="192"/>
      <c r="F93" s="475"/>
      <c r="G93" s="475"/>
      <c r="H93" s="52"/>
      <c r="I93" s="52"/>
      <c r="J93" s="52"/>
      <c r="K93" s="52"/>
      <c r="L93" s="59"/>
      <c r="N93" s="922"/>
      <c r="O93" s="917">
        <v>18</v>
      </c>
      <c r="P93" s="913"/>
      <c r="Q93" s="925" t="s">
        <v>414</v>
      </c>
      <c r="R93" s="925" t="s">
        <v>414</v>
      </c>
      <c r="S93" s="925">
        <f t="shared" si="154"/>
        <v>2.3000000000000007</v>
      </c>
      <c r="T93" s="925">
        <f t="shared" si="154"/>
        <v>2.3000000000000007</v>
      </c>
      <c r="U93" s="925">
        <f t="shared" si="154"/>
        <v>2.3000000000000007</v>
      </c>
      <c r="V93" s="925">
        <f t="shared" si="154"/>
        <v>2.3000000000000007</v>
      </c>
      <c r="W93" s="925">
        <f t="shared" si="154"/>
        <v>2.3000000000000007</v>
      </c>
      <c r="X93" s="925">
        <f t="shared" si="154"/>
        <v>2.3100000000000023</v>
      </c>
      <c r="Y93" s="925">
        <f t="shared" si="154"/>
        <v>2.3000000000000007</v>
      </c>
      <c r="Z93" s="925">
        <f t="shared" si="154"/>
        <v>2.3000000000000007</v>
      </c>
      <c r="AA93" s="913"/>
      <c r="AB93" s="913"/>
      <c r="AC93" s="913"/>
      <c r="AD93" s="913"/>
      <c r="AE93" s="913"/>
      <c r="AF93" s="913"/>
      <c r="AG93" s="913"/>
      <c r="AH93" s="913"/>
      <c r="AI93" s="913"/>
      <c r="AJ93" s="913"/>
      <c r="AK93" s="913"/>
      <c r="AL93" s="913"/>
      <c r="AM93" s="913"/>
      <c r="AN93" s="913"/>
      <c r="AO93" s="913"/>
      <c r="AP93" s="913"/>
      <c r="AQ93" s="913"/>
      <c r="AR93" s="913"/>
      <c r="AS93" s="913"/>
      <c r="AT93" s="913"/>
      <c r="AU93" s="913"/>
      <c r="AV93" s="913"/>
      <c r="AW93" s="913"/>
      <c r="AX93" s="913"/>
      <c r="AY93" s="913"/>
      <c r="AZ93" s="913"/>
      <c r="BA93" s="913"/>
      <c r="BB93" s="913"/>
      <c r="BC93" s="913"/>
      <c r="BD93" s="913"/>
      <c r="BE93" s="913"/>
      <c r="BF93" s="913"/>
      <c r="BG93" s="913"/>
      <c r="BH93" s="913"/>
      <c r="BI93" s="913"/>
      <c r="BJ93" s="913"/>
      <c r="BK93" s="913"/>
      <c r="BL93" s="913"/>
      <c r="BM93" s="913"/>
      <c r="BN93" s="913"/>
      <c r="BO93" s="913"/>
      <c r="BP93" s="913"/>
      <c r="BQ93" s="913"/>
      <c r="BR93" s="913"/>
      <c r="BS93" s="913"/>
      <c r="BT93" s="913"/>
      <c r="BU93" s="913"/>
      <c r="BV93" s="913"/>
      <c r="BW93" s="913"/>
      <c r="BX93" s="913"/>
      <c r="BY93" s="913"/>
      <c r="BZ93" s="913"/>
      <c r="CA93" s="913"/>
      <c r="CB93" s="913"/>
      <c r="CC93" s="913"/>
      <c r="CD93" s="913"/>
      <c r="CE93" s="913"/>
      <c r="CF93" s="913"/>
      <c r="CG93" s="913"/>
      <c r="CH93" s="913"/>
      <c r="CI93" s="913"/>
      <c r="CJ93" s="913"/>
      <c r="CK93" s="913"/>
      <c r="CL93" s="913"/>
      <c r="CM93" s="913"/>
      <c r="CN93" s="913"/>
      <c r="CO93" s="913"/>
      <c r="CP93" s="913"/>
      <c r="CQ93" s="913"/>
      <c r="CR93" s="913"/>
      <c r="CS93" s="913"/>
      <c r="CT93" s="913"/>
      <c r="CU93" s="913"/>
      <c r="CV93" s="913"/>
      <c r="CW93" s="913"/>
      <c r="CX93" s="913"/>
      <c r="CY93" s="913"/>
      <c r="CZ93" s="913"/>
      <c r="DA93" s="913"/>
      <c r="DB93" s="913"/>
      <c r="DC93" s="913"/>
      <c r="DD93" s="913"/>
      <c r="DE93" s="913"/>
      <c r="DF93" s="913"/>
      <c r="DG93" s="913"/>
      <c r="DH93" s="913"/>
      <c r="DI93" s="913"/>
      <c r="DJ93" s="913"/>
      <c r="DK93" s="913"/>
      <c r="DL93" s="913"/>
      <c r="DM93" s="913"/>
      <c r="DN93" s="913"/>
      <c r="DO93" s="913"/>
      <c r="DP93" s="913"/>
      <c r="DQ93" s="913"/>
      <c r="DR93" s="913"/>
      <c r="DS93" s="913"/>
      <c r="DT93" s="913"/>
      <c r="DU93" s="913"/>
      <c r="DV93" s="913"/>
      <c r="DW93" s="913"/>
      <c r="DX93" s="913"/>
      <c r="DY93" s="913"/>
      <c r="DZ93" s="913"/>
      <c r="EA93" s="913"/>
      <c r="EB93" s="913"/>
      <c r="EC93" s="913"/>
      <c r="ED93" s="913"/>
      <c r="EE93" s="913"/>
      <c r="EF93" s="913"/>
      <c r="EG93" s="913"/>
      <c r="EH93" s="913"/>
      <c r="EI93" s="913"/>
      <c r="EJ93" s="923"/>
    </row>
    <row r="94" spans="1:140" ht="18.75" customHeight="1" thickBot="1" x14ac:dyDescent="0.3">
      <c r="A94" s="2"/>
      <c r="B94" s="476"/>
      <c r="C94" s="160"/>
      <c r="D94" s="160"/>
      <c r="E94" s="160"/>
      <c r="F94" s="160"/>
      <c r="G94" s="160"/>
      <c r="H94" s="55"/>
      <c r="I94" s="55"/>
      <c r="J94" s="55"/>
      <c r="K94" s="55"/>
      <c r="L94" s="56"/>
      <c r="N94" s="922"/>
      <c r="O94" s="917">
        <v>24</v>
      </c>
      <c r="P94" s="913"/>
      <c r="Q94" s="925" t="s">
        <v>414</v>
      </c>
      <c r="R94" s="925" t="s">
        <v>414</v>
      </c>
      <c r="S94" s="925">
        <f t="shared" si="154"/>
        <v>2.6500000000000004</v>
      </c>
      <c r="T94" s="925">
        <f t="shared" si="154"/>
        <v>2.6500000000000004</v>
      </c>
      <c r="U94" s="925">
        <f t="shared" si="154"/>
        <v>2.6500000000000004</v>
      </c>
      <c r="V94" s="925">
        <f t="shared" si="154"/>
        <v>2.6499999999999986</v>
      </c>
      <c r="W94" s="925">
        <f t="shared" si="154"/>
        <v>2.6499999999999986</v>
      </c>
      <c r="X94" s="925">
        <f t="shared" si="154"/>
        <v>2.66</v>
      </c>
      <c r="Y94" s="925">
        <f t="shared" si="154"/>
        <v>2.6499999999999986</v>
      </c>
      <c r="Z94" s="925">
        <f t="shared" si="154"/>
        <v>2.6499999999999986</v>
      </c>
      <c r="AA94" s="913"/>
      <c r="AB94" s="913"/>
      <c r="AC94" s="913"/>
      <c r="AD94" s="913"/>
      <c r="AE94" s="913"/>
      <c r="AF94" s="913"/>
      <c r="AG94" s="913"/>
      <c r="AH94" s="913"/>
      <c r="AI94" s="913"/>
      <c r="AJ94" s="913"/>
      <c r="AK94" s="913"/>
      <c r="AL94" s="913"/>
      <c r="AM94" s="913"/>
      <c r="AN94" s="913"/>
      <c r="AO94" s="913"/>
      <c r="AP94" s="913"/>
      <c r="AQ94" s="913"/>
      <c r="AR94" s="913"/>
      <c r="AS94" s="913"/>
      <c r="AT94" s="913"/>
      <c r="AU94" s="913"/>
      <c r="AV94" s="913"/>
      <c r="AW94" s="913"/>
      <c r="AX94" s="913"/>
      <c r="AY94" s="913"/>
      <c r="AZ94" s="913"/>
      <c r="BA94" s="913"/>
      <c r="BB94" s="913"/>
      <c r="BC94" s="913"/>
      <c r="BD94" s="913"/>
      <c r="BE94" s="913"/>
      <c r="BF94" s="913"/>
      <c r="BG94" s="913"/>
      <c r="BH94" s="913"/>
      <c r="BI94" s="913"/>
      <c r="BJ94" s="913"/>
      <c r="BK94" s="913"/>
      <c r="BL94" s="913"/>
      <c r="BM94" s="913"/>
      <c r="BN94" s="913"/>
      <c r="BO94" s="913"/>
      <c r="BP94" s="913"/>
      <c r="BQ94" s="913"/>
      <c r="BR94" s="913"/>
      <c r="BS94" s="913"/>
      <c r="BT94" s="913"/>
      <c r="BU94" s="913"/>
      <c r="BV94" s="913"/>
      <c r="BW94" s="913"/>
      <c r="BX94" s="913"/>
      <c r="BY94" s="913"/>
      <c r="BZ94" s="913"/>
      <c r="CA94" s="913"/>
      <c r="CB94" s="913"/>
      <c r="CC94" s="913"/>
      <c r="CD94" s="913"/>
      <c r="CE94" s="913"/>
      <c r="CF94" s="913"/>
      <c r="CG94" s="913"/>
      <c r="CH94" s="913"/>
      <c r="CI94" s="913"/>
      <c r="CJ94" s="913"/>
      <c r="CK94" s="913"/>
      <c r="CL94" s="913"/>
      <c r="CM94" s="913"/>
      <c r="CN94" s="913"/>
      <c r="CO94" s="913"/>
      <c r="CP94" s="913"/>
      <c r="CQ94" s="913"/>
      <c r="CR94" s="913"/>
      <c r="CS94" s="913"/>
      <c r="CT94" s="913"/>
      <c r="CU94" s="913"/>
      <c r="CV94" s="913"/>
      <c r="CW94" s="913"/>
      <c r="CX94" s="913"/>
      <c r="CY94" s="913"/>
      <c r="CZ94" s="913"/>
      <c r="DA94" s="913"/>
      <c r="DB94" s="913"/>
      <c r="DC94" s="913"/>
      <c r="DD94" s="913"/>
      <c r="DE94" s="913"/>
      <c r="DF94" s="913"/>
      <c r="DG94" s="913"/>
      <c r="DH94" s="913"/>
      <c r="DI94" s="913"/>
      <c r="DJ94" s="913"/>
      <c r="DK94" s="913"/>
      <c r="DL94" s="913"/>
      <c r="DM94" s="913"/>
      <c r="DN94" s="913"/>
      <c r="DO94" s="913"/>
      <c r="DP94" s="913"/>
      <c r="DQ94" s="913"/>
      <c r="DR94" s="913"/>
      <c r="DS94" s="913"/>
      <c r="DT94" s="913"/>
      <c r="DU94" s="913"/>
      <c r="DV94" s="913"/>
      <c r="DW94" s="913"/>
      <c r="DX94" s="913"/>
      <c r="DY94" s="913"/>
      <c r="DZ94" s="913"/>
      <c r="EA94" s="913"/>
      <c r="EB94" s="913"/>
      <c r="EC94" s="913"/>
      <c r="ED94" s="913"/>
      <c r="EE94" s="913"/>
      <c r="EF94" s="913"/>
      <c r="EG94" s="913"/>
      <c r="EH94" s="913"/>
      <c r="EI94" s="913"/>
      <c r="EJ94" s="923"/>
    </row>
    <row r="95" spans="1:140" ht="18.75" customHeight="1" thickBot="1" x14ac:dyDescent="0.3">
      <c r="A95" s="2"/>
      <c r="N95" s="922"/>
      <c r="O95" s="917">
        <v>30</v>
      </c>
      <c r="P95" s="913"/>
      <c r="Q95" s="925" t="s">
        <v>414</v>
      </c>
      <c r="R95" s="925" t="s">
        <v>414</v>
      </c>
      <c r="S95" s="925">
        <f t="shared" si="154"/>
        <v>3.3600000000000012</v>
      </c>
      <c r="T95" s="925">
        <f t="shared" si="154"/>
        <v>3.3599999999999994</v>
      </c>
      <c r="U95" s="925">
        <f t="shared" si="154"/>
        <v>3.3599999999999994</v>
      </c>
      <c r="V95" s="925">
        <f t="shared" si="154"/>
        <v>3.3599999999999994</v>
      </c>
      <c r="W95" s="925">
        <f t="shared" si="154"/>
        <v>3.3599999999999994</v>
      </c>
      <c r="X95" s="925">
        <f t="shared" si="154"/>
        <v>3.3300000000000018</v>
      </c>
      <c r="Y95" s="925">
        <f t="shared" si="154"/>
        <v>3.360000000000003</v>
      </c>
      <c r="Z95" s="925">
        <f t="shared" si="154"/>
        <v>3.3599999999999994</v>
      </c>
      <c r="AA95" s="913"/>
      <c r="AB95" s="913"/>
      <c r="AC95" s="913"/>
      <c r="AD95" s="913"/>
      <c r="AE95" s="913"/>
      <c r="AF95" s="913"/>
      <c r="AG95" s="913"/>
      <c r="AH95" s="913"/>
      <c r="AI95" s="913"/>
      <c r="AJ95" s="913"/>
      <c r="AK95" s="913"/>
      <c r="AL95" s="913"/>
      <c r="AM95" s="913"/>
      <c r="AN95" s="913"/>
      <c r="AO95" s="913"/>
      <c r="AP95" s="913"/>
      <c r="AQ95" s="913"/>
      <c r="AR95" s="913"/>
      <c r="AS95" s="913"/>
      <c r="AT95" s="913"/>
      <c r="AU95" s="913"/>
      <c r="AV95" s="913"/>
      <c r="AW95" s="913"/>
      <c r="AX95" s="913"/>
      <c r="AY95" s="913"/>
      <c r="AZ95" s="913"/>
      <c r="BA95" s="913"/>
      <c r="BB95" s="913"/>
      <c r="BC95" s="913"/>
      <c r="BD95" s="913"/>
      <c r="BE95" s="913"/>
      <c r="BF95" s="913"/>
      <c r="BG95" s="913"/>
      <c r="BH95" s="913"/>
      <c r="BI95" s="913"/>
      <c r="BJ95" s="913"/>
      <c r="BK95" s="913"/>
      <c r="BL95" s="913"/>
      <c r="BM95" s="913"/>
      <c r="BN95" s="913"/>
      <c r="BO95" s="913"/>
      <c r="BP95" s="913"/>
      <c r="BQ95" s="913"/>
      <c r="BR95" s="913"/>
      <c r="BS95" s="913"/>
      <c r="BT95" s="913"/>
      <c r="BU95" s="913"/>
      <c r="BV95" s="913"/>
      <c r="BW95" s="913"/>
      <c r="BX95" s="913"/>
      <c r="BY95" s="913"/>
      <c r="BZ95" s="913"/>
      <c r="CA95" s="913"/>
      <c r="CB95" s="913"/>
      <c r="CC95" s="913"/>
      <c r="CD95" s="913"/>
      <c r="CE95" s="913"/>
      <c r="CF95" s="913"/>
      <c r="CG95" s="913"/>
      <c r="CH95" s="913"/>
      <c r="CI95" s="913"/>
      <c r="CJ95" s="913"/>
      <c r="CK95" s="913"/>
      <c r="CL95" s="913"/>
      <c r="CM95" s="913"/>
      <c r="CN95" s="913"/>
      <c r="CO95" s="913"/>
      <c r="CP95" s="913"/>
      <c r="CQ95" s="913"/>
      <c r="CR95" s="913"/>
      <c r="CS95" s="913"/>
      <c r="CT95" s="913"/>
      <c r="CU95" s="913"/>
      <c r="CV95" s="913"/>
      <c r="CW95" s="913"/>
      <c r="CX95" s="913"/>
      <c r="CY95" s="913"/>
      <c r="CZ95" s="913"/>
      <c r="DA95" s="913"/>
      <c r="DB95" s="913"/>
      <c r="DC95" s="913"/>
      <c r="DD95" s="913"/>
      <c r="DE95" s="913"/>
      <c r="DF95" s="913"/>
      <c r="DG95" s="913"/>
      <c r="DH95" s="913"/>
      <c r="DI95" s="913"/>
      <c r="DJ95" s="913"/>
      <c r="DK95" s="913"/>
      <c r="DL95" s="913"/>
      <c r="DM95" s="913"/>
      <c r="DN95" s="913"/>
      <c r="DO95" s="913"/>
      <c r="DP95" s="913"/>
      <c r="DQ95" s="913"/>
      <c r="DR95" s="913"/>
      <c r="DS95" s="913"/>
      <c r="DT95" s="913"/>
      <c r="DU95" s="913"/>
      <c r="DV95" s="913"/>
      <c r="DW95" s="913"/>
      <c r="DX95" s="913"/>
      <c r="DY95" s="913"/>
      <c r="DZ95" s="913"/>
      <c r="EA95" s="913"/>
      <c r="EB95" s="913"/>
      <c r="EC95" s="913"/>
      <c r="ED95" s="913"/>
      <c r="EE95" s="913"/>
      <c r="EF95" s="913"/>
      <c r="EG95" s="913"/>
      <c r="EH95" s="913"/>
      <c r="EI95" s="913"/>
      <c r="EJ95" s="923"/>
    </row>
    <row r="96" spans="1:140" ht="15.75" thickBot="1" x14ac:dyDescent="0.3">
      <c r="A96" s="2"/>
      <c r="N96" s="922"/>
      <c r="O96" s="917">
        <v>36</v>
      </c>
      <c r="P96" s="913"/>
      <c r="Q96" s="925" t="s">
        <v>414</v>
      </c>
      <c r="R96" s="925" t="s">
        <v>414</v>
      </c>
      <c r="S96" s="925">
        <f t="shared" si="154"/>
        <v>3.7100000000000009</v>
      </c>
      <c r="T96" s="925">
        <f t="shared" si="154"/>
        <v>3.7100000000000009</v>
      </c>
      <c r="U96" s="925">
        <f t="shared" si="154"/>
        <v>3.7100000000000009</v>
      </c>
      <c r="V96" s="925">
        <f t="shared" si="154"/>
        <v>3.7100000000000009</v>
      </c>
      <c r="W96" s="925">
        <f t="shared" si="154"/>
        <v>3.7100000000000009</v>
      </c>
      <c r="X96" s="925">
        <f t="shared" si="154"/>
        <v>3.6799999999999926</v>
      </c>
      <c r="Y96" s="925">
        <f t="shared" si="154"/>
        <v>3.7100000000000009</v>
      </c>
      <c r="Z96" s="925">
        <f t="shared" si="154"/>
        <v>3.7100000000000009</v>
      </c>
      <c r="AA96" s="913"/>
      <c r="AB96" s="913"/>
      <c r="AC96" s="913"/>
      <c r="AD96" s="913"/>
      <c r="AE96" s="913"/>
      <c r="AF96" s="913"/>
      <c r="AG96" s="913"/>
      <c r="AH96" s="913"/>
      <c r="AI96" s="913"/>
      <c r="AJ96" s="913"/>
      <c r="AK96" s="913"/>
      <c r="AL96" s="913"/>
      <c r="AM96" s="913"/>
      <c r="AN96" s="913"/>
      <c r="AO96" s="913"/>
      <c r="AP96" s="913"/>
      <c r="AQ96" s="913"/>
      <c r="AR96" s="913"/>
      <c r="AS96" s="913"/>
      <c r="AT96" s="913"/>
      <c r="AU96" s="913"/>
      <c r="AV96" s="913"/>
      <c r="AW96" s="913"/>
      <c r="AX96" s="913"/>
      <c r="AY96" s="913"/>
      <c r="AZ96" s="913"/>
      <c r="BA96" s="913"/>
      <c r="BB96" s="913"/>
      <c r="BC96" s="913"/>
      <c r="BD96" s="913"/>
      <c r="BE96" s="913"/>
      <c r="BF96" s="913"/>
      <c r="BG96" s="913"/>
      <c r="BH96" s="913"/>
      <c r="BI96" s="913"/>
      <c r="BJ96" s="913"/>
      <c r="BK96" s="913"/>
      <c r="BL96" s="913"/>
      <c r="BM96" s="913"/>
      <c r="BN96" s="913"/>
      <c r="BO96" s="913"/>
      <c r="BP96" s="913"/>
      <c r="BQ96" s="913"/>
      <c r="BR96" s="913"/>
      <c r="BS96" s="913"/>
      <c r="BT96" s="913"/>
      <c r="BU96" s="913"/>
      <c r="BV96" s="913"/>
      <c r="BW96" s="913"/>
      <c r="BX96" s="913"/>
      <c r="BY96" s="913"/>
      <c r="BZ96" s="913"/>
      <c r="CA96" s="913"/>
      <c r="CB96" s="913"/>
      <c r="CC96" s="913"/>
      <c r="CD96" s="913"/>
      <c r="CE96" s="913"/>
      <c r="CF96" s="913"/>
      <c r="CG96" s="913"/>
      <c r="CH96" s="913"/>
      <c r="CI96" s="913"/>
      <c r="CJ96" s="913"/>
      <c r="CK96" s="913"/>
      <c r="CL96" s="913"/>
      <c r="CM96" s="913"/>
      <c r="CN96" s="913"/>
      <c r="CO96" s="913"/>
      <c r="CP96" s="913"/>
      <c r="CQ96" s="913"/>
      <c r="CR96" s="913"/>
      <c r="CS96" s="913"/>
      <c r="CT96" s="913"/>
      <c r="CU96" s="913"/>
      <c r="CV96" s="913"/>
      <c r="CW96" s="913"/>
      <c r="CX96" s="913"/>
      <c r="CY96" s="913"/>
      <c r="CZ96" s="913"/>
      <c r="DA96" s="913"/>
      <c r="DB96" s="913"/>
      <c r="DC96" s="913"/>
      <c r="DD96" s="913"/>
      <c r="DE96" s="913"/>
      <c r="DF96" s="913"/>
      <c r="DG96" s="913"/>
      <c r="DH96" s="913"/>
      <c r="DI96" s="913"/>
      <c r="DJ96" s="913"/>
      <c r="DK96" s="913"/>
      <c r="DL96" s="913"/>
      <c r="DM96" s="913"/>
      <c r="DN96" s="913"/>
      <c r="DO96" s="913"/>
      <c r="DP96" s="913"/>
      <c r="DQ96" s="913"/>
      <c r="DR96" s="913"/>
      <c r="DS96" s="913"/>
      <c r="DT96" s="913"/>
      <c r="DU96" s="913"/>
      <c r="DV96" s="913"/>
      <c r="DW96" s="913"/>
      <c r="DX96" s="913"/>
      <c r="DY96" s="913"/>
      <c r="DZ96" s="913"/>
      <c r="EA96" s="913"/>
      <c r="EB96" s="913"/>
      <c r="EC96" s="913"/>
      <c r="ED96" s="913"/>
      <c r="EE96" s="913"/>
      <c r="EF96" s="913"/>
      <c r="EG96" s="913"/>
      <c r="EH96" s="913"/>
      <c r="EI96" s="913"/>
      <c r="EJ96" s="923"/>
    </row>
    <row r="97" spans="1:140" ht="15.75" thickBot="1" x14ac:dyDescent="0.3">
      <c r="A97" s="2"/>
      <c r="N97" s="922"/>
      <c r="O97" s="917">
        <v>42</v>
      </c>
      <c r="P97" s="913"/>
      <c r="Q97" s="925" t="s">
        <v>414</v>
      </c>
      <c r="R97" s="925" t="s">
        <v>414</v>
      </c>
      <c r="S97" s="925">
        <f t="shared" si="154"/>
        <v>4.41</v>
      </c>
      <c r="T97" s="925">
        <f t="shared" si="154"/>
        <v>4.41</v>
      </c>
      <c r="U97" s="925">
        <f t="shared" si="154"/>
        <v>4.41</v>
      </c>
      <c r="V97" s="925">
        <f t="shared" si="154"/>
        <v>4.41</v>
      </c>
      <c r="W97" s="925">
        <f t="shared" si="154"/>
        <v>4.4100000000000037</v>
      </c>
      <c r="X97" s="925">
        <f t="shared" si="154"/>
        <v>4.3999999999999986</v>
      </c>
      <c r="Y97" s="925">
        <f t="shared" si="154"/>
        <v>4.4100000000000037</v>
      </c>
      <c r="Z97" s="925">
        <f t="shared" si="154"/>
        <v>4.4099999999999966</v>
      </c>
      <c r="AA97" s="913"/>
      <c r="AB97" s="913"/>
      <c r="AC97" s="913"/>
      <c r="AD97" s="913"/>
      <c r="AE97" s="913"/>
      <c r="AF97" s="913"/>
      <c r="AG97" s="913"/>
      <c r="AH97" s="913"/>
      <c r="AI97" s="913"/>
      <c r="AJ97" s="913"/>
      <c r="AK97" s="913"/>
      <c r="AL97" s="913"/>
      <c r="AM97" s="913"/>
      <c r="AN97" s="913"/>
      <c r="AO97" s="913"/>
      <c r="AP97" s="913"/>
      <c r="AQ97" s="913"/>
      <c r="AR97" s="913"/>
      <c r="AS97" s="913"/>
      <c r="AT97" s="913"/>
      <c r="AU97" s="913"/>
      <c r="AV97" s="913"/>
      <c r="AW97" s="913"/>
      <c r="AX97" s="913"/>
      <c r="AY97" s="913"/>
      <c r="AZ97" s="913"/>
      <c r="BA97" s="913"/>
      <c r="BB97" s="913"/>
      <c r="BC97" s="913"/>
      <c r="BD97" s="913"/>
      <c r="BE97" s="913"/>
      <c r="BF97" s="913"/>
      <c r="BG97" s="913"/>
      <c r="BH97" s="913"/>
      <c r="BI97" s="913"/>
      <c r="BJ97" s="913"/>
      <c r="BK97" s="913"/>
      <c r="BL97" s="913"/>
      <c r="BM97" s="913"/>
      <c r="BN97" s="913"/>
      <c r="BO97" s="913"/>
      <c r="BP97" s="913"/>
      <c r="BQ97" s="913"/>
      <c r="BR97" s="913"/>
      <c r="BS97" s="913"/>
      <c r="BT97" s="913"/>
      <c r="BU97" s="913"/>
      <c r="BV97" s="913"/>
      <c r="BW97" s="913"/>
      <c r="BX97" s="913"/>
      <c r="BY97" s="913"/>
      <c r="BZ97" s="913"/>
      <c r="CA97" s="913"/>
      <c r="CB97" s="913"/>
      <c r="CC97" s="913"/>
      <c r="CD97" s="913"/>
      <c r="CE97" s="913"/>
      <c r="CF97" s="913"/>
      <c r="CG97" s="913"/>
      <c r="CH97" s="913"/>
      <c r="CI97" s="913"/>
      <c r="CJ97" s="913"/>
      <c r="CK97" s="913"/>
      <c r="CL97" s="913"/>
      <c r="CM97" s="913"/>
      <c r="CN97" s="913"/>
      <c r="CO97" s="913"/>
      <c r="CP97" s="913"/>
      <c r="CQ97" s="913"/>
      <c r="CR97" s="913"/>
      <c r="CS97" s="913"/>
      <c r="CT97" s="913"/>
      <c r="CU97" s="913"/>
      <c r="CV97" s="913"/>
      <c r="CW97" s="913"/>
      <c r="CX97" s="913"/>
      <c r="CY97" s="913"/>
      <c r="CZ97" s="913"/>
      <c r="DA97" s="913"/>
      <c r="DB97" s="913"/>
      <c r="DC97" s="913"/>
      <c r="DD97" s="913"/>
      <c r="DE97" s="913"/>
      <c r="DF97" s="913"/>
      <c r="DG97" s="913"/>
      <c r="DH97" s="913"/>
      <c r="DI97" s="913"/>
      <c r="DJ97" s="913"/>
      <c r="DK97" s="913"/>
      <c r="DL97" s="913"/>
      <c r="DM97" s="913"/>
      <c r="DN97" s="913"/>
      <c r="DO97" s="913"/>
      <c r="DP97" s="913"/>
      <c r="DQ97" s="913"/>
      <c r="DR97" s="913"/>
      <c r="DS97" s="913"/>
      <c r="DT97" s="913"/>
      <c r="DU97" s="913"/>
      <c r="DV97" s="913"/>
      <c r="DW97" s="913"/>
      <c r="DX97" s="913"/>
      <c r="DY97" s="913"/>
      <c r="DZ97" s="913"/>
      <c r="EA97" s="913"/>
      <c r="EB97" s="913"/>
      <c r="EC97" s="913"/>
      <c r="ED97" s="913"/>
      <c r="EE97" s="913"/>
      <c r="EF97" s="913"/>
      <c r="EG97" s="913"/>
      <c r="EH97" s="913"/>
      <c r="EI97" s="913"/>
      <c r="EJ97" s="923"/>
    </row>
    <row r="98" spans="1:140" ht="15.75" thickBot="1" x14ac:dyDescent="0.3">
      <c r="A98" s="2"/>
      <c r="N98" s="922"/>
      <c r="O98" s="917">
        <v>48</v>
      </c>
      <c r="P98" s="913"/>
      <c r="Q98" s="925" t="s">
        <v>414</v>
      </c>
      <c r="R98" s="925" t="s">
        <v>414</v>
      </c>
      <c r="S98" s="925">
        <f t="shared" si="154"/>
        <v>4.76</v>
      </c>
      <c r="T98" s="925">
        <f t="shared" si="154"/>
        <v>4.7600000000000016</v>
      </c>
      <c r="U98" s="925">
        <f t="shared" si="154"/>
        <v>4.759999999999998</v>
      </c>
      <c r="V98" s="925">
        <f t="shared" si="154"/>
        <v>4.759999999999998</v>
      </c>
      <c r="W98" s="925">
        <f t="shared" si="154"/>
        <v>4.759999999999998</v>
      </c>
      <c r="X98" s="925">
        <f t="shared" si="154"/>
        <v>4.7500000000000071</v>
      </c>
      <c r="Y98" s="925">
        <f t="shared" si="154"/>
        <v>4.759999999999998</v>
      </c>
      <c r="Z98" s="925">
        <f t="shared" si="154"/>
        <v>4.759999999999998</v>
      </c>
      <c r="AA98" s="913"/>
      <c r="AB98" s="913"/>
      <c r="AC98" s="913"/>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c r="AZ98" s="913"/>
      <c r="BA98" s="913"/>
      <c r="BB98" s="913"/>
      <c r="BC98" s="913"/>
      <c r="BD98" s="913"/>
      <c r="BE98" s="913"/>
      <c r="BF98" s="913"/>
      <c r="BG98" s="913"/>
      <c r="BH98" s="913"/>
      <c r="BI98" s="913"/>
      <c r="BJ98" s="913"/>
      <c r="BK98" s="913"/>
      <c r="BL98" s="913"/>
      <c r="BM98" s="913"/>
      <c r="BN98" s="913"/>
      <c r="BO98" s="913"/>
      <c r="BP98" s="913"/>
      <c r="BQ98" s="913"/>
      <c r="BR98" s="913"/>
      <c r="BS98" s="913"/>
      <c r="BT98" s="913"/>
      <c r="BU98" s="913"/>
      <c r="BV98" s="913"/>
      <c r="BW98" s="913"/>
      <c r="BX98" s="913"/>
      <c r="BY98" s="913"/>
      <c r="BZ98" s="913"/>
      <c r="CA98" s="913"/>
      <c r="CB98" s="913"/>
      <c r="CC98" s="913"/>
      <c r="CD98" s="913"/>
      <c r="CE98" s="913"/>
      <c r="CF98" s="913"/>
      <c r="CG98" s="913"/>
      <c r="CH98" s="913"/>
      <c r="CI98" s="913"/>
      <c r="CJ98" s="913"/>
      <c r="CK98" s="913"/>
      <c r="CL98" s="913"/>
      <c r="CM98" s="913"/>
      <c r="CN98" s="913"/>
      <c r="CO98" s="913"/>
      <c r="CP98" s="913"/>
      <c r="CQ98" s="913"/>
      <c r="CR98" s="913"/>
      <c r="CS98" s="913"/>
      <c r="CT98" s="913"/>
      <c r="CU98" s="913"/>
      <c r="CV98" s="913"/>
      <c r="CW98" s="913"/>
      <c r="CX98" s="913"/>
      <c r="CY98" s="913"/>
      <c r="CZ98" s="913"/>
      <c r="DA98" s="913"/>
      <c r="DB98" s="913"/>
      <c r="DC98" s="913"/>
      <c r="DD98" s="913"/>
      <c r="DE98" s="913"/>
      <c r="DF98" s="913"/>
      <c r="DG98" s="913"/>
      <c r="DH98" s="913"/>
      <c r="DI98" s="913"/>
      <c r="DJ98" s="913"/>
      <c r="DK98" s="913"/>
      <c r="DL98" s="913"/>
      <c r="DM98" s="913"/>
      <c r="DN98" s="913"/>
      <c r="DO98" s="913"/>
      <c r="DP98" s="913"/>
      <c r="DQ98" s="913"/>
      <c r="DR98" s="913"/>
      <c r="DS98" s="913"/>
      <c r="DT98" s="913"/>
      <c r="DU98" s="913"/>
      <c r="DV98" s="913"/>
      <c r="DW98" s="913"/>
      <c r="DX98" s="913"/>
      <c r="DY98" s="913"/>
      <c r="DZ98" s="913"/>
      <c r="EA98" s="913"/>
      <c r="EB98" s="913"/>
      <c r="EC98" s="913"/>
      <c r="ED98" s="913"/>
      <c r="EE98" s="913"/>
      <c r="EF98" s="913"/>
      <c r="EG98" s="913"/>
      <c r="EH98" s="913"/>
      <c r="EI98" s="913"/>
      <c r="EJ98" s="923"/>
    </row>
    <row r="99" spans="1:140" ht="15.75" thickBot="1" x14ac:dyDescent="0.3">
      <c r="A99" s="2"/>
      <c r="N99" s="922"/>
      <c r="O99" s="917">
        <v>54</v>
      </c>
      <c r="P99" s="913"/>
      <c r="Q99" s="925" t="s">
        <v>414</v>
      </c>
      <c r="R99" s="925" t="s">
        <v>414</v>
      </c>
      <c r="S99" s="925">
        <f t="shared" si="154"/>
        <v>5.4599999999999973</v>
      </c>
      <c r="T99" s="925">
        <f t="shared" si="154"/>
        <v>5.4599999999999973</v>
      </c>
      <c r="U99" s="925">
        <f t="shared" si="154"/>
        <v>5.4599999999999973</v>
      </c>
      <c r="V99" s="925">
        <f t="shared" si="154"/>
        <v>5.4600000000000009</v>
      </c>
      <c r="W99" s="925">
        <f t="shared" si="154"/>
        <v>5.4599999999999937</v>
      </c>
      <c r="X99" s="925">
        <f t="shared" si="154"/>
        <v>5.4700000000000131</v>
      </c>
      <c r="Y99" s="925">
        <f t="shared" si="154"/>
        <v>5.4599999999999937</v>
      </c>
      <c r="Z99" s="925">
        <f t="shared" si="154"/>
        <v>5.4599999999999937</v>
      </c>
      <c r="AA99" s="913"/>
      <c r="AB99" s="913"/>
      <c r="AC99" s="913"/>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c r="AZ99" s="913"/>
      <c r="BA99" s="913"/>
      <c r="BB99" s="913"/>
      <c r="BC99" s="913"/>
      <c r="BD99" s="913"/>
      <c r="BE99" s="913"/>
      <c r="BF99" s="913"/>
      <c r="BG99" s="913"/>
      <c r="BH99" s="913"/>
      <c r="BI99" s="913"/>
      <c r="BJ99" s="913"/>
      <c r="BK99" s="913"/>
      <c r="BL99" s="913"/>
      <c r="BM99" s="913"/>
      <c r="BN99" s="913"/>
      <c r="BO99" s="913"/>
      <c r="BP99" s="913"/>
      <c r="BQ99" s="913"/>
      <c r="BR99" s="913"/>
      <c r="BS99" s="913"/>
      <c r="BT99" s="913"/>
      <c r="BU99" s="913"/>
      <c r="BV99" s="913"/>
      <c r="BW99" s="913"/>
      <c r="BX99" s="913"/>
      <c r="BY99" s="913"/>
      <c r="BZ99" s="913"/>
      <c r="CA99" s="913"/>
      <c r="CB99" s="913"/>
      <c r="CC99" s="913"/>
      <c r="CD99" s="913"/>
      <c r="CE99" s="913"/>
      <c r="CF99" s="913"/>
      <c r="CG99" s="913"/>
      <c r="CH99" s="913"/>
      <c r="CI99" s="913"/>
      <c r="CJ99" s="913"/>
      <c r="CK99" s="913"/>
      <c r="CL99" s="913"/>
      <c r="CM99" s="913"/>
      <c r="CN99" s="913"/>
      <c r="CO99" s="913"/>
      <c r="CP99" s="913"/>
      <c r="CQ99" s="913"/>
      <c r="CR99" s="913"/>
      <c r="CS99" s="913"/>
      <c r="CT99" s="913"/>
      <c r="CU99" s="913"/>
      <c r="CV99" s="913"/>
      <c r="CW99" s="913"/>
      <c r="CX99" s="913"/>
      <c r="CY99" s="913"/>
      <c r="CZ99" s="913"/>
      <c r="DA99" s="913"/>
      <c r="DB99" s="913"/>
      <c r="DC99" s="913"/>
      <c r="DD99" s="913"/>
      <c r="DE99" s="913"/>
      <c r="DF99" s="913"/>
      <c r="DG99" s="913"/>
      <c r="DH99" s="913"/>
      <c r="DI99" s="913"/>
      <c r="DJ99" s="913"/>
      <c r="DK99" s="913"/>
      <c r="DL99" s="913"/>
      <c r="DM99" s="913"/>
      <c r="DN99" s="913"/>
      <c r="DO99" s="913"/>
      <c r="DP99" s="913"/>
      <c r="DQ99" s="913"/>
      <c r="DR99" s="913"/>
      <c r="DS99" s="913"/>
      <c r="DT99" s="913"/>
      <c r="DU99" s="913"/>
      <c r="DV99" s="913"/>
      <c r="DW99" s="913"/>
      <c r="DX99" s="913"/>
      <c r="DY99" s="913"/>
      <c r="DZ99" s="913"/>
      <c r="EA99" s="913"/>
      <c r="EB99" s="913"/>
      <c r="EC99" s="913"/>
      <c r="ED99" s="913"/>
      <c r="EE99" s="913"/>
      <c r="EF99" s="913"/>
      <c r="EG99" s="913"/>
      <c r="EH99" s="913"/>
      <c r="EI99" s="913"/>
      <c r="EJ99" s="923"/>
    </row>
    <row r="100" spans="1:140" ht="15.75" thickBot="1" x14ac:dyDescent="0.3">
      <c r="A100" s="2"/>
      <c r="N100" s="922"/>
      <c r="O100" s="917">
        <v>60</v>
      </c>
      <c r="P100" s="913"/>
      <c r="Q100" s="925" t="s">
        <v>414</v>
      </c>
      <c r="R100" s="925" t="s">
        <v>414</v>
      </c>
      <c r="S100" s="925">
        <f t="shared" si="154"/>
        <v>5.8099999999999987</v>
      </c>
      <c r="T100" s="925">
        <f t="shared" si="154"/>
        <v>5.8099999999999987</v>
      </c>
      <c r="U100" s="925">
        <f t="shared" si="154"/>
        <v>5.8099999999999952</v>
      </c>
      <c r="V100" s="925">
        <f t="shared" si="154"/>
        <v>5.8100000000000023</v>
      </c>
      <c r="W100" s="925">
        <f t="shared" si="154"/>
        <v>5.8100000000000023</v>
      </c>
      <c r="X100" s="925">
        <f t="shared" si="154"/>
        <v>5.8100000000000023</v>
      </c>
      <c r="Y100" s="925">
        <f t="shared" si="154"/>
        <v>5.8100000000000023</v>
      </c>
      <c r="Z100" s="925">
        <f t="shared" si="154"/>
        <v>5.8100000000000023</v>
      </c>
      <c r="AA100" s="913"/>
      <c r="AB100" s="913"/>
      <c r="AC100" s="913"/>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c r="AZ100" s="913"/>
      <c r="BA100" s="913"/>
      <c r="BB100" s="913"/>
      <c r="BC100" s="913"/>
      <c r="BD100" s="913"/>
      <c r="BE100" s="913"/>
      <c r="BF100" s="913"/>
      <c r="BG100" s="913"/>
      <c r="BH100" s="913"/>
      <c r="BI100" s="913"/>
      <c r="BJ100" s="913"/>
      <c r="BK100" s="913"/>
      <c r="BL100" s="913"/>
      <c r="BM100" s="913"/>
      <c r="BN100" s="913"/>
      <c r="BO100" s="913"/>
      <c r="BP100" s="913"/>
      <c r="BQ100" s="913"/>
      <c r="BR100" s="913"/>
      <c r="BS100" s="913"/>
      <c r="BT100" s="913"/>
      <c r="BU100" s="913"/>
      <c r="BV100" s="913"/>
      <c r="BW100" s="913"/>
      <c r="BX100" s="913"/>
      <c r="BY100" s="913"/>
      <c r="BZ100" s="913"/>
      <c r="CA100" s="913"/>
      <c r="CB100" s="913"/>
      <c r="CC100" s="913"/>
      <c r="CD100" s="913"/>
      <c r="CE100" s="913"/>
      <c r="CF100" s="913"/>
      <c r="CG100" s="913"/>
      <c r="CH100" s="913"/>
      <c r="CI100" s="913"/>
      <c r="CJ100" s="913"/>
      <c r="CK100" s="913"/>
      <c r="CL100" s="913"/>
      <c r="CM100" s="913"/>
      <c r="CN100" s="913"/>
      <c r="CO100" s="913"/>
      <c r="CP100" s="913"/>
      <c r="CQ100" s="913"/>
      <c r="CR100" s="913"/>
      <c r="CS100" s="913"/>
      <c r="CT100" s="913"/>
      <c r="CU100" s="913"/>
      <c r="CV100" s="913"/>
      <c r="CW100" s="913"/>
      <c r="CX100" s="913"/>
      <c r="CY100" s="913"/>
      <c r="CZ100" s="913"/>
      <c r="DA100" s="913"/>
      <c r="DB100" s="913"/>
      <c r="DC100" s="913"/>
      <c r="DD100" s="913"/>
      <c r="DE100" s="913"/>
      <c r="DF100" s="913"/>
      <c r="DG100" s="913"/>
      <c r="DH100" s="913"/>
      <c r="DI100" s="913"/>
      <c r="DJ100" s="913"/>
      <c r="DK100" s="913"/>
      <c r="DL100" s="913"/>
      <c r="DM100" s="913"/>
      <c r="DN100" s="913"/>
      <c r="DO100" s="913"/>
      <c r="DP100" s="913"/>
      <c r="DQ100" s="913"/>
      <c r="DR100" s="913"/>
      <c r="DS100" s="913"/>
      <c r="DT100" s="913"/>
      <c r="DU100" s="913"/>
      <c r="DV100" s="913"/>
      <c r="DW100" s="913"/>
      <c r="DX100" s="913"/>
      <c r="DY100" s="913"/>
      <c r="DZ100" s="913"/>
      <c r="EA100" s="913"/>
      <c r="EB100" s="913"/>
      <c r="EC100" s="913"/>
      <c r="ED100" s="913"/>
      <c r="EE100" s="913"/>
      <c r="EF100" s="913"/>
      <c r="EG100" s="913"/>
      <c r="EH100" s="913"/>
      <c r="EI100" s="913"/>
      <c r="EJ100" s="923"/>
    </row>
    <row r="101" spans="1:140" ht="15.75" thickBot="1" x14ac:dyDescent="0.3">
      <c r="A101" s="2"/>
      <c r="N101" s="922"/>
      <c r="O101" s="917">
        <v>66</v>
      </c>
      <c r="P101" s="913"/>
      <c r="Q101" s="925" t="s">
        <v>414</v>
      </c>
      <c r="R101" s="925" t="s">
        <v>414</v>
      </c>
      <c r="S101" s="925">
        <f t="shared" si="154"/>
        <v>6.52</v>
      </c>
      <c r="T101" s="925">
        <f t="shared" si="154"/>
        <v>6.519999999999996</v>
      </c>
      <c r="U101" s="925">
        <f t="shared" si="154"/>
        <v>6.519999999999996</v>
      </c>
      <c r="V101" s="925">
        <f t="shared" si="154"/>
        <v>6.519999999999996</v>
      </c>
      <c r="W101" s="925">
        <f t="shared" si="154"/>
        <v>6.519999999999996</v>
      </c>
      <c r="X101" s="925">
        <f t="shared" si="154"/>
        <v>6.5200000000000173</v>
      </c>
      <c r="Y101" s="925">
        <f t="shared" si="154"/>
        <v>6.5200000000000031</v>
      </c>
      <c r="Z101" s="925">
        <f t="shared" si="154"/>
        <v>6.519999999999996</v>
      </c>
      <c r="AA101" s="913"/>
      <c r="AB101" s="913"/>
      <c r="AC101" s="913"/>
      <c r="AD101" s="913"/>
      <c r="AE101" s="913"/>
      <c r="AF101" s="913"/>
      <c r="AG101" s="913"/>
      <c r="AH101" s="913"/>
      <c r="AI101" s="913"/>
      <c r="AJ101" s="913"/>
      <c r="AK101" s="913"/>
      <c r="AL101" s="913"/>
      <c r="AM101" s="913"/>
      <c r="AN101" s="913"/>
      <c r="AO101" s="913"/>
      <c r="AP101" s="913"/>
      <c r="AQ101" s="913"/>
      <c r="AR101" s="913"/>
      <c r="AS101" s="913"/>
      <c r="AT101" s="913"/>
      <c r="AU101" s="913"/>
      <c r="AV101" s="913"/>
      <c r="AW101" s="913"/>
      <c r="AX101" s="913"/>
      <c r="AY101" s="913"/>
      <c r="AZ101" s="913"/>
      <c r="BA101" s="913"/>
      <c r="BB101" s="913"/>
      <c r="BC101" s="913"/>
      <c r="BD101" s="913"/>
      <c r="BE101" s="913"/>
      <c r="BF101" s="913"/>
      <c r="BG101" s="913"/>
      <c r="BH101" s="913"/>
      <c r="BI101" s="913"/>
      <c r="BJ101" s="913"/>
      <c r="BK101" s="913"/>
      <c r="BL101" s="913"/>
      <c r="BM101" s="913"/>
      <c r="BN101" s="913"/>
      <c r="BO101" s="913"/>
      <c r="BP101" s="913"/>
      <c r="BQ101" s="913"/>
      <c r="BR101" s="913"/>
      <c r="BS101" s="913"/>
      <c r="BT101" s="913"/>
      <c r="BU101" s="913"/>
      <c r="BV101" s="913"/>
      <c r="BW101" s="913"/>
      <c r="BX101" s="913"/>
      <c r="BY101" s="913"/>
      <c r="BZ101" s="913"/>
      <c r="CA101" s="913"/>
      <c r="CB101" s="913"/>
      <c r="CC101" s="913"/>
      <c r="CD101" s="913"/>
      <c r="CE101" s="913"/>
      <c r="CF101" s="913"/>
      <c r="CG101" s="913"/>
      <c r="CH101" s="913"/>
      <c r="CI101" s="913"/>
      <c r="CJ101" s="913"/>
      <c r="CK101" s="913"/>
      <c r="CL101" s="913"/>
      <c r="CM101" s="913"/>
      <c r="CN101" s="913"/>
      <c r="CO101" s="913"/>
      <c r="CP101" s="913"/>
      <c r="CQ101" s="913"/>
      <c r="CR101" s="913"/>
      <c r="CS101" s="913"/>
      <c r="CT101" s="913"/>
      <c r="CU101" s="913"/>
      <c r="CV101" s="913"/>
      <c r="CW101" s="913"/>
      <c r="CX101" s="913"/>
      <c r="CY101" s="913"/>
      <c r="CZ101" s="913"/>
      <c r="DA101" s="913"/>
      <c r="DB101" s="913"/>
      <c r="DC101" s="913"/>
      <c r="DD101" s="913"/>
      <c r="DE101" s="913"/>
      <c r="DF101" s="913"/>
      <c r="DG101" s="913"/>
      <c r="DH101" s="913"/>
      <c r="DI101" s="913"/>
      <c r="DJ101" s="913"/>
      <c r="DK101" s="913"/>
      <c r="DL101" s="913"/>
      <c r="DM101" s="913"/>
      <c r="DN101" s="913"/>
      <c r="DO101" s="913"/>
      <c r="DP101" s="913"/>
      <c r="DQ101" s="913"/>
      <c r="DR101" s="913"/>
      <c r="DS101" s="913"/>
      <c r="DT101" s="913"/>
      <c r="DU101" s="913"/>
      <c r="DV101" s="913"/>
      <c r="DW101" s="913"/>
      <c r="DX101" s="913"/>
      <c r="DY101" s="913"/>
      <c r="DZ101" s="913"/>
      <c r="EA101" s="913"/>
      <c r="EB101" s="913"/>
      <c r="EC101" s="913"/>
      <c r="ED101" s="913"/>
      <c r="EE101" s="913"/>
      <c r="EF101" s="913"/>
      <c r="EG101" s="913"/>
      <c r="EH101" s="913"/>
      <c r="EI101" s="913"/>
      <c r="EJ101" s="923"/>
    </row>
    <row r="102" spans="1:140" ht="15.75" thickBot="1" x14ac:dyDescent="0.3">
      <c r="A102" s="2"/>
      <c r="N102" s="922"/>
      <c r="O102" s="917">
        <v>72</v>
      </c>
      <c r="P102" s="913"/>
      <c r="Q102" s="925" t="s">
        <v>414</v>
      </c>
      <c r="R102" s="925" t="s">
        <v>414</v>
      </c>
      <c r="S102" s="925">
        <f t="shared" si="154"/>
        <v>6.8599999999999994</v>
      </c>
      <c r="T102" s="925">
        <f t="shared" si="154"/>
        <v>6.8599999999999994</v>
      </c>
      <c r="U102" s="925">
        <f t="shared" si="154"/>
        <v>6.8599999999999994</v>
      </c>
      <c r="V102" s="925">
        <f t="shared" si="154"/>
        <v>6.8599999999999994</v>
      </c>
      <c r="W102" s="925">
        <f t="shared" si="154"/>
        <v>6.8599999999999994</v>
      </c>
      <c r="X102" s="925">
        <f t="shared" si="154"/>
        <v>6.8800000000000026</v>
      </c>
      <c r="Y102" s="925">
        <f t="shared" si="154"/>
        <v>6.8599999999999923</v>
      </c>
      <c r="Z102" s="925">
        <f t="shared" si="154"/>
        <v>6.8599999999999994</v>
      </c>
      <c r="AA102" s="913"/>
      <c r="AB102" s="913"/>
      <c r="AC102" s="913"/>
      <c r="AD102" s="913"/>
      <c r="AE102" s="913"/>
      <c r="AF102" s="913"/>
      <c r="AG102" s="913"/>
      <c r="AH102" s="913"/>
      <c r="AI102" s="913"/>
      <c r="AJ102" s="913"/>
      <c r="AK102" s="913"/>
      <c r="AL102" s="913"/>
      <c r="AM102" s="913"/>
      <c r="AN102" s="913"/>
      <c r="AO102" s="913"/>
      <c r="AP102" s="913"/>
      <c r="AQ102" s="913"/>
      <c r="AR102" s="913"/>
      <c r="AS102" s="913"/>
      <c r="AT102" s="913"/>
      <c r="AU102" s="913"/>
      <c r="AV102" s="913"/>
      <c r="AW102" s="913"/>
      <c r="AX102" s="913"/>
      <c r="AY102" s="913"/>
      <c r="AZ102" s="913"/>
      <c r="BA102" s="913"/>
      <c r="BB102" s="913"/>
      <c r="BC102" s="913"/>
      <c r="BD102" s="913"/>
      <c r="BE102" s="913"/>
      <c r="BF102" s="913"/>
      <c r="BG102" s="913"/>
      <c r="BH102" s="913"/>
      <c r="BI102" s="913"/>
      <c r="BJ102" s="913"/>
      <c r="BK102" s="913"/>
      <c r="BL102" s="913"/>
      <c r="BM102" s="913"/>
      <c r="BN102" s="913"/>
      <c r="BO102" s="913"/>
      <c r="BP102" s="913"/>
      <c r="BQ102" s="913"/>
      <c r="BR102" s="913"/>
      <c r="BS102" s="913"/>
      <c r="BT102" s="913"/>
      <c r="BU102" s="913"/>
      <c r="BV102" s="913"/>
      <c r="BW102" s="913"/>
      <c r="BX102" s="913"/>
      <c r="BY102" s="913"/>
      <c r="BZ102" s="913"/>
      <c r="CA102" s="913"/>
      <c r="CB102" s="913"/>
      <c r="CC102" s="913"/>
      <c r="CD102" s="913"/>
      <c r="CE102" s="913"/>
      <c r="CF102" s="913"/>
      <c r="CG102" s="913"/>
      <c r="CH102" s="913"/>
      <c r="CI102" s="913"/>
      <c r="CJ102" s="913"/>
      <c r="CK102" s="913"/>
      <c r="CL102" s="913"/>
      <c r="CM102" s="913"/>
      <c r="CN102" s="913"/>
      <c r="CO102" s="913"/>
      <c r="CP102" s="913"/>
      <c r="CQ102" s="913"/>
      <c r="CR102" s="913"/>
      <c r="CS102" s="913"/>
      <c r="CT102" s="913"/>
      <c r="CU102" s="913"/>
      <c r="CV102" s="913"/>
      <c r="CW102" s="913"/>
      <c r="CX102" s="913"/>
      <c r="CY102" s="913"/>
      <c r="CZ102" s="913"/>
      <c r="DA102" s="913"/>
      <c r="DB102" s="913"/>
      <c r="DC102" s="913"/>
      <c r="DD102" s="913"/>
      <c r="DE102" s="913"/>
      <c r="DF102" s="913"/>
      <c r="DG102" s="913"/>
      <c r="DH102" s="913"/>
      <c r="DI102" s="913"/>
      <c r="DJ102" s="913"/>
      <c r="DK102" s="913"/>
      <c r="DL102" s="913"/>
      <c r="DM102" s="913"/>
      <c r="DN102" s="913"/>
      <c r="DO102" s="913"/>
      <c r="DP102" s="913"/>
      <c r="DQ102" s="913"/>
      <c r="DR102" s="913"/>
      <c r="DS102" s="913"/>
      <c r="DT102" s="913"/>
      <c r="DU102" s="913"/>
      <c r="DV102" s="913"/>
      <c r="DW102" s="913"/>
      <c r="DX102" s="913"/>
      <c r="DY102" s="913"/>
      <c r="DZ102" s="913"/>
      <c r="EA102" s="913"/>
      <c r="EB102" s="913"/>
      <c r="EC102" s="913"/>
      <c r="ED102" s="913"/>
      <c r="EE102" s="913"/>
      <c r="EF102" s="913"/>
      <c r="EG102" s="913"/>
      <c r="EH102" s="913"/>
      <c r="EI102" s="913"/>
      <c r="EJ102" s="923"/>
    </row>
    <row r="103" spans="1:140" ht="15.75" thickBot="1" x14ac:dyDescent="0.3">
      <c r="A103" s="2"/>
      <c r="N103" s="922"/>
      <c r="O103" s="917"/>
      <c r="P103" s="913"/>
      <c r="Q103" s="913"/>
      <c r="R103" s="925"/>
      <c r="S103" s="925"/>
      <c r="T103" s="925"/>
      <c r="U103" s="925"/>
      <c r="V103" s="925"/>
      <c r="W103" s="925"/>
      <c r="X103" s="925"/>
      <c r="Y103" s="925"/>
      <c r="Z103" s="925"/>
      <c r="AA103" s="913"/>
      <c r="AB103" s="913"/>
      <c r="AC103" s="913"/>
      <c r="AD103" s="913"/>
      <c r="AE103" s="913"/>
      <c r="AF103" s="913"/>
      <c r="AG103" s="913"/>
      <c r="AH103" s="913"/>
      <c r="AI103" s="913"/>
      <c r="AJ103" s="913"/>
      <c r="AK103" s="913"/>
      <c r="AL103" s="913"/>
      <c r="AM103" s="913"/>
      <c r="AN103" s="913"/>
      <c r="AO103" s="913"/>
      <c r="AP103" s="913"/>
      <c r="AQ103" s="913"/>
      <c r="AR103" s="913"/>
      <c r="AS103" s="913"/>
      <c r="AT103" s="913"/>
      <c r="AU103" s="913"/>
      <c r="AV103" s="913"/>
      <c r="AW103" s="913"/>
      <c r="AX103" s="913"/>
      <c r="AY103" s="913"/>
      <c r="AZ103" s="913"/>
      <c r="BA103" s="913"/>
      <c r="BB103" s="913"/>
      <c r="BC103" s="913"/>
      <c r="BD103" s="913"/>
      <c r="BE103" s="913"/>
      <c r="BF103" s="913"/>
      <c r="BG103" s="913"/>
      <c r="BH103" s="913"/>
      <c r="BI103" s="913"/>
      <c r="BJ103" s="913"/>
      <c r="BK103" s="913"/>
      <c r="BL103" s="913"/>
      <c r="BM103" s="913"/>
      <c r="BN103" s="913"/>
      <c r="BO103" s="913"/>
      <c r="BP103" s="913"/>
      <c r="BQ103" s="913"/>
      <c r="BR103" s="913"/>
      <c r="BS103" s="913"/>
      <c r="BT103" s="913"/>
      <c r="BU103" s="913"/>
      <c r="BV103" s="913"/>
      <c r="BW103" s="913"/>
      <c r="BX103" s="913"/>
      <c r="BY103" s="913"/>
      <c r="BZ103" s="913"/>
      <c r="CA103" s="913"/>
      <c r="CB103" s="913"/>
      <c r="CC103" s="913"/>
      <c r="CD103" s="913"/>
      <c r="CE103" s="913"/>
      <c r="CF103" s="913"/>
      <c r="CG103" s="913"/>
      <c r="CH103" s="913"/>
      <c r="CI103" s="913"/>
      <c r="CJ103" s="913"/>
      <c r="CK103" s="913"/>
      <c r="CL103" s="913"/>
      <c r="CM103" s="913"/>
      <c r="CN103" s="913"/>
      <c r="CO103" s="913"/>
      <c r="CP103" s="913"/>
      <c r="CQ103" s="913"/>
      <c r="CR103" s="913"/>
      <c r="CS103" s="913"/>
      <c r="CT103" s="913"/>
      <c r="CU103" s="913"/>
      <c r="CV103" s="913"/>
      <c r="CW103" s="913"/>
      <c r="CX103" s="913"/>
      <c r="CY103" s="913"/>
      <c r="CZ103" s="913"/>
      <c r="DA103" s="913"/>
      <c r="DB103" s="913"/>
      <c r="DC103" s="913"/>
      <c r="DD103" s="913"/>
      <c r="DE103" s="913"/>
      <c r="DF103" s="913"/>
      <c r="DG103" s="913"/>
      <c r="DH103" s="913"/>
      <c r="DI103" s="913"/>
      <c r="DJ103" s="913"/>
      <c r="DK103" s="913"/>
      <c r="DL103" s="913"/>
      <c r="DM103" s="913"/>
      <c r="DN103" s="913"/>
      <c r="DO103" s="913"/>
      <c r="DP103" s="913"/>
      <c r="DQ103" s="913"/>
      <c r="DR103" s="913"/>
      <c r="DS103" s="913"/>
      <c r="DT103" s="913"/>
      <c r="DU103" s="913"/>
      <c r="DV103" s="913"/>
      <c r="DW103" s="913"/>
      <c r="DX103" s="913"/>
      <c r="DY103" s="913"/>
      <c r="DZ103" s="913"/>
      <c r="EA103" s="913"/>
      <c r="EB103" s="913"/>
      <c r="EC103" s="913"/>
      <c r="ED103" s="913"/>
      <c r="EE103" s="913"/>
      <c r="EF103" s="913"/>
      <c r="EG103" s="913"/>
      <c r="EH103" s="913"/>
      <c r="EI103" s="913"/>
      <c r="EJ103" s="923"/>
    </row>
    <row r="104" spans="1:140" ht="15.75" thickBot="1" x14ac:dyDescent="0.3">
      <c r="N104" s="922"/>
      <c r="O104" s="917"/>
      <c r="P104" s="913"/>
      <c r="Q104" s="913"/>
      <c r="R104" s="925"/>
      <c r="S104" s="925"/>
      <c r="T104" s="925"/>
      <c r="U104" s="925"/>
      <c r="V104" s="925"/>
      <c r="W104" s="925"/>
      <c r="X104" s="925"/>
      <c r="Y104" s="925"/>
      <c r="Z104" s="925"/>
      <c r="AA104" s="913"/>
      <c r="AB104" s="913"/>
      <c r="AC104" s="913"/>
      <c r="AD104" s="913"/>
      <c r="AE104" s="913"/>
      <c r="AF104" s="913"/>
      <c r="AG104" s="913"/>
      <c r="AH104" s="913"/>
      <c r="AI104" s="913"/>
      <c r="AJ104" s="913"/>
      <c r="AK104" s="913"/>
      <c r="AL104" s="913"/>
      <c r="AM104" s="913"/>
      <c r="AN104" s="913"/>
      <c r="AO104" s="913"/>
      <c r="AP104" s="913"/>
      <c r="AQ104" s="913"/>
      <c r="AR104" s="913"/>
      <c r="AS104" s="913"/>
      <c r="AT104" s="913"/>
      <c r="AU104" s="913"/>
      <c r="AV104" s="913"/>
      <c r="AW104" s="913"/>
      <c r="AX104" s="913"/>
      <c r="AY104" s="913"/>
      <c r="AZ104" s="913"/>
      <c r="BA104" s="913"/>
      <c r="BB104" s="913"/>
      <c r="BC104" s="913"/>
      <c r="BD104" s="913"/>
      <c r="BE104" s="913"/>
      <c r="BF104" s="913"/>
      <c r="BG104" s="913"/>
      <c r="BH104" s="913"/>
      <c r="BI104" s="913"/>
      <c r="BJ104" s="913"/>
      <c r="BK104" s="913"/>
      <c r="BL104" s="913"/>
      <c r="BM104" s="913"/>
      <c r="BN104" s="913"/>
      <c r="BO104" s="913"/>
      <c r="BP104" s="913"/>
      <c r="BQ104" s="913"/>
      <c r="BR104" s="913"/>
      <c r="BS104" s="913"/>
      <c r="BT104" s="913"/>
      <c r="BU104" s="913"/>
      <c r="BV104" s="913"/>
      <c r="BW104" s="913"/>
      <c r="BX104" s="913"/>
      <c r="BY104" s="913"/>
      <c r="BZ104" s="913"/>
      <c r="CA104" s="913"/>
      <c r="CB104" s="913"/>
      <c r="CC104" s="913"/>
      <c r="CD104" s="913"/>
      <c r="CE104" s="913"/>
      <c r="CF104" s="913"/>
      <c r="CG104" s="913"/>
      <c r="CH104" s="913"/>
      <c r="CI104" s="913"/>
      <c r="CJ104" s="913"/>
      <c r="CK104" s="913"/>
      <c r="CL104" s="913"/>
      <c r="CM104" s="913"/>
      <c r="CN104" s="913"/>
      <c r="CO104" s="913"/>
      <c r="CP104" s="913"/>
      <c r="CQ104" s="913"/>
      <c r="CR104" s="913"/>
      <c r="CS104" s="913"/>
      <c r="CT104" s="913"/>
      <c r="CU104" s="913"/>
      <c r="CV104" s="913"/>
      <c r="CW104" s="913"/>
      <c r="CX104" s="913"/>
      <c r="CY104" s="913"/>
      <c r="CZ104" s="913"/>
      <c r="DA104" s="913"/>
      <c r="DB104" s="913"/>
      <c r="DC104" s="913"/>
      <c r="DD104" s="913"/>
      <c r="DE104" s="913"/>
      <c r="DF104" s="913"/>
      <c r="DG104" s="913"/>
      <c r="DH104" s="913"/>
      <c r="DI104" s="913"/>
      <c r="DJ104" s="913"/>
      <c r="DK104" s="913"/>
      <c r="DL104" s="913"/>
      <c r="DM104" s="913"/>
      <c r="DN104" s="913"/>
      <c r="DO104" s="913"/>
      <c r="DP104" s="913"/>
      <c r="DQ104" s="913"/>
      <c r="DR104" s="913"/>
      <c r="DS104" s="913"/>
      <c r="DT104" s="913"/>
      <c r="DU104" s="913"/>
      <c r="DV104" s="913"/>
      <c r="DW104" s="913"/>
      <c r="DX104" s="913"/>
      <c r="DY104" s="913"/>
      <c r="DZ104" s="913"/>
      <c r="EA104" s="913"/>
      <c r="EB104" s="913"/>
      <c r="EC104" s="913"/>
      <c r="ED104" s="913"/>
      <c r="EE104" s="913"/>
      <c r="EF104" s="913"/>
      <c r="EG104" s="913"/>
      <c r="EH104" s="913"/>
      <c r="EI104" s="913"/>
      <c r="EJ104" s="923"/>
    </row>
    <row r="105" spans="1:140" ht="15.75" thickBot="1" x14ac:dyDescent="0.3">
      <c r="N105" s="922"/>
      <c r="O105" s="917"/>
      <c r="P105" s="913"/>
      <c r="Q105" s="913"/>
      <c r="R105" s="925"/>
      <c r="S105" s="925"/>
      <c r="T105" s="925"/>
      <c r="U105" s="925"/>
      <c r="V105" s="925"/>
      <c r="W105" s="925"/>
      <c r="X105" s="925"/>
      <c r="Y105" s="925"/>
      <c r="Z105" s="925"/>
      <c r="AA105" s="913"/>
      <c r="AB105" s="913"/>
      <c r="AC105" s="913"/>
      <c r="AD105" s="913"/>
      <c r="AE105" s="913"/>
      <c r="AF105" s="913"/>
      <c r="AG105" s="913"/>
      <c r="AH105" s="913"/>
      <c r="AI105" s="913"/>
      <c r="AJ105" s="913"/>
      <c r="AK105" s="913"/>
      <c r="AL105" s="913"/>
      <c r="AM105" s="913"/>
      <c r="AN105" s="913"/>
      <c r="AO105" s="913"/>
      <c r="AP105" s="913"/>
      <c r="AQ105" s="913"/>
      <c r="AR105" s="913"/>
      <c r="AS105" s="913"/>
      <c r="AT105" s="913"/>
      <c r="AU105" s="913"/>
      <c r="AV105" s="913"/>
      <c r="AW105" s="913"/>
      <c r="AX105" s="913"/>
      <c r="AY105" s="913"/>
      <c r="AZ105" s="913"/>
      <c r="BA105" s="913"/>
      <c r="BB105" s="913"/>
      <c r="BC105" s="913"/>
      <c r="BD105" s="913"/>
      <c r="BE105" s="913"/>
      <c r="BF105" s="913"/>
      <c r="BG105" s="913"/>
      <c r="BH105" s="913"/>
      <c r="BI105" s="913"/>
      <c r="BJ105" s="913"/>
      <c r="BK105" s="913"/>
      <c r="BL105" s="913"/>
      <c r="BM105" s="913"/>
      <c r="BN105" s="913"/>
      <c r="BO105" s="913"/>
      <c r="BP105" s="913"/>
      <c r="BQ105" s="913"/>
      <c r="BR105" s="913"/>
      <c r="BS105" s="913"/>
      <c r="BT105" s="913"/>
      <c r="BU105" s="913"/>
      <c r="BV105" s="913"/>
      <c r="BW105" s="913"/>
      <c r="BX105" s="913"/>
      <c r="BY105" s="913"/>
      <c r="BZ105" s="913"/>
      <c r="CA105" s="913"/>
      <c r="CB105" s="913"/>
      <c r="CC105" s="913"/>
      <c r="CD105" s="913"/>
      <c r="CE105" s="913"/>
      <c r="CF105" s="913"/>
      <c r="CG105" s="913"/>
      <c r="CH105" s="913"/>
      <c r="CI105" s="913"/>
      <c r="CJ105" s="913"/>
      <c r="CK105" s="913"/>
      <c r="CL105" s="913"/>
      <c r="CM105" s="913"/>
      <c r="CN105" s="913"/>
      <c r="CO105" s="913"/>
      <c r="CP105" s="913"/>
      <c r="CQ105" s="913"/>
      <c r="CR105" s="913"/>
      <c r="CS105" s="913"/>
      <c r="CT105" s="913"/>
      <c r="CU105" s="913"/>
      <c r="CV105" s="913"/>
      <c r="CW105" s="913"/>
      <c r="CX105" s="913"/>
      <c r="CY105" s="913"/>
      <c r="CZ105" s="913"/>
      <c r="DA105" s="913"/>
      <c r="DB105" s="913"/>
      <c r="DC105" s="913"/>
      <c r="DD105" s="913"/>
      <c r="DE105" s="913"/>
      <c r="DF105" s="913"/>
      <c r="DG105" s="913"/>
      <c r="DH105" s="913"/>
      <c r="DI105" s="913"/>
      <c r="DJ105" s="913"/>
      <c r="DK105" s="913"/>
      <c r="DL105" s="913"/>
      <c r="DM105" s="913"/>
      <c r="DN105" s="913"/>
      <c r="DO105" s="913"/>
      <c r="DP105" s="913"/>
      <c r="DQ105" s="913"/>
      <c r="DR105" s="913"/>
      <c r="DS105" s="913"/>
      <c r="DT105" s="913"/>
      <c r="DU105" s="913"/>
      <c r="DV105" s="913"/>
      <c r="DW105" s="913"/>
      <c r="DX105" s="913"/>
      <c r="DY105" s="913"/>
      <c r="DZ105" s="913"/>
      <c r="EA105" s="913"/>
      <c r="EB105" s="913"/>
      <c r="EC105" s="913"/>
      <c r="ED105" s="913"/>
      <c r="EE105" s="913"/>
      <c r="EF105" s="913"/>
      <c r="EG105" s="913"/>
      <c r="EH105" s="913"/>
      <c r="EI105" s="913"/>
      <c r="EJ105" s="923"/>
    </row>
    <row r="106" spans="1:140" x14ac:dyDescent="0.25">
      <c r="N106" s="922"/>
      <c r="O106" s="913"/>
      <c r="P106" s="913"/>
      <c r="Q106" s="913"/>
      <c r="R106" s="913"/>
      <c r="S106" s="913"/>
      <c r="T106" s="913"/>
      <c r="U106" s="913"/>
      <c r="V106" s="913"/>
      <c r="W106" s="913"/>
      <c r="X106" s="913"/>
      <c r="Y106" s="913"/>
      <c r="Z106" s="913"/>
      <c r="AA106" s="913"/>
      <c r="AB106" s="913"/>
      <c r="AC106" s="913"/>
      <c r="AD106" s="913"/>
      <c r="AE106" s="913"/>
      <c r="AF106" s="913"/>
      <c r="AG106" s="913"/>
      <c r="AH106" s="913"/>
      <c r="AI106" s="913"/>
      <c r="AJ106" s="913"/>
      <c r="AK106" s="913"/>
      <c r="AL106" s="913"/>
      <c r="AM106" s="913"/>
      <c r="AN106" s="913"/>
      <c r="AO106" s="913"/>
      <c r="AP106" s="913"/>
      <c r="AQ106" s="913"/>
      <c r="AR106" s="913"/>
      <c r="AS106" s="913"/>
      <c r="AT106" s="913"/>
      <c r="AU106" s="913"/>
      <c r="AV106" s="913"/>
      <c r="AW106" s="913"/>
      <c r="AX106" s="913"/>
      <c r="AY106" s="913"/>
      <c r="AZ106" s="913"/>
      <c r="BA106" s="913"/>
      <c r="BB106" s="913"/>
      <c r="BC106" s="913"/>
      <c r="BD106" s="913"/>
      <c r="BE106" s="913"/>
      <c r="BF106" s="913"/>
      <c r="BG106" s="913"/>
      <c r="BH106" s="913"/>
      <c r="BI106" s="913"/>
      <c r="BJ106" s="913"/>
      <c r="BK106" s="913"/>
      <c r="BL106" s="913"/>
      <c r="BM106" s="913"/>
      <c r="BN106" s="913"/>
      <c r="BO106" s="913"/>
      <c r="BP106" s="913"/>
      <c r="BQ106" s="913"/>
      <c r="BR106" s="913"/>
      <c r="BS106" s="913"/>
      <c r="BT106" s="913"/>
      <c r="BU106" s="913"/>
      <c r="BV106" s="913"/>
      <c r="BW106" s="913"/>
      <c r="BX106" s="913"/>
      <c r="BY106" s="913"/>
      <c r="BZ106" s="913"/>
      <c r="CA106" s="913"/>
      <c r="CB106" s="913"/>
      <c r="CC106" s="913"/>
      <c r="CD106" s="913"/>
      <c r="CE106" s="913"/>
      <c r="CF106" s="913"/>
      <c r="CG106" s="913"/>
      <c r="CH106" s="913"/>
      <c r="CI106" s="913"/>
      <c r="CJ106" s="913"/>
      <c r="CK106" s="913"/>
      <c r="CL106" s="913"/>
      <c r="CM106" s="913"/>
      <c r="CN106" s="913"/>
      <c r="CO106" s="913"/>
      <c r="CP106" s="913"/>
      <c r="CQ106" s="913"/>
      <c r="CR106" s="913"/>
      <c r="CS106" s="913"/>
      <c r="CT106" s="913"/>
      <c r="CU106" s="913"/>
      <c r="CV106" s="913"/>
      <c r="CW106" s="913"/>
      <c r="CX106" s="913"/>
      <c r="CY106" s="913"/>
      <c r="CZ106" s="913"/>
      <c r="DA106" s="913"/>
      <c r="DB106" s="913"/>
      <c r="DC106" s="913"/>
      <c r="DD106" s="913"/>
      <c r="DE106" s="913"/>
      <c r="DF106" s="913"/>
      <c r="DG106" s="913"/>
      <c r="DH106" s="913"/>
      <c r="DI106" s="913"/>
      <c r="DJ106" s="913"/>
      <c r="DK106" s="913"/>
      <c r="DL106" s="913"/>
      <c r="DM106" s="913"/>
      <c r="DN106" s="913"/>
      <c r="DO106" s="913"/>
      <c r="DP106" s="913"/>
      <c r="DQ106" s="913"/>
      <c r="DR106" s="913"/>
      <c r="DS106" s="913"/>
      <c r="DT106" s="913"/>
      <c r="DU106" s="913"/>
      <c r="DV106" s="913"/>
      <c r="DW106" s="913"/>
      <c r="DX106" s="913"/>
      <c r="DY106" s="913"/>
      <c r="DZ106" s="913"/>
      <c r="EA106" s="913"/>
      <c r="EB106" s="913"/>
      <c r="EC106" s="913"/>
      <c r="ED106" s="913"/>
      <c r="EE106" s="913"/>
      <c r="EF106" s="913"/>
      <c r="EG106" s="913"/>
      <c r="EH106" s="913"/>
      <c r="EI106" s="913"/>
      <c r="EJ106" s="923"/>
    </row>
    <row r="107" spans="1:140" x14ac:dyDescent="0.25">
      <c r="N107" s="922"/>
      <c r="O107" s="913"/>
      <c r="P107" s="913"/>
      <c r="Q107" s="913"/>
      <c r="R107" s="913"/>
      <c r="S107" s="913"/>
      <c r="T107" s="913"/>
      <c r="U107" s="913"/>
      <c r="V107" s="913"/>
      <c r="W107" s="913"/>
      <c r="X107" s="913"/>
      <c r="Y107" s="913"/>
      <c r="Z107" s="913"/>
      <c r="AA107" s="913"/>
      <c r="AB107" s="913"/>
      <c r="AC107" s="913"/>
      <c r="AD107" s="913"/>
      <c r="AE107" s="913"/>
      <c r="AF107" s="913"/>
      <c r="AG107" s="913"/>
      <c r="AH107" s="913"/>
      <c r="AI107" s="913"/>
      <c r="AJ107" s="913"/>
      <c r="AK107" s="913"/>
      <c r="AL107" s="913"/>
      <c r="AM107" s="913"/>
      <c r="AN107" s="913"/>
      <c r="AO107" s="913"/>
      <c r="AP107" s="913"/>
      <c r="AQ107" s="913"/>
      <c r="AR107" s="913"/>
      <c r="AS107" s="913"/>
      <c r="AT107" s="913"/>
      <c r="AU107" s="913"/>
      <c r="AV107" s="913"/>
      <c r="AW107" s="913"/>
      <c r="AX107" s="913"/>
      <c r="AY107" s="913"/>
      <c r="AZ107" s="913"/>
      <c r="BA107" s="913"/>
      <c r="BB107" s="913"/>
      <c r="BC107" s="913"/>
      <c r="BD107" s="913"/>
      <c r="BE107" s="913"/>
      <c r="BF107" s="913"/>
      <c r="BG107" s="913"/>
      <c r="BH107" s="913"/>
      <c r="BI107" s="913"/>
      <c r="BJ107" s="913"/>
      <c r="BK107" s="913"/>
      <c r="BL107" s="913"/>
      <c r="BM107" s="913"/>
      <c r="BN107" s="913"/>
      <c r="BO107" s="913"/>
      <c r="BP107" s="913"/>
      <c r="BQ107" s="913"/>
      <c r="BR107" s="913"/>
      <c r="BS107" s="913"/>
      <c r="BT107" s="913"/>
      <c r="BU107" s="913"/>
      <c r="BV107" s="913"/>
      <c r="BW107" s="913"/>
      <c r="BX107" s="913"/>
      <c r="BY107" s="913"/>
      <c r="BZ107" s="913"/>
      <c r="CA107" s="913"/>
      <c r="CB107" s="913"/>
      <c r="CC107" s="913"/>
      <c r="CD107" s="913"/>
      <c r="CE107" s="913"/>
      <c r="CF107" s="913"/>
      <c r="CG107" s="913"/>
      <c r="CH107" s="913"/>
      <c r="CI107" s="913"/>
      <c r="CJ107" s="913"/>
      <c r="CK107" s="913"/>
      <c r="CL107" s="913"/>
      <c r="CM107" s="913"/>
      <c r="CN107" s="913"/>
      <c r="CO107" s="913"/>
      <c r="CP107" s="913"/>
      <c r="CQ107" s="913"/>
      <c r="CR107" s="913"/>
      <c r="CS107" s="913"/>
      <c r="CT107" s="913"/>
      <c r="CU107" s="913"/>
      <c r="CV107" s="913"/>
      <c r="CW107" s="913"/>
      <c r="CX107" s="913"/>
      <c r="CY107" s="913"/>
      <c r="CZ107" s="913"/>
      <c r="DA107" s="913"/>
      <c r="DB107" s="913"/>
      <c r="DC107" s="913"/>
      <c r="DD107" s="913"/>
      <c r="DE107" s="913"/>
      <c r="DF107" s="913"/>
      <c r="DG107" s="913"/>
      <c r="DH107" s="913"/>
      <c r="DI107" s="913"/>
      <c r="DJ107" s="913"/>
      <c r="DK107" s="913"/>
      <c r="DL107" s="913"/>
      <c r="DM107" s="913"/>
      <c r="DN107" s="913"/>
      <c r="DO107" s="913"/>
      <c r="DP107" s="913"/>
      <c r="DQ107" s="913"/>
      <c r="DR107" s="913"/>
      <c r="DS107" s="913"/>
      <c r="DT107" s="913"/>
      <c r="DU107" s="913"/>
      <c r="DV107" s="913"/>
      <c r="DW107" s="913"/>
      <c r="DX107" s="913"/>
      <c r="DY107" s="913"/>
      <c r="DZ107" s="913"/>
      <c r="EA107" s="913"/>
      <c r="EB107" s="913"/>
      <c r="EC107" s="913"/>
      <c r="ED107" s="913"/>
      <c r="EE107" s="913"/>
      <c r="EF107" s="913"/>
      <c r="EG107" s="913"/>
      <c r="EH107" s="913"/>
      <c r="EI107" s="913"/>
      <c r="EJ107" s="923"/>
    </row>
    <row r="108" spans="1:140" ht="15.75" thickBot="1" x14ac:dyDescent="0.3">
      <c r="N108" s="922"/>
      <c r="O108" s="913" t="s">
        <v>416</v>
      </c>
      <c r="P108" s="913"/>
      <c r="Q108" s="924"/>
      <c r="R108" s="924"/>
      <c r="S108" s="924"/>
      <c r="T108" s="924"/>
      <c r="U108" s="924"/>
      <c r="V108" s="924"/>
      <c r="W108" s="924"/>
      <c r="X108" s="924"/>
      <c r="Y108" s="924"/>
      <c r="Z108" s="924"/>
      <c r="AA108" s="913"/>
      <c r="AB108" s="913"/>
      <c r="AC108" s="913"/>
      <c r="AD108" s="913"/>
      <c r="AE108" s="913"/>
      <c r="AF108" s="913"/>
      <c r="AG108" s="913"/>
      <c r="AH108" s="913"/>
      <c r="AI108" s="913"/>
      <c r="AJ108" s="913"/>
      <c r="AK108" s="913"/>
      <c r="AL108" s="913"/>
      <c r="AM108" s="913"/>
      <c r="AN108" s="913"/>
      <c r="AO108" s="913"/>
      <c r="AP108" s="913"/>
      <c r="AQ108" s="913"/>
      <c r="AR108" s="913"/>
      <c r="AS108" s="913"/>
      <c r="AT108" s="913"/>
      <c r="AU108" s="913"/>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3"/>
      <c r="EA108" s="913"/>
      <c r="EB108" s="913"/>
      <c r="EC108" s="913"/>
      <c r="ED108" s="913"/>
      <c r="EE108" s="913"/>
      <c r="EF108" s="913"/>
      <c r="EG108" s="913"/>
      <c r="EH108" s="913"/>
      <c r="EI108" s="913"/>
      <c r="EJ108" s="923"/>
    </row>
    <row r="109" spans="1:140" ht="15.75" thickBot="1" x14ac:dyDescent="0.3">
      <c r="N109" s="922"/>
      <c r="O109" s="913"/>
      <c r="P109" s="913"/>
      <c r="Q109" s="914">
        <v>9</v>
      </c>
      <c r="R109" s="915">
        <v>12</v>
      </c>
      <c r="S109" s="915">
        <f t="shared" ref="S109:Z109" si="155">R109+6</f>
        <v>18</v>
      </c>
      <c r="T109" s="915">
        <f t="shared" si="155"/>
        <v>24</v>
      </c>
      <c r="U109" s="915">
        <f t="shared" si="155"/>
        <v>30</v>
      </c>
      <c r="V109" s="915">
        <f t="shared" si="155"/>
        <v>36</v>
      </c>
      <c r="W109" s="915">
        <f t="shared" si="155"/>
        <v>42</v>
      </c>
      <c r="X109" s="915">
        <f t="shared" si="155"/>
        <v>48</v>
      </c>
      <c r="Y109" s="915">
        <f t="shared" si="155"/>
        <v>54</v>
      </c>
      <c r="Z109" s="915">
        <f t="shared" si="155"/>
        <v>60</v>
      </c>
      <c r="AA109" s="913" t="s">
        <v>413</v>
      </c>
      <c r="AB109" s="913"/>
      <c r="AC109" s="913"/>
      <c r="AD109" s="913"/>
      <c r="AE109" s="913"/>
      <c r="AF109" s="913"/>
      <c r="AG109" s="913"/>
      <c r="AH109" s="913"/>
      <c r="AI109" s="913"/>
      <c r="AJ109" s="913"/>
      <c r="AK109" s="913"/>
      <c r="AL109" s="913"/>
      <c r="AM109" s="913"/>
      <c r="AN109" s="913"/>
      <c r="AO109" s="913"/>
      <c r="AP109" s="913"/>
      <c r="AQ109" s="913"/>
      <c r="AR109" s="913"/>
      <c r="AS109" s="913"/>
      <c r="AT109" s="913"/>
      <c r="AU109" s="913"/>
      <c r="AV109" s="913"/>
      <c r="AW109" s="913"/>
      <c r="AX109" s="913"/>
      <c r="AY109" s="913"/>
      <c r="AZ109" s="913"/>
      <c r="BA109" s="913"/>
      <c r="BB109" s="913"/>
      <c r="BC109" s="913"/>
      <c r="BD109" s="913"/>
      <c r="BE109" s="913"/>
      <c r="BF109" s="913"/>
      <c r="BG109" s="913"/>
      <c r="BH109" s="913"/>
      <c r="BI109" s="913"/>
      <c r="BJ109" s="913"/>
      <c r="BK109" s="913"/>
      <c r="BL109" s="913"/>
      <c r="BM109" s="913"/>
      <c r="BN109" s="913"/>
      <c r="BO109" s="913"/>
      <c r="BP109" s="913"/>
      <c r="BQ109" s="913"/>
      <c r="BR109" s="913"/>
      <c r="BS109" s="913"/>
      <c r="BT109" s="913"/>
      <c r="BU109" s="913"/>
      <c r="BV109" s="913"/>
      <c r="BW109" s="913"/>
      <c r="BX109" s="913"/>
      <c r="BY109" s="913"/>
      <c r="BZ109" s="913"/>
      <c r="CA109" s="913"/>
      <c r="CB109" s="913"/>
      <c r="CC109" s="913"/>
      <c r="CD109" s="913"/>
      <c r="CE109" s="913"/>
      <c r="CF109" s="913"/>
      <c r="CG109" s="913"/>
      <c r="CH109" s="913"/>
      <c r="CI109" s="913"/>
      <c r="CJ109" s="913"/>
      <c r="CK109" s="913"/>
      <c r="CL109" s="913"/>
      <c r="CM109" s="913"/>
      <c r="CN109" s="913"/>
      <c r="CO109" s="913"/>
      <c r="CP109" s="913"/>
      <c r="CQ109" s="913"/>
      <c r="CR109" s="913"/>
      <c r="CS109" s="913"/>
      <c r="CT109" s="913"/>
      <c r="CU109" s="913"/>
      <c r="CV109" s="913"/>
      <c r="CW109" s="913"/>
      <c r="CX109" s="913"/>
      <c r="CY109" s="913"/>
      <c r="CZ109" s="913"/>
      <c r="DA109" s="913"/>
      <c r="DB109" s="913"/>
      <c r="DC109" s="913"/>
      <c r="DD109" s="913"/>
      <c r="DE109" s="913"/>
      <c r="DF109" s="913"/>
      <c r="DG109" s="913"/>
      <c r="DH109" s="913"/>
      <c r="DI109" s="913"/>
      <c r="DJ109" s="913"/>
      <c r="DK109" s="913"/>
      <c r="DL109" s="913"/>
      <c r="DM109" s="913"/>
      <c r="DN109" s="913"/>
      <c r="DO109" s="913"/>
      <c r="DP109" s="913"/>
      <c r="DQ109" s="913"/>
      <c r="DR109" s="913"/>
      <c r="DS109" s="913"/>
      <c r="DT109" s="913"/>
      <c r="DU109" s="913"/>
      <c r="DV109" s="913"/>
      <c r="DW109" s="913"/>
      <c r="DX109" s="913"/>
      <c r="DY109" s="913"/>
      <c r="DZ109" s="913"/>
      <c r="EA109" s="913"/>
      <c r="EB109" s="913"/>
      <c r="EC109" s="913"/>
      <c r="ED109" s="913"/>
      <c r="EE109" s="913"/>
      <c r="EF109" s="913"/>
      <c r="EG109" s="913"/>
      <c r="EH109" s="913"/>
      <c r="EI109" s="913"/>
      <c r="EJ109" s="923"/>
    </row>
    <row r="110" spans="1:140" ht="15.75" thickBot="1" x14ac:dyDescent="0.3">
      <c r="N110" s="922"/>
      <c r="O110" s="916">
        <v>9.5</v>
      </c>
      <c r="P110" s="913"/>
      <c r="Q110" s="924" t="s">
        <v>414</v>
      </c>
      <c r="R110" s="924" t="s">
        <v>414</v>
      </c>
      <c r="S110" s="924" t="s">
        <v>414</v>
      </c>
      <c r="T110" s="924" t="s">
        <v>414</v>
      </c>
      <c r="U110" s="924" t="s">
        <v>414</v>
      </c>
      <c r="V110" s="924" t="s">
        <v>414</v>
      </c>
      <c r="W110" s="924" t="s">
        <v>414</v>
      </c>
      <c r="X110" s="924" t="s">
        <v>414</v>
      </c>
      <c r="Y110" s="924" t="s">
        <v>414</v>
      </c>
      <c r="Z110" s="924" t="s">
        <v>414</v>
      </c>
      <c r="AA110" s="913" t="s">
        <v>417</v>
      </c>
      <c r="AB110" s="913"/>
      <c r="AC110" s="913"/>
      <c r="AD110" s="913"/>
      <c r="AE110" s="913"/>
      <c r="AF110" s="913"/>
      <c r="AG110" s="913"/>
      <c r="AH110" s="913"/>
      <c r="AI110" s="913"/>
      <c r="AJ110" s="913"/>
      <c r="AK110" s="913"/>
      <c r="AL110" s="913"/>
      <c r="AM110" s="913"/>
      <c r="AN110" s="913"/>
      <c r="AO110" s="913"/>
      <c r="AP110" s="913"/>
      <c r="AQ110" s="913"/>
      <c r="AR110" s="913"/>
      <c r="AS110" s="913"/>
      <c r="AT110" s="913"/>
      <c r="AU110" s="913"/>
      <c r="AV110" s="913"/>
      <c r="AW110" s="913"/>
      <c r="AX110" s="913"/>
      <c r="AY110" s="913"/>
      <c r="AZ110" s="913"/>
      <c r="BA110" s="913"/>
      <c r="BB110" s="913"/>
      <c r="BC110" s="913"/>
      <c r="BD110" s="913"/>
      <c r="BE110" s="913"/>
      <c r="BF110" s="913"/>
      <c r="BG110" s="913"/>
      <c r="BH110" s="913"/>
      <c r="BI110" s="913"/>
      <c r="BJ110" s="913"/>
      <c r="BK110" s="913"/>
      <c r="BL110" s="913"/>
      <c r="BM110" s="913"/>
      <c r="BN110" s="913"/>
      <c r="BO110" s="913"/>
      <c r="BP110" s="913"/>
      <c r="BQ110" s="913"/>
      <c r="BR110" s="913"/>
      <c r="BS110" s="913"/>
      <c r="BT110" s="913"/>
      <c r="BU110" s="913"/>
      <c r="BV110" s="913"/>
      <c r="BW110" s="913"/>
      <c r="BX110" s="913"/>
      <c r="BY110" s="913"/>
      <c r="BZ110" s="913"/>
      <c r="CA110" s="913"/>
      <c r="CB110" s="913"/>
      <c r="CC110" s="913"/>
      <c r="CD110" s="913"/>
      <c r="CE110" s="913"/>
      <c r="CF110" s="913"/>
      <c r="CG110" s="913"/>
      <c r="CH110" s="913"/>
      <c r="CI110" s="913"/>
      <c r="CJ110" s="913"/>
      <c r="CK110" s="913"/>
      <c r="CL110" s="913"/>
      <c r="CM110" s="913"/>
      <c r="CN110" s="913"/>
      <c r="CO110" s="913"/>
      <c r="CP110" s="913"/>
      <c r="CQ110" s="913"/>
      <c r="CR110" s="913"/>
      <c r="CS110" s="913"/>
      <c r="CT110" s="913"/>
      <c r="CU110" s="913"/>
      <c r="CV110" s="913"/>
      <c r="CW110" s="913"/>
      <c r="CX110" s="913"/>
      <c r="CY110" s="913"/>
      <c r="CZ110" s="913"/>
      <c r="DA110" s="913"/>
      <c r="DB110" s="913"/>
      <c r="DC110" s="913"/>
      <c r="DD110" s="913"/>
      <c r="DE110" s="913"/>
      <c r="DF110" s="913"/>
      <c r="DG110" s="913"/>
      <c r="DH110" s="913"/>
      <c r="DI110" s="913"/>
      <c r="DJ110" s="913"/>
      <c r="DK110" s="913"/>
      <c r="DL110" s="913"/>
      <c r="DM110" s="913"/>
      <c r="DN110" s="913"/>
      <c r="DO110" s="913"/>
      <c r="DP110" s="913"/>
      <c r="DQ110" s="913"/>
      <c r="DR110" s="913"/>
      <c r="DS110" s="913"/>
      <c r="DT110" s="913"/>
      <c r="DU110" s="913"/>
      <c r="DV110" s="913"/>
      <c r="DW110" s="913"/>
      <c r="DX110" s="913"/>
      <c r="DY110" s="913"/>
      <c r="DZ110" s="913"/>
      <c r="EA110" s="913"/>
      <c r="EB110" s="913"/>
      <c r="EC110" s="913"/>
      <c r="ED110" s="913"/>
      <c r="EE110" s="913"/>
      <c r="EF110" s="913"/>
      <c r="EG110" s="913"/>
      <c r="EH110" s="913"/>
      <c r="EI110" s="913"/>
      <c r="EJ110" s="923"/>
    </row>
    <row r="111" spans="1:140" ht="15.75" thickBot="1" x14ac:dyDescent="0.3">
      <c r="N111" s="922"/>
      <c r="O111" s="917">
        <v>12</v>
      </c>
      <c r="P111" s="913"/>
      <c r="Q111" s="925"/>
      <c r="R111" s="925">
        <f t="shared" ref="R111:Z121" si="156">R47-R46</f>
        <v>0.35999999999999988</v>
      </c>
      <c r="S111" s="925">
        <f t="shared" si="156"/>
        <v>0.36000000000000032</v>
      </c>
      <c r="T111" s="925">
        <f t="shared" si="156"/>
        <v>0.37000000000000011</v>
      </c>
      <c r="U111" s="925">
        <f t="shared" si="156"/>
        <v>0.37000000000000099</v>
      </c>
      <c r="V111" s="925">
        <f t="shared" si="156"/>
        <v>0.37000000000000099</v>
      </c>
      <c r="W111" s="925">
        <f t="shared" si="156"/>
        <v>0.36999999999999922</v>
      </c>
      <c r="X111" s="925">
        <f t="shared" si="156"/>
        <v>0.35999999999999943</v>
      </c>
      <c r="Y111" s="925">
        <f t="shared" si="156"/>
        <v>0.35999999999999943</v>
      </c>
      <c r="Z111" s="925">
        <f t="shared" si="156"/>
        <v>0.35999999999999943</v>
      </c>
      <c r="AA111" s="913"/>
      <c r="AB111" s="913"/>
      <c r="AC111" s="913"/>
      <c r="AD111" s="913"/>
      <c r="AE111" s="913"/>
      <c r="AF111" s="913"/>
      <c r="AG111" s="913"/>
      <c r="AH111" s="913"/>
      <c r="AI111" s="913"/>
      <c r="AJ111" s="913"/>
      <c r="AK111" s="913"/>
      <c r="AL111" s="913"/>
      <c r="AM111" s="913"/>
      <c r="AN111" s="913"/>
      <c r="AO111" s="913"/>
      <c r="AP111" s="913"/>
      <c r="AQ111" s="913"/>
      <c r="AR111" s="913"/>
      <c r="AS111" s="913"/>
      <c r="AT111" s="913"/>
      <c r="AU111" s="913"/>
      <c r="AV111" s="913"/>
      <c r="AW111" s="913"/>
      <c r="AX111" s="913"/>
      <c r="AY111" s="913"/>
      <c r="AZ111" s="913"/>
      <c r="BA111" s="913"/>
      <c r="BB111" s="913"/>
      <c r="BC111" s="913"/>
      <c r="BD111" s="913"/>
      <c r="BE111" s="913"/>
      <c r="BF111" s="913"/>
      <c r="BG111" s="913"/>
      <c r="BH111" s="913"/>
      <c r="BI111" s="913"/>
      <c r="BJ111" s="913"/>
      <c r="BK111" s="913"/>
      <c r="BL111" s="913"/>
      <c r="BM111" s="913"/>
      <c r="BN111" s="913"/>
      <c r="BO111" s="913"/>
      <c r="BP111" s="913"/>
      <c r="BQ111" s="913"/>
      <c r="BR111" s="913"/>
      <c r="BS111" s="913"/>
      <c r="BT111" s="913"/>
      <c r="BU111" s="913"/>
      <c r="BV111" s="913"/>
      <c r="BW111" s="913"/>
      <c r="BX111" s="913"/>
      <c r="BY111" s="913"/>
      <c r="BZ111" s="913"/>
      <c r="CA111" s="913"/>
      <c r="CB111" s="913"/>
      <c r="CC111" s="913"/>
      <c r="CD111" s="913"/>
      <c r="CE111" s="913"/>
      <c r="CF111" s="913"/>
      <c r="CG111" s="913"/>
      <c r="CH111" s="913"/>
      <c r="CI111" s="913"/>
      <c r="CJ111" s="913"/>
      <c r="CK111" s="913"/>
      <c r="CL111" s="913"/>
      <c r="CM111" s="913"/>
      <c r="CN111" s="913"/>
      <c r="CO111" s="913"/>
      <c r="CP111" s="913"/>
      <c r="CQ111" s="913"/>
      <c r="CR111" s="913"/>
      <c r="CS111" s="913"/>
      <c r="CT111" s="913"/>
      <c r="CU111" s="913"/>
      <c r="CV111" s="913"/>
      <c r="CW111" s="913"/>
      <c r="CX111" s="913"/>
      <c r="CY111" s="913"/>
      <c r="CZ111" s="913"/>
      <c r="DA111" s="913"/>
      <c r="DB111" s="913"/>
      <c r="DC111" s="913"/>
      <c r="DD111" s="913"/>
      <c r="DE111" s="913"/>
      <c r="DF111" s="913"/>
      <c r="DG111" s="913"/>
      <c r="DH111" s="913"/>
      <c r="DI111" s="913"/>
      <c r="DJ111" s="913"/>
      <c r="DK111" s="913"/>
      <c r="DL111" s="913"/>
      <c r="DM111" s="913"/>
      <c r="DN111" s="913"/>
      <c r="DO111" s="913"/>
      <c r="DP111" s="913"/>
      <c r="DQ111" s="913"/>
      <c r="DR111" s="913"/>
      <c r="DS111" s="913"/>
      <c r="DT111" s="913"/>
      <c r="DU111" s="913"/>
      <c r="DV111" s="913"/>
      <c r="DW111" s="913"/>
      <c r="DX111" s="913"/>
      <c r="DY111" s="913"/>
      <c r="DZ111" s="913"/>
      <c r="EA111" s="913"/>
      <c r="EB111" s="913"/>
      <c r="EC111" s="913"/>
      <c r="ED111" s="913"/>
      <c r="EE111" s="913"/>
      <c r="EF111" s="913"/>
      <c r="EG111" s="913"/>
      <c r="EH111" s="913"/>
      <c r="EI111" s="913"/>
      <c r="EJ111" s="923"/>
    </row>
    <row r="112" spans="1:140" ht="15.75" thickBot="1" x14ac:dyDescent="0.3">
      <c r="N112" s="922"/>
      <c r="O112" s="917">
        <f t="shared" ref="O112:O121" si="157">O111+6</f>
        <v>18</v>
      </c>
      <c r="P112" s="913"/>
      <c r="Q112" s="925"/>
      <c r="R112" s="925">
        <f t="shared" si="156"/>
        <v>1.9299999999999997</v>
      </c>
      <c r="S112" s="925">
        <f t="shared" si="156"/>
        <v>2.63</v>
      </c>
      <c r="T112" s="925">
        <f t="shared" si="156"/>
        <v>3.330000000000001</v>
      </c>
      <c r="U112" s="925">
        <f t="shared" si="156"/>
        <v>4.0300000000000011</v>
      </c>
      <c r="V112" s="925">
        <f t="shared" si="156"/>
        <v>4.7300000000000022</v>
      </c>
      <c r="W112" s="925">
        <f t="shared" si="156"/>
        <v>5.4300000000000033</v>
      </c>
      <c r="X112" s="925">
        <f t="shared" si="156"/>
        <v>6.1500000000000057</v>
      </c>
      <c r="Y112" s="925">
        <f t="shared" si="156"/>
        <v>6.8500000000000068</v>
      </c>
      <c r="Z112" s="925">
        <f t="shared" si="156"/>
        <v>7.5500000000000078</v>
      </c>
      <c r="AA112" s="913"/>
      <c r="AB112" s="913"/>
      <c r="AC112" s="913"/>
      <c r="AD112" s="913"/>
      <c r="AE112" s="913"/>
      <c r="AF112" s="913"/>
      <c r="AG112" s="913"/>
      <c r="AH112" s="913"/>
      <c r="AI112" s="913"/>
      <c r="AJ112" s="913"/>
      <c r="AK112" s="913"/>
      <c r="AL112" s="913"/>
      <c r="AM112" s="913"/>
      <c r="AN112" s="913"/>
      <c r="AO112" s="913"/>
      <c r="AP112" s="913"/>
      <c r="AQ112" s="913"/>
      <c r="AR112" s="913"/>
      <c r="AS112" s="913"/>
      <c r="AT112" s="913"/>
      <c r="AU112" s="913"/>
      <c r="AV112" s="913"/>
      <c r="AW112" s="913"/>
      <c r="AX112" s="913"/>
      <c r="AY112" s="913"/>
      <c r="AZ112" s="913"/>
      <c r="BA112" s="913"/>
      <c r="BB112" s="913"/>
      <c r="BC112" s="913"/>
      <c r="BD112" s="913"/>
      <c r="BE112" s="913"/>
      <c r="BF112" s="913"/>
      <c r="BG112" s="913"/>
      <c r="BH112" s="913"/>
      <c r="BI112" s="913"/>
      <c r="BJ112" s="913"/>
      <c r="BK112" s="913"/>
      <c r="BL112" s="913"/>
      <c r="BM112" s="913"/>
      <c r="BN112" s="913"/>
      <c r="BO112" s="913"/>
      <c r="BP112" s="913"/>
      <c r="BQ112" s="913"/>
      <c r="BR112" s="913"/>
      <c r="BS112" s="913"/>
      <c r="BT112" s="913"/>
      <c r="BU112" s="913"/>
      <c r="BV112" s="913"/>
      <c r="BW112" s="913"/>
      <c r="BX112" s="913"/>
      <c r="BY112" s="913"/>
      <c r="BZ112" s="913"/>
      <c r="CA112" s="913"/>
      <c r="CB112" s="913"/>
      <c r="CC112" s="913"/>
      <c r="CD112" s="913"/>
      <c r="CE112" s="913"/>
      <c r="CF112" s="913"/>
      <c r="CG112" s="913"/>
      <c r="CH112" s="913"/>
      <c r="CI112" s="913"/>
      <c r="CJ112" s="913"/>
      <c r="CK112" s="913"/>
      <c r="CL112" s="913"/>
      <c r="CM112" s="913"/>
      <c r="CN112" s="913"/>
      <c r="CO112" s="913"/>
      <c r="CP112" s="913"/>
      <c r="CQ112" s="913"/>
      <c r="CR112" s="913"/>
      <c r="CS112" s="913"/>
      <c r="CT112" s="913"/>
      <c r="CU112" s="913"/>
      <c r="CV112" s="913"/>
      <c r="CW112" s="913"/>
      <c r="CX112" s="913"/>
      <c r="CY112" s="913"/>
      <c r="CZ112" s="913"/>
      <c r="DA112" s="913"/>
      <c r="DB112" s="913"/>
      <c r="DC112" s="913"/>
      <c r="DD112" s="913"/>
      <c r="DE112" s="913"/>
      <c r="DF112" s="913"/>
      <c r="DG112" s="913"/>
      <c r="DH112" s="913"/>
      <c r="DI112" s="913"/>
      <c r="DJ112" s="913"/>
      <c r="DK112" s="913"/>
      <c r="DL112" s="913"/>
      <c r="DM112" s="913"/>
      <c r="DN112" s="913"/>
      <c r="DO112" s="913"/>
      <c r="DP112" s="913"/>
      <c r="DQ112" s="913"/>
      <c r="DR112" s="913"/>
      <c r="DS112" s="913"/>
      <c r="DT112" s="913"/>
      <c r="DU112" s="913"/>
      <c r="DV112" s="913"/>
      <c r="DW112" s="913"/>
      <c r="DX112" s="913"/>
      <c r="DY112" s="913"/>
      <c r="DZ112" s="913"/>
      <c r="EA112" s="913"/>
      <c r="EB112" s="913"/>
      <c r="EC112" s="913"/>
      <c r="ED112" s="913"/>
      <c r="EE112" s="913"/>
      <c r="EF112" s="913"/>
      <c r="EG112" s="913"/>
      <c r="EH112" s="913"/>
      <c r="EI112" s="913"/>
      <c r="EJ112" s="923"/>
    </row>
    <row r="113" spans="14:140" ht="15.75" thickBot="1" x14ac:dyDescent="0.3">
      <c r="N113" s="922"/>
      <c r="O113" s="917">
        <f t="shared" si="157"/>
        <v>24</v>
      </c>
      <c r="P113" s="913"/>
      <c r="Q113" s="925"/>
      <c r="R113" s="925">
        <f t="shared" si="156"/>
        <v>1.4000000000000004</v>
      </c>
      <c r="S113" s="925">
        <f t="shared" si="156"/>
        <v>1.75</v>
      </c>
      <c r="T113" s="925">
        <f t="shared" si="156"/>
        <v>2.0999999999999996</v>
      </c>
      <c r="U113" s="925">
        <f t="shared" si="156"/>
        <v>2.4499999999999993</v>
      </c>
      <c r="V113" s="925">
        <f t="shared" si="156"/>
        <v>2.7999999999999972</v>
      </c>
      <c r="W113" s="925">
        <f t="shared" si="156"/>
        <v>3.149999999999995</v>
      </c>
      <c r="X113" s="925">
        <f t="shared" si="156"/>
        <v>3.4999999999999929</v>
      </c>
      <c r="Y113" s="925">
        <f t="shared" si="156"/>
        <v>3.8499999999999908</v>
      </c>
      <c r="Z113" s="925">
        <f t="shared" si="156"/>
        <v>4.1999999999999886</v>
      </c>
      <c r="AA113" s="913"/>
      <c r="AB113" s="913"/>
      <c r="AC113" s="913"/>
      <c r="AD113" s="913"/>
      <c r="AE113" s="913"/>
      <c r="AF113" s="913"/>
      <c r="AG113" s="913"/>
      <c r="AH113" s="913"/>
      <c r="AI113" s="913"/>
      <c r="AJ113" s="913"/>
      <c r="AK113" s="913"/>
      <c r="AL113" s="913"/>
      <c r="AM113" s="913"/>
      <c r="AN113" s="913"/>
      <c r="AO113" s="913"/>
      <c r="AP113" s="913"/>
      <c r="AQ113" s="913"/>
      <c r="AR113" s="913"/>
      <c r="AS113" s="913"/>
      <c r="AT113" s="913"/>
      <c r="AU113" s="913"/>
      <c r="AV113" s="913"/>
      <c r="AW113" s="913"/>
      <c r="AX113" s="913"/>
      <c r="AY113" s="913"/>
      <c r="AZ113" s="913"/>
      <c r="BA113" s="913"/>
      <c r="BB113" s="913"/>
      <c r="BC113" s="913"/>
      <c r="BD113" s="913"/>
      <c r="BE113" s="913"/>
      <c r="BF113" s="913"/>
      <c r="BG113" s="913"/>
      <c r="BH113" s="913"/>
      <c r="BI113" s="913"/>
      <c r="BJ113" s="913"/>
      <c r="BK113" s="913"/>
      <c r="BL113" s="913"/>
      <c r="BM113" s="913"/>
      <c r="BN113" s="913"/>
      <c r="BO113" s="913"/>
      <c r="BP113" s="913"/>
      <c r="BQ113" s="913"/>
      <c r="BR113" s="913"/>
      <c r="BS113" s="913"/>
      <c r="BT113" s="913"/>
      <c r="BU113" s="913"/>
      <c r="BV113" s="913"/>
      <c r="BW113" s="913"/>
      <c r="BX113" s="913"/>
      <c r="BY113" s="913"/>
      <c r="BZ113" s="913"/>
      <c r="CA113" s="913"/>
      <c r="CB113" s="913"/>
      <c r="CC113" s="913"/>
      <c r="CD113" s="913"/>
      <c r="CE113" s="913"/>
      <c r="CF113" s="913"/>
      <c r="CG113" s="913"/>
      <c r="CH113" s="913"/>
      <c r="CI113" s="913"/>
      <c r="CJ113" s="913"/>
      <c r="CK113" s="913"/>
      <c r="CL113" s="913"/>
      <c r="CM113" s="913"/>
      <c r="CN113" s="913"/>
      <c r="CO113" s="913"/>
      <c r="CP113" s="913"/>
      <c r="CQ113" s="913"/>
      <c r="CR113" s="913"/>
      <c r="CS113" s="913"/>
      <c r="CT113" s="913"/>
      <c r="CU113" s="913"/>
      <c r="CV113" s="913"/>
      <c r="CW113" s="913"/>
      <c r="CX113" s="913"/>
      <c r="CY113" s="913"/>
      <c r="CZ113" s="913"/>
      <c r="DA113" s="913"/>
      <c r="DB113" s="913"/>
      <c r="DC113" s="913"/>
      <c r="DD113" s="913"/>
      <c r="DE113" s="913"/>
      <c r="DF113" s="913"/>
      <c r="DG113" s="913"/>
      <c r="DH113" s="913"/>
      <c r="DI113" s="913"/>
      <c r="DJ113" s="913"/>
      <c r="DK113" s="913"/>
      <c r="DL113" s="913"/>
      <c r="DM113" s="913"/>
      <c r="DN113" s="913"/>
      <c r="DO113" s="913"/>
      <c r="DP113" s="913"/>
      <c r="DQ113" s="913"/>
      <c r="DR113" s="913"/>
      <c r="DS113" s="913"/>
      <c r="DT113" s="913"/>
      <c r="DU113" s="913"/>
      <c r="DV113" s="913"/>
      <c r="DW113" s="913"/>
      <c r="DX113" s="913"/>
      <c r="DY113" s="913"/>
      <c r="DZ113" s="913"/>
      <c r="EA113" s="913"/>
      <c r="EB113" s="913"/>
      <c r="EC113" s="913"/>
      <c r="ED113" s="913"/>
      <c r="EE113" s="913"/>
      <c r="EF113" s="913"/>
      <c r="EG113" s="913"/>
      <c r="EH113" s="913"/>
      <c r="EI113" s="913"/>
      <c r="EJ113" s="923"/>
    </row>
    <row r="114" spans="14:140" ht="15.75" thickBot="1" x14ac:dyDescent="0.3">
      <c r="N114" s="922"/>
      <c r="O114" s="917">
        <f t="shared" si="157"/>
        <v>30</v>
      </c>
      <c r="P114" s="913"/>
      <c r="Q114" s="925"/>
      <c r="R114" s="925">
        <f t="shared" si="156"/>
        <v>1.9299999999999997</v>
      </c>
      <c r="S114" s="925">
        <f t="shared" si="156"/>
        <v>2.6400000000000006</v>
      </c>
      <c r="T114" s="925">
        <f t="shared" si="156"/>
        <v>3.3499999999999996</v>
      </c>
      <c r="U114" s="925">
        <f t="shared" si="156"/>
        <v>4.0599999999999987</v>
      </c>
      <c r="V114" s="925">
        <f t="shared" si="156"/>
        <v>4.7699999999999996</v>
      </c>
      <c r="W114" s="925">
        <f t="shared" si="156"/>
        <v>5.48</v>
      </c>
      <c r="X114" s="925">
        <f t="shared" si="156"/>
        <v>6.1500000000000021</v>
      </c>
      <c r="Y114" s="925">
        <f t="shared" si="156"/>
        <v>6.8600000000000065</v>
      </c>
      <c r="Z114" s="925">
        <f t="shared" si="156"/>
        <v>7.5700000000000074</v>
      </c>
      <c r="AA114" s="913"/>
      <c r="AB114" s="913"/>
      <c r="AC114" s="913"/>
      <c r="AD114" s="913"/>
      <c r="AE114" s="913"/>
      <c r="AF114" s="913"/>
      <c r="AG114" s="913"/>
      <c r="AH114" s="913"/>
      <c r="AI114" s="913"/>
      <c r="AJ114" s="913"/>
      <c r="AK114" s="913"/>
      <c r="AL114" s="913"/>
      <c r="AM114" s="913"/>
      <c r="AN114" s="913"/>
      <c r="AO114" s="913"/>
      <c r="AP114" s="913"/>
      <c r="AQ114" s="913"/>
      <c r="AR114" s="913"/>
      <c r="AS114" s="913"/>
      <c r="AT114" s="913"/>
      <c r="AU114" s="913"/>
      <c r="AV114" s="913"/>
      <c r="AW114" s="913"/>
      <c r="AX114" s="913"/>
      <c r="AY114" s="913"/>
      <c r="AZ114" s="913"/>
      <c r="BA114" s="913"/>
      <c r="BB114" s="913"/>
      <c r="BC114" s="913"/>
      <c r="BD114" s="913"/>
      <c r="BE114" s="913"/>
      <c r="BF114" s="913"/>
      <c r="BG114" s="913"/>
      <c r="BH114" s="913"/>
      <c r="BI114" s="913"/>
      <c r="BJ114" s="913"/>
      <c r="BK114" s="913"/>
      <c r="BL114" s="913"/>
      <c r="BM114" s="913"/>
      <c r="BN114" s="913"/>
      <c r="BO114" s="913"/>
      <c r="BP114" s="913"/>
      <c r="BQ114" s="913"/>
      <c r="BR114" s="913"/>
      <c r="BS114" s="913"/>
      <c r="BT114" s="913"/>
      <c r="BU114" s="913"/>
      <c r="BV114" s="913"/>
      <c r="BW114" s="913"/>
      <c r="BX114" s="913"/>
      <c r="BY114" s="913"/>
      <c r="BZ114" s="913"/>
      <c r="CA114" s="913"/>
      <c r="CB114" s="913"/>
      <c r="CC114" s="913"/>
      <c r="CD114" s="913"/>
      <c r="CE114" s="913"/>
      <c r="CF114" s="913"/>
      <c r="CG114" s="913"/>
      <c r="CH114" s="913"/>
      <c r="CI114" s="913"/>
      <c r="CJ114" s="913"/>
      <c r="CK114" s="913"/>
      <c r="CL114" s="913"/>
      <c r="CM114" s="913"/>
      <c r="CN114" s="913"/>
      <c r="CO114" s="913"/>
      <c r="CP114" s="913"/>
      <c r="CQ114" s="913"/>
      <c r="CR114" s="913"/>
      <c r="CS114" s="913"/>
      <c r="CT114" s="913"/>
      <c r="CU114" s="913"/>
      <c r="CV114" s="913"/>
      <c r="CW114" s="913"/>
      <c r="CX114" s="913"/>
      <c r="CY114" s="913"/>
      <c r="CZ114" s="913"/>
      <c r="DA114" s="913"/>
      <c r="DB114" s="913"/>
      <c r="DC114" s="913"/>
      <c r="DD114" s="913"/>
      <c r="DE114" s="913"/>
      <c r="DF114" s="913"/>
      <c r="DG114" s="913"/>
      <c r="DH114" s="913"/>
      <c r="DI114" s="913"/>
      <c r="DJ114" s="913"/>
      <c r="DK114" s="913"/>
      <c r="DL114" s="913"/>
      <c r="DM114" s="913"/>
      <c r="DN114" s="913"/>
      <c r="DO114" s="913"/>
      <c r="DP114" s="913"/>
      <c r="DQ114" s="913"/>
      <c r="DR114" s="913"/>
      <c r="DS114" s="913"/>
      <c r="DT114" s="913"/>
      <c r="DU114" s="913"/>
      <c r="DV114" s="913"/>
      <c r="DW114" s="913"/>
      <c r="DX114" s="913"/>
      <c r="DY114" s="913"/>
      <c r="DZ114" s="913"/>
      <c r="EA114" s="913"/>
      <c r="EB114" s="913"/>
      <c r="EC114" s="913"/>
      <c r="ED114" s="913"/>
      <c r="EE114" s="913"/>
      <c r="EF114" s="913"/>
      <c r="EG114" s="913"/>
      <c r="EH114" s="913"/>
      <c r="EI114" s="913"/>
      <c r="EJ114" s="923"/>
    </row>
    <row r="115" spans="14:140" ht="15.75" thickBot="1" x14ac:dyDescent="0.3">
      <c r="N115" s="922"/>
      <c r="O115" s="917">
        <f t="shared" si="157"/>
        <v>36</v>
      </c>
      <c r="P115" s="913"/>
      <c r="Q115" s="925"/>
      <c r="R115" s="925">
        <f t="shared" si="156"/>
        <v>1.4000000000000004</v>
      </c>
      <c r="S115" s="925">
        <f t="shared" si="156"/>
        <v>1.75</v>
      </c>
      <c r="T115" s="925">
        <f t="shared" si="156"/>
        <v>2.1000000000000014</v>
      </c>
      <c r="U115" s="925">
        <f t="shared" si="156"/>
        <v>2.4500000000000028</v>
      </c>
      <c r="V115" s="925">
        <f t="shared" si="156"/>
        <v>2.8000000000000043</v>
      </c>
      <c r="W115" s="925">
        <f t="shared" si="156"/>
        <v>3.1500000000000057</v>
      </c>
      <c r="X115" s="925">
        <f t="shared" si="156"/>
        <v>3.4999999999999964</v>
      </c>
      <c r="Y115" s="925">
        <f t="shared" si="156"/>
        <v>3.8499999999999943</v>
      </c>
      <c r="Z115" s="925">
        <f t="shared" si="156"/>
        <v>4.1999999999999957</v>
      </c>
      <c r="AA115" s="913"/>
      <c r="AB115" s="913"/>
      <c r="AC115" s="913"/>
      <c r="AD115" s="913"/>
      <c r="AE115" s="913"/>
      <c r="AF115" s="913"/>
      <c r="AG115" s="913"/>
      <c r="AH115" s="913"/>
      <c r="AI115" s="913"/>
      <c r="AJ115" s="913"/>
      <c r="AK115" s="913"/>
      <c r="AL115" s="913"/>
      <c r="AM115" s="913"/>
      <c r="AN115" s="913"/>
      <c r="AO115" s="913"/>
      <c r="AP115" s="913"/>
      <c r="AQ115" s="913"/>
      <c r="AR115" s="913"/>
      <c r="AS115" s="913"/>
      <c r="AT115" s="913"/>
      <c r="AU115" s="913"/>
      <c r="AV115" s="913"/>
      <c r="AW115" s="913"/>
      <c r="AX115" s="913"/>
      <c r="AY115" s="913"/>
      <c r="AZ115" s="913"/>
      <c r="BA115" s="913"/>
      <c r="BB115" s="913"/>
      <c r="BC115" s="913"/>
      <c r="BD115" s="913"/>
      <c r="BE115" s="913"/>
      <c r="BF115" s="913"/>
      <c r="BG115" s="913"/>
      <c r="BH115" s="913"/>
      <c r="BI115" s="913"/>
      <c r="BJ115" s="913"/>
      <c r="BK115" s="913"/>
      <c r="BL115" s="913"/>
      <c r="BM115" s="913"/>
      <c r="BN115" s="913"/>
      <c r="BO115" s="913"/>
      <c r="BP115" s="913"/>
      <c r="BQ115" s="913"/>
      <c r="BR115" s="913"/>
      <c r="BS115" s="913"/>
      <c r="BT115" s="913"/>
      <c r="BU115" s="913"/>
      <c r="BV115" s="913"/>
      <c r="BW115" s="913"/>
      <c r="BX115" s="913"/>
      <c r="BY115" s="913"/>
      <c r="BZ115" s="913"/>
      <c r="CA115" s="913"/>
      <c r="CB115" s="913"/>
      <c r="CC115" s="913"/>
      <c r="CD115" s="913"/>
      <c r="CE115" s="913"/>
      <c r="CF115" s="913"/>
      <c r="CG115" s="913"/>
      <c r="CH115" s="913"/>
      <c r="CI115" s="913"/>
      <c r="CJ115" s="913"/>
      <c r="CK115" s="913"/>
      <c r="CL115" s="913"/>
      <c r="CM115" s="913"/>
      <c r="CN115" s="913"/>
      <c r="CO115" s="913"/>
      <c r="CP115" s="913"/>
      <c r="CQ115" s="913"/>
      <c r="CR115" s="913"/>
      <c r="CS115" s="913"/>
      <c r="CT115" s="913"/>
      <c r="CU115" s="913"/>
      <c r="CV115" s="913"/>
      <c r="CW115" s="913"/>
      <c r="CX115" s="913"/>
      <c r="CY115" s="913"/>
      <c r="CZ115" s="913"/>
      <c r="DA115" s="913"/>
      <c r="DB115" s="913"/>
      <c r="DC115" s="913"/>
      <c r="DD115" s="913"/>
      <c r="DE115" s="913"/>
      <c r="DF115" s="913"/>
      <c r="DG115" s="913"/>
      <c r="DH115" s="913"/>
      <c r="DI115" s="913"/>
      <c r="DJ115" s="913"/>
      <c r="DK115" s="913"/>
      <c r="DL115" s="913"/>
      <c r="DM115" s="913"/>
      <c r="DN115" s="913"/>
      <c r="DO115" s="913"/>
      <c r="DP115" s="913"/>
      <c r="DQ115" s="913"/>
      <c r="DR115" s="913"/>
      <c r="DS115" s="913"/>
      <c r="DT115" s="913"/>
      <c r="DU115" s="913"/>
      <c r="DV115" s="913"/>
      <c r="DW115" s="913"/>
      <c r="DX115" s="913"/>
      <c r="DY115" s="913"/>
      <c r="DZ115" s="913"/>
      <c r="EA115" s="913"/>
      <c r="EB115" s="913"/>
      <c r="EC115" s="913"/>
      <c r="ED115" s="913"/>
      <c r="EE115" s="913"/>
      <c r="EF115" s="913"/>
      <c r="EG115" s="913"/>
      <c r="EH115" s="913"/>
      <c r="EI115" s="913"/>
      <c r="EJ115" s="923"/>
    </row>
    <row r="116" spans="14:140" ht="15.75" thickBot="1" x14ac:dyDescent="0.3">
      <c r="N116" s="922"/>
      <c r="O116" s="917">
        <f t="shared" si="157"/>
        <v>42</v>
      </c>
      <c r="P116" s="913"/>
      <c r="Q116" s="925"/>
      <c r="R116" s="925">
        <f t="shared" si="156"/>
        <v>1.9299999999999997</v>
      </c>
      <c r="S116" s="925">
        <f t="shared" si="156"/>
        <v>2.629999999999999</v>
      </c>
      <c r="T116" s="925">
        <f t="shared" si="156"/>
        <v>3.3299999999999983</v>
      </c>
      <c r="U116" s="925">
        <f t="shared" si="156"/>
        <v>4.0299999999999976</v>
      </c>
      <c r="V116" s="925">
        <f t="shared" si="156"/>
        <v>4.7299999999999969</v>
      </c>
      <c r="W116" s="925">
        <f t="shared" si="156"/>
        <v>5.43</v>
      </c>
      <c r="X116" s="925">
        <f t="shared" si="156"/>
        <v>6.1500000000000057</v>
      </c>
      <c r="Y116" s="925">
        <f t="shared" si="156"/>
        <v>6.8500000000000085</v>
      </c>
      <c r="Z116" s="925">
        <f t="shared" si="156"/>
        <v>7.5500000000000043</v>
      </c>
      <c r="AA116" s="913"/>
      <c r="AB116" s="913"/>
      <c r="AC116" s="913"/>
      <c r="AD116" s="913"/>
      <c r="AE116" s="913"/>
      <c r="AF116" s="913"/>
      <c r="AG116" s="913"/>
      <c r="AH116" s="913"/>
      <c r="AI116" s="913"/>
      <c r="AJ116" s="913"/>
      <c r="AK116" s="913"/>
      <c r="AL116" s="913"/>
      <c r="AM116" s="913"/>
      <c r="AN116" s="913"/>
      <c r="AO116" s="913"/>
      <c r="AP116" s="913"/>
      <c r="AQ116" s="913"/>
      <c r="AR116" s="913"/>
      <c r="AS116" s="913"/>
      <c r="AT116" s="913"/>
      <c r="AU116" s="913"/>
      <c r="AV116" s="913"/>
      <c r="AW116" s="913"/>
      <c r="AX116" s="913"/>
      <c r="AY116" s="913"/>
      <c r="AZ116" s="913"/>
      <c r="BA116" s="913"/>
      <c r="BB116" s="913"/>
      <c r="BC116" s="913"/>
      <c r="BD116" s="913"/>
      <c r="BE116" s="913"/>
      <c r="BF116" s="913"/>
      <c r="BG116" s="913"/>
      <c r="BH116" s="913"/>
      <c r="BI116" s="913"/>
      <c r="BJ116" s="913"/>
      <c r="BK116" s="913"/>
      <c r="BL116" s="913"/>
      <c r="BM116" s="913"/>
      <c r="BN116" s="913"/>
      <c r="BO116" s="913"/>
      <c r="BP116" s="913"/>
      <c r="BQ116" s="913"/>
      <c r="BR116" s="913"/>
      <c r="BS116" s="913"/>
      <c r="BT116" s="913"/>
      <c r="BU116" s="913"/>
      <c r="BV116" s="913"/>
      <c r="BW116" s="913"/>
      <c r="BX116" s="913"/>
      <c r="BY116" s="913"/>
      <c r="BZ116" s="913"/>
      <c r="CA116" s="913"/>
      <c r="CB116" s="913"/>
      <c r="CC116" s="913"/>
      <c r="CD116" s="913"/>
      <c r="CE116" s="913"/>
      <c r="CF116" s="913"/>
      <c r="CG116" s="913"/>
      <c r="CH116" s="913"/>
      <c r="CI116" s="913"/>
      <c r="CJ116" s="913"/>
      <c r="CK116" s="913"/>
      <c r="CL116" s="913"/>
      <c r="CM116" s="913"/>
      <c r="CN116" s="913"/>
      <c r="CO116" s="913"/>
      <c r="CP116" s="913"/>
      <c r="CQ116" s="913"/>
      <c r="CR116" s="913"/>
      <c r="CS116" s="913"/>
      <c r="CT116" s="913"/>
      <c r="CU116" s="913"/>
      <c r="CV116" s="913"/>
      <c r="CW116" s="913"/>
      <c r="CX116" s="913"/>
      <c r="CY116" s="913"/>
      <c r="CZ116" s="913"/>
      <c r="DA116" s="913"/>
      <c r="DB116" s="913"/>
      <c r="DC116" s="913"/>
      <c r="DD116" s="913"/>
      <c r="DE116" s="913"/>
      <c r="DF116" s="913"/>
      <c r="DG116" s="913"/>
      <c r="DH116" s="913"/>
      <c r="DI116" s="913"/>
      <c r="DJ116" s="913"/>
      <c r="DK116" s="913"/>
      <c r="DL116" s="913"/>
      <c r="DM116" s="913"/>
      <c r="DN116" s="913"/>
      <c r="DO116" s="913"/>
      <c r="DP116" s="913"/>
      <c r="DQ116" s="913"/>
      <c r="DR116" s="913"/>
      <c r="DS116" s="913"/>
      <c r="DT116" s="913"/>
      <c r="DU116" s="913"/>
      <c r="DV116" s="913"/>
      <c r="DW116" s="913"/>
      <c r="DX116" s="913"/>
      <c r="DY116" s="913"/>
      <c r="DZ116" s="913"/>
      <c r="EA116" s="913"/>
      <c r="EB116" s="913"/>
      <c r="EC116" s="913"/>
      <c r="ED116" s="913"/>
      <c r="EE116" s="913"/>
      <c r="EF116" s="913"/>
      <c r="EG116" s="913"/>
      <c r="EH116" s="913"/>
      <c r="EI116" s="913"/>
      <c r="EJ116" s="923"/>
    </row>
    <row r="117" spans="14:140" ht="15.75" thickBot="1" x14ac:dyDescent="0.3">
      <c r="N117" s="922"/>
      <c r="O117" s="917">
        <f t="shared" si="157"/>
        <v>48</v>
      </c>
      <c r="P117" s="913"/>
      <c r="Q117" s="925"/>
      <c r="R117" s="925">
        <f t="shared" si="156"/>
        <v>1.4000000000000004</v>
      </c>
      <c r="S117" s="925">
        <f t="shared" si="156"/>
        <v>1.75</v>
      </c>
      <c r="T117" s="925">
        <f t="shared" si="156"/>
        <v>2.1000000000000014</v>
      </c>
      <c r="U117" s="925">
        <f t="shared" si="156"/>
        <v>2.4499999999999993</v>
      </c>
      <c r="V117" s="925">
        <f t="shared" si="156"/>
        <v>2.7999999999999972</v>
      </c>
      <c r="W117" s="925">
        <f t="shared" si="156"/>
        <v>3.1499999999999915</v>
      </c>
      <c r="X117" s="925">
        <f t="shared" si="156"/>
        <v>3.5</v>
      </c>
      <c r="Y117" s="925">
        <f t="shared" si="156"/>
        <v>3.8499999999999943</v>
      </c>
      <c r="Z117" s="925">
        <f t="shared" si="156"/>
        <v>4.1999999999999957</v>
      </c>
      <c r="AA117" s="913"/>
      <c r="AB117" s="913"/>
      <c r="AC117" s="913"/>
      <c r="AD117" s="913"/>
      <c r="AE117" s="913"/>
      <c r="AF117" s="913"/>
      <c r="AG117" s="913"/>
      <c r="AH117" s="913"/>
      <c r="AI117" s="913"/>
      <c r="AJ117" s="913"/>
      <c r="AK117" s="913"/>
      <c r="AL117" s="913"/>
      <c r="AM117" s="913"/>
      <c r="AN117" s="913"/>
      <c r="AO117" s="913"/>
      <c r="AP117" s="913"/>
      <c r="AQ117" s="913"/>
      <c r="AR117" s="913"/>
      <c r="AS117" s="913"/>
      <c r="AT117" s="913"/>
      <c r="AU117" s="913"/>
      <c r="AV117" s="913"/>
      <c r="AW117" s="913"/>
      <c r="AX117" s="913"/>
      <c r="AY117" s="913"/>
      <c r="AZ117" s="913"/>
      <c r="BA117" s="913"/>
      <c r="BB117" s="913"/>
      <c r="BC117" s="913"/>
      <c r="BD117" s="913"/>
      <c r="BE117" s="913"/>
      <c r="BF117" s="913"/>
      <c r="BG117" s="913"/>
      <c r="BH117" s="913"/>
      <c r="BI117" s="913"/>
      <c r="BJ117" s="913"/>
      <c r="BK117" s="913"/>
      <c r="BL117" s="913"/>
      <c r="BM117" s="913"/>
      <c r="BN117" s="913"/>
      <c r="BO117" s="913"/>
      <c r="BP117" s="913"/>
      <c r="BQ117" s="913"/>
      <c r="BR117" s="913"/>
      <c r="BS117" s="913"/>
      <c r="BT117" s="913"/>
      <c r="BU117" s="913"/>
      <c r="BV117" s="913"/>
      <c r="BW117" s="913"/>
      <c r="BX117" s="913"/>
      <c r="BY117" s="913"/>
      <c r="BZ117" s="913"/>
      <c r="CA117" s="913"/>
      <c r="CB117" s="913"/>
      <c r="CC117" s="913"/>
      <c r="CD117" s="913"/>
      <c r="CE117" s="913"/>
      <c r="CF117" s="913"/>
      <c r="CG117" s="913"/>
      <c r="CH117" s="913"/>
      <c r="CI117" s="913"/>
      <c r="CJ117" s="913"/>
      <c r="CK117" s="913"/>
      <c r="CL117" s="913"/>
      <c r="CM117" s="913"/>
      <c r="CN117" s="913"/>
      <c r="CO117" s="913"/>
      <c r="CP117" s="913"/>
      <c r="CQ117" s="913"/>
      <c r="CR117" s="913"/>
      <c r="CS117" s="913"/>
      <c r="CT117" s="913"/>
      <c r="CU117" s="913"/>
      <c r="CV117" s="913"/>
      <c r="CW117" s="913"/>
      <c r="CX117" s="913"/>
      <c r="CY117" s="913"/>
      <c r="CZ117" s="913"/>
      <c r="DA117" s="913"/>
      <c r="DB117" s="913"/>
      <c r="DC117" s="913"/>
      <c r="DD117" s="913"/>
      <c r="DE117" s="913"/>
      <c r="DF117" s="913"/>
      <c r="DG117" s="913"/>
      <c r="DH117" s="913"/>
      <c r="DI117" s="913"/>
      <c r="DJ117" s="913"/>
      <c r="DK117" s="913"/>
      <c r="DL117" s="913"/>
      <c r="DM117" s="913"/>
      <c r="DN117" s="913"/>
      <c r="DO117" s="913"/>
      <c r="DP117" s="913"/>
      <c r="DQ117" s="913"/>
      <c r="DR117" s="913"/>
      <c r="DS117" s="913"/>
      <c r="DT117" s="913"/>
      <c r="DU117" s="913"/>
      <c r="DV117" s="913"/>
      <c r="DW117" s="913"/>
      <c r="DX117" s="913"/>
      <c r="DY117" s="913"/>
      <c r="DZ117" s="913"/>
      <c r="EA117" s="913"/>
      <c r="EB117" s="913"/>
      <c r="EC117" s="913"/>
      <c r="ED117" s="913"/>
      <c r="EE117" s="913"/>
      <c r="EF117" s="913"/>
      <c r="EG117" s="913"/>
      <c r="EH117" s="913"/>
      <c r="EI117" s="913"/>
      <c r="EJ117" s="923"/>
    </row>
    <row r="118" spans="14:140" ht="15.75" thickBot="1" x14ac:dyDescent="0.3">
      <c r="N118" s="922"/>
      <c r="O118" s="917">
        <f t="shared" si="157"/>
        <v>54</v>
      </c>
      <c r="P118" s="913"/>
      <c r="Q118" s="925"/>
      <c r="R118" s="925">
        <f t="shared" si="156"/>
        <v>1.9300000000000015</v>
      </c>
      <c r="S118" s="925">
        <f t="shared" si="156"/>
        <v>2.629999999999999</v>
      </c>
      <c r="T118" s="925">
        <f t="shared" si="156"/>
        <v>3.3299999999999947</v>
      </c>
      <c r="U118" s="925">
        <f t="shared" si="156"/>
        <v>4.029999999999994</v>
      </c>
      <c r="V118" s="925">
        <f t="shared" si="156"/>
        <v>4.7299999999999969</v>
      </c>
      <c r="W118" s="925">
        <f t="shared" si="156"/>
        <v>5.4299999999999926</v>
      </c>
      <c r="X118" s="925">
        <f t="shared" si="156"/>
        <v>6.1499999999999986</v>
      </c>
      <c r="Y118" s="925">
        <f t="shared" si="156"/>
        <v>6.8499999999999943</v>
      </c>
      <c r="Z118" s="925">
        <f t="shared" si="156"/>
        <v>7.5499999999999901</v>
      </c>
      <c r="AA118" s="913"/>
      <c r="AB118" s="913"/>
      <c r="AC118" s="913"/>
      <c r="AD118" s="913"/>
      <c r="AE118" s="913"/>
      <c r="AF118" s="913"/>
      <c r="AG118" s="913"/>
      <c r="AH118" s="913"/>
      <c r="AI118" s="913"/>
      <c r="AJ118" s="913"/>
      <c r="AK118" s="913"/>
      <c r="AL118" s="913"/>
      <c r="AM118" s="913"/>
      <c r="AN118" s="913"/>
      <c r="AO118" s="913"/>
      <c r="AP118" s="913"/>
      <c r="AQ118" s="913"/>
      <c r="AR118" s="913"/>
      <c r="AS118" s="913"/>
      <c r="AT118" s="913"/>
      <c r="AU118" s="913"/>
      <c r="AV118" s="913"/>
      <c r="AW118" s="913"/>
      <c r="AX118" s="913"/>
      <c r="AY118" s="913"/>
      <c r="AZ118" s="913"/>
      <c r="BA118" s="913"/>
      <c r="BB118" s="913"/>
      <c r="BC118" s="913"/>
      <c r="BD118" s="913"/>
      <c r="BE118" s="913"/>
      <c r="BF118" s="913"/>
      <c r="BG118" s="913"/>
      <c r="BH118" s="913"/>
      <c r="BI118" s="913"/>
      <c r="BJ118" s="913"/>
      <c r="BK118" s="913"/>
      <c r="BL118" s="913"/>
      <c r="BM118" s="913"/>
      <c r="BN118" s="913"/>
      <c r="BO118" s="913"/>
      <c r="BP118" s="913"/>
      <c r="BQ118" s="913"/>
      <c r="BR118" s="913"/>
      <c r="BS118" s="913"/>
      <c r="BT118" s="913"/>
      <c r="BU118" s="913"/>
      <c r="BV118" s="913"/>
      <c r="BW118" s="913"/>
      <c r="BX118" s="913"/>
      <c r="BY118" s="913"/>
      <c r="BZ118" s="913"/>
      <c r="CA118" s="913"/>
      <c r="CB118" s="913"/>
      <c r="CC118" s="913"/>
      <c r="CD118" s="913"/>
      <c r="CE118" s="913"/>
      <c r="CF118" s="913"/>
      <c r="CG118" s="913"/>
      <c r="CH118" s="913"/>
      <c r="CI118" s="913"/>
      <c r="CJ118" s="913"/>
      <c r="CK118" s="913"/>
      <c r="CL118" s="913"/>
      <c r="CM118" s="913"/>
      <c r="CN118" s="913"/>
      <c r="CO118" s="913"/>
      <c r="CP118" s="913"/>
      <c r="CQ118" s="913"/>
      <c r="CR118" s="913"/>
      <c r="CS118" s="913"/>
      <c r="CT118" s="913"/>
      <c r="CU118" s="913"/>
      <c r="CV118" s="913"/>
      <c r="CW118" s="913"/>
      <c r="CX118" s="913"/>
      <c r="CY118" s="913"/>
      <c r="CZ118" s="913"/>
      <c r="DA118" s="913"/>
      <c r="DB118" s="913"/>
      <c r="DC118" s="913"/>
      <c r="DD118" s="913"/>
      <c r="DE118" s="913"/>
      <c r="DF118" s="913"/>
      <c r="DG118" s="913"/>
      <c r="DH118" s="913"/>
      <c r="DI118" s="913"/>
      <c r="DJ118" s="913"/>
      <c r="DK118" s="913"/>
      <c r="DL118" s="913"/>
      <c r="DM118" s="913"/>
      <c r="DN118" s="913"/>
      <c r="DO118" s="913"/>
      <c r="DP118" s="913"/>
      <c r="DQ118" s="913"/>
      <c r="DR118" s="913"/>
      <c r="DS118" s="913"/>
      <c r="DT118" s="913"/>
      <c r="DU118" s="913"/>
      <c r="DV118" s="913"/>
      <c r="DW118" s="913"/>
      <c r="DX118" s="913"/>
      <c r="DY118" s="913"/>
      <c r="DZ118" s="913"/>
      <c r="EA118" s="913"/>
      <c r="EB118" s="913"/>
      <c r="EC118" s="913"/>
      <c r="ED118" s="913"/>
      <c r="EE118" s="913"/>
      <c r="EF118" s="913"/>
      <c r="EG118" s="913"/>
      <c r="EH118" s="913"/>
      <c r="EI118" s="913"/>
      <c r="EJ118" s="923"/>
    </row>
    <row r="119" spans="14:140" ht="15.75" thickBot="1" x14ac:dyDescent="0.3">
      <c r="N119" s="922"/>
      <c r="O119" s="917">
        <f t="shared" si="157"/>
        <v>60</v>
      </c>
      <c r="P119" s="913"/>
      <c r="Q119" s="925"/>
      <c r="R119" s="925">
        <f t="shared" si="156"/>
        <v>1.4100000000000001</v>
      </c>
      <c r="S119" s="925">
        <f t="shared" si="156"/>
        <v>1.7600000000000016</v>
      </c>
      <c r="T119" s="925">
        <f t="shared" si="156"/>
        <v>2.110000000000003</v>
      </c>
      <c r="U119" s="925">
        <f t="shared" si="156"/>
        <v>2.4600000000000009</v>
      </c>
      <c r="V119" s="925">
        <f t="shared" si="156"/>
        <v>2.8100000000000023</v>
      </c>
      <c r="W119" s="925">
        <f t="shared" si="156"/>
        <v>3.1600000000000108</v>
      </c>
      <c r="X119" s="925">
        <f t="shared" si="156"/>
        <v>3.5</v>
      </c>
      <c r="Y119" s="925">
        <f t="shared" si="156"/>
        <v>3.8500000000000085</v>
      </c>
      <c r="Z119" s="925">
        <f t="shared" si="156"/>
        <v>4.2000000000000171</v>
      </c>
      <c r="AA119" s="913"/>
      <c r="AB119" s="913"/>
      <c r="AC119" s="913"/>
      <c r="AD119" s="913"/>
      <c r="AE119" s="913"/>
      <c r="AF119" s="913"/>
      <c r="AG119" s="913"/>
      <c r="AH119" s="913"/>
      <c r="AI119" s="913"/>
      <c r="AJ119" s="913"/>
      <c r="AK119" s="913"/>
      <c r="AL119" s="913"/>
      <c r="AM119" s="913"/>
      <c r="AN119" s="913"/>
      <c r="AO119" s="913"/>
      <c r="AP119" s="913"/>
      <c r="AQ119" s="913"/>
      <c r="AR119" s="913"/>
      <c r="AS119" s="913"/>
      <c r="AT119" s="913"/>
      <c r="AU119" s="913"/>
      <c r="AV119" s="913"/>
      <c r="AW119" s="913"/>
      <c r="AX119" s="913"/>
      <c r="AY119" s="913"/>
      <c r="AZ119" s="913"/>
      <c r="BA119" s="913"/>
      <c r="BB119" s="913"/>
      <c r="BC119" s="913"/>
      <c r="BD119" s="913"/>
      <c r="BE119" s="913"/>
      <c r="BF119" s="913"/>
      <c r="BG119" s="913"/>
      <c r="BH119" s="913"/>
      <c r="BI119" s="913"/>
      <c r="BJ119" s="913"/>
      <c r="BK119" s="913"/>
      <c r="BL119" s="913"/>
      <c r="BM119" s="913"/>
      <c r="BN119" s="913"/>
      <c r="BO119" s="913"/>
      <c r="BP119" s="913"/>
      <c r="BQ119" s="913"/>
      <c r="BR119" s="913"/>
      <c r="BS119" s="913"/>
      <c r="BT119" s="913"/>
      <c r="BU119" s="913"/>
      <c r="BV119" s="913"/>
      <c r="BW119" s="913"/>
      <c r="BX119" s="913"/>
      <c r="BY119" s="913"/>
      <c r="BZ119" s="913"/>
      <c r="CA119" s="913"/>
      <c r="CB119" s="913"/>
      <c r="CC119" s="913"/>
      <c r="CD119" s="913"/>
      <c r="CE119" s="913"/>
      <c r="CF119" s="913"/>
      <c r="CG119" s="913"/>
      <c r="CH119" s="913"/>
      <c r="CI119" s="913"/>
      <c r="CJ119" s="913"/>
      <c r="CK119" s="913"/>
      <c r="CL119" s="913"/>
      <c r="CM119" s="913"/>
      <c r="CN119" s="913"/>
      <c r="CO119" s="913"/>
      <c r="CP119" s="913"/>
      <c r="CQ119" s="913"/>
      <c r="CR119" s="913"/>
      <c r="CS119" s="913"/>
      <c r="CT119" s="913"/>
      <c r="CU119" s="913"/>
      <c r="CV119" s="913"/>
      <c r="CW119" s="913"/>
      <c r="CX119" s="913"/>
      <c r="CY119" s="913"/>
      <c r="CZ119" s="913"/>
      <c r="DA119" s="913"/>
      <c r="DB119" s="913"/>
      <c r="DC119" s="913"/>
      <c r="DD119" s="913"/>
      <c r="DE119" s="913"/>
      <c r="DF119" s="913"/>
      <c r="DG119" s="913"/>
      <c r="DH119" s="913"/>
      <c r="DI119" s="913"/>
      <c r="DJ119" s="913"/>
      <c r="DK119" s="913"/>
      <c r="DL119" s="913"/>
      <c r="DM119" s="913"/>
      <c r="DN119" s="913"/>
      <c r="DO119" s="913"/>
      <c r="DP119" s="913"/>
      <c r="DQ119" s="913"/>
      <c r="DR119" s="913"/>
      <c r="DS119" s="913"/>
      <c r="DT119" s="913"/>
      <c r="DU119" s="913"/>
      <c r="DV119" s="913"/>
      <c r="DW119" s="913"/>
      <c r="DX119" s="913"/>
      <c r="DY119" s="913"/>
      <c r="DZ119" s="913"/>
      <c r="EA119" s="913"/>
      <c r="EB119" s="913"/>
      <c r="EC119" s="913"/>
      <c r="ED119" s="913"/>
      <c r="EE119" s="913"/>
      <c r="EF119" s="913"/>
      <c r="EG119" s="913"/>
      <c r="EH119" s="913"/>
      <c r="EI119" s="913"/>
      <c r="EJ119" s="923"/>
    </row>
    <row r="120" spans="14:140" ht="15.75" thickBot="1" x14ac:dyDescent="0.3">
      <c r="N120" s="922"/>
      <c r="O120" s="917">
        <f t="shared" si="157"/>
        <v>66</v>
      </c>
      <c r="P120" s="913"/>
      <c r="Q120" s="925"/>
      <c r="R120" s="925">
        <f t="shared" si="156"/>
        <v>1.9199999999999982</v>
      </c>
      <c r="S120" s="925">
        <f t="shared" si="156"/>
        <v>2.629999999999999</v>
      </c>
      <c r="T120" s="925">
        <f t="shared" si="156"/>
        <v>3.3399999999999963</v>
      </c>
      <c r="U120" s="925">
        <f t="shared" si="156"/>
        <v>4.0499999999999972</v>
      </c>
      <c r="V120" s="925">
        <f t="shared" si="156"/>
        <v>4.7599999999999909</v>
      </c>
      <c r="W120" s="925">
        <f t="shared" si="156"/>
        <v>5.4699999999999847</v>
      </c>
      <c r="X120" s="925">
        <f t="shared" si="156"/>
        <v>6.18</v>
      </c>
      <c r="Y120" s="925">
        <f t="shared" si="156"/>
        <v>6.8900000000000006</v>
      </c>
      <c r="Z120" s="925">
        <f t="shared" si="156"/>
        <v>7.5999999999999943</v>
      </c>
      <c r="AA120" s="913"/>
      <c r="AB120" s="913"/>
      <c r="AC120" s="913"/>
      <c r="AD120" s="913"/>
      <c r="AE120" s="913"/>
      <c r="AF120" s="913"/>
      <c r="AG120" s="913"/>
      <c r="AH120" s="913"/>
      <c r="AI120" s="913"/>
      <c r="AJ120" s="913"/>
      <c r="AK120" s="913"/>
      <c r="AL120" s="913"/>
      <c r="AM120" s="913"/>
      <c r="AN120" s="913"/>
      <c r="AO120" s="913"/>
      <c r="AP120" s="913"/>
      <c r="AQ120" s="913"/>
      <c r="AR120" s="913"/>
      <c r="AS120" s="913"/>
      <c r="AT120" s="913"/>
      <c r="AU120" s="913"/>
      <c r="AV120" s="913"/>
      <c r="AW120" s="913"/>
      <c r="AX120" s="913"/>
      <c r="AY120" s="913"/>
      <c r="AZ120" s="913"/>
      <c r="BA120" s="913"/>
      <c r="BB120" s="913"/>
      <c r="BC120" s="913"/>
      <c r="BD120" s="913"/>
      <c r="BE120" s="913"/>
      <c r="BF120" s="913"/>
      <c r="BG120" s="913"/>
      <c r="BH120" s="913"/>
      <c r="BI120" s="913"/>
      <c r="BJ120" s="913"/>
      <c r="BK120" s="913"/>
      <c r="BL120" s="913"/>
      <c r="BM120" s="913"/>
      <c r="BN120" s="913"/>
      <c r="BO120" s="913"/>
      <c r="BP120" s="913"/>
      <c r="BQ120" s="913"/>
      <c r="BR120" s="913"/>
      <c r="BS120" s="913"/>
      <c r="BT120" s="913"/>
      <c r="BU120" s="913"/>
      <c r="BV120" s="913"/>
      <c r="BW120" s="913"/>
      <c r="BX120" s="913"/>
      <c r="BY120" s="913"/>
      <c r="BZ120" s="913"/>
      <c r="CA120" s="913"/>
      <c r="CB120" s="913"/>
      <c r="CC120" s="913"/>
      <c r="CD120" s="913"/>
      <c r="CE120" s="913"/>
      <c r="CF120" s="913"/>
      <c r="CG120" s="913"/>
      <c r="CH120" s="913"/>
      <c r="CI120" s="913"/>
      <c r="CJ120" s="913"/>
      <c r="CK120" s="913"/>
      <c r="CL120" s="913"/>
      <c r="CM120" s="913"/>
      <c r="CN120" s="913"/>
      <c r="CO120" s="913"/>
      <c r="CP120" s="913"/>
      <c r="CQ120" s="913"/>
      <c r="CR120" s="913"/>
      <c r="CS120" s="913"/>
      <c r="CT120" s="913"/>
      <c r="CU120" s="913"/>
      <c r="CV120" s="913"/>
      <c r="CW120" s="913"/>
      <c r="CX120" s="913"/>
      <c r="CY120" s="913"/>
      <c r="CZ120" s="913"/>
      <c r="DA120" s="913"/>
      <c r="DB120" s="913"/>
      <c r="DC120" s="913"/>
      <c r="DD120" s="913"/>
      <c r="DE120" s="913"/>
      <c r="DF120" s="913"/>
      <c r="DG120" s="913"/>
      <c r="DH120" s="913"/>
      <c r="DI120" s="913"/>
      <c r="DJ120" s="913"/>
      <c r="DK120" s="913"/>
      <c r="DL120" s="913"/>
      <c r="DM120" s="913"/>
      <c r="DN120" s="913"/>
      <c r="DO120" s="913"/>
      <c r="DP120" s="913"/>
      <c r="DQ120" s="913"/>
      <c r="DR120" s="913"/>
      <c r="DS120" s="913"/>
      <c r="DT120" s="913"/>
      <c r="DU120" s="913"/>
      <c r="DV120" s="913"/>
      <c r="DW120" s="913"/>
      <c r="DX120" s="913"/>
      <c r="DY120" s="913"/>
      <c r="DZ120" s="913"/>
      <c r="EA120" s="913"/>
      <c r="EB120" s="913"/>
      <c r="EC120" s="913"/>
      <c r="ED120" s="913"/>
      <c r="EE120" s="913"/>
      <c r="EF120" s="913"/>
      <c r="EG120" s="913"/>
      <c r="EH120" s="913"/>
      <c r="EI120" s="913"/>
      <c r="EJ120" s="923"/>
    </row>
    <row r="121" spans="14:140" ht="15.75" thickBot="1" x14ac:dyDescent="0.3">
      <c r="N121" s="922"/>
      <c r="O121" s="917">
        <f t="shared" si="157"/>
        <v>72</v>
      </c>
      <c r="P121" s="913"/>
      <c r="Q121" s="925"/>
      <c r="R121" s="925">
        <f t="shared" si="156"/>
        <v>1.4100000000000001</v>
      </c>
      <c r="S121" s="925">
        <f t="shared" si="156"/>
        <v>1.75</v>
      </c>
      <c r="T121" s="925">
        <f t="shared" si="156"/>
        <v>2.0900000000000034</v>
      </c>
      <c r="U121" s="925">
        <f t="shared" si="156"/>
        <v>2.4300000000000068</v>
      </c>
      <c r="V121" s="925">
        <f t="shared" si="156"/>
        <v>2.7700000000000102</v>
      </c>
      <c r="W121" s="925">
        <f t="shared" si="156"/>
        <v>3.1100000000000136</v>
      </c>
      <c r="X121" s="925">
        <f t="shared" si="156"/>
        <v>3.4699999999999989</v>
      </c>
      <c r="Y121" s="925">
        <f t="shared" si="156"/>
        <v>3.8099999999999881</v>
      </c>
      <c r="Z121" s="925">
        <f t="shared" si="156"/>
        <v>4.1499999999999915</v>
      </c>
      <c r="AA121" s="913"/>
      <c r="AB121" s="913"/>
      <c r="AC121" s="913"/>
      <c r="AD121" s="913"/>
      <c r="AE121" s="913"/>
      <c r="AF121" s="913"/>
      <c r="AG121" s="913"/>
      <c r="AH121" s="913"/>
      <c r="AI121" s="913"/>
      <c r="AJ121" s="913"/>
      <c r="AK121" s="913"/>
      <c r="AL121" s="913"/>
      <c r="AM121" s="913"/>
      <c r="AN121" s="913"/>
      <c r="AO121" s="913"/>
      <c r="AP121" s="913"/>
      <c r="AQ121" s="913"/>
      <c r="AR121" s="913"/>
      <c r="AS121" s="913"/>
      <c r="AT121" s="913"/>
      <c r="AU121" s="913"/>
      <c r="AV121" s="913"/>
      <c r="AW121" s="913"/>
      <c r="AX121" s="913"/>
      <c r="AY121" s="913"/>
      <c r="AZ121" s="913"/>
      <c r="BA121" s="913"/>
      <c r="BB121" s="913"/>
      <c r="BC121" s="913"/>
      <c r="BD121" s="913"/>
      <c r="BE121" s="913"/>
      <c r="BF121" s="913"/>
      <c r="BG121" s="913"/>
      <c r="BH121" s="913"/>
      <c r="BI121" s="913"/>
      <c r="BJ121" s="913"/>
      <c r="BK121" s="913"/>
      <c r="BL121" s="913"/>
      <c r="BM121" s="913"/>
      <c r="BN121" s="913"/>
      <c r="BO121" s="913"/>
      <c r="BP121" s="913"/>
      <c r="BQ121" s="913"/>
      <c r="BR121" s="913"/>
      <c r="BS121" s="913"/>
      <c r="BT121" s="913"/>
      <c r="BU121" s="913"/>
      <c r="BV121" s="913"/>
      <c r="BW121" s="913"/>
      <c r="BX121" s="913"/>
      <c r="BY121" s="913"/>
      <c r="BZ121" s="913"/>
      <c r="CA121" s="913"/>
      <c r="CB121" s="913"/>
      <c r="CC121" s="913"/>
      <c r="CD121" s="913"/>
      <c r="CE121" s="913"/>
      <c r="CF121" s="913"/>
      <c r="CG121" s="913"/>
      <c r="CH121" s="913"/>
      <c r="CI121" s="913"/>
      <c r="CJ121" s="913"/>
      <c r="CK121" s="913"/>
      <c r="CL121" s="913"/>
      <c r="CM121" s="913"/>
      <c r="CN121" s="913"/>
      <c r="CO121" s="913"/>
      <c r="CP121" s="913"/>
      <c r="CQ121" s="913"/>
      <c r="CR121" s="913"/>
      <c r="CS121" s="913"/>
      <c r="CT121" s="913"/>
      <c r="CU121" s="913"/>
      <c r="CV121" s="913"/>
      <c r="CW121" s="913"/>
      <c r="CX121" s="913"/>
      <c r="CY121" s="913"/>
      <c r="CZ121" s="913"/>
      <c r="DA121" s="913"/>
      <c r="DB121" s="913"/>
      <c r="DC121" s="913"/>
      <c r="DD121" s="913"/>
      <c r="DE121" s="913"/>
      <c r="DF121" s="913"/>
      <c r="DG121" s="913"/>
      <c r="DH121" s="913"/>
      <c r="DI121" s="913"/>
      <c r="DJ121" s="913"/>
      <c r="DK121" s="913"/>
      <c r="DL121" s="913"/>
      <c r="DM121" s="913"/>
      <c r="DN121" s="913"/>
      <c r="DO121" s="913"/>
      <c r="DP121" s="913"/>
      <c r="DQ121" s="913"/>
      <c r="DR121" s="913"/>
      <c r="DS121" s="913"/>
      <c r="DT121" s="913"/>
      <c r="DU121" s="913"/>
      <c r="DV121" s="913"/>
      <c r="DW121" s="913"/>
      <c r="DX121" s="913"/>
      <c r="DY121" s="913"/>
      <c r="DZ121" s="913"/>
      <c r="EA121" s="913"/>
      <c r="EB121" s="913"/>
      <c r="EC121" s="913"/>
      <c r="ED121" s="913"/>
      <c r="EE121" s="913"/>
      <c r="EF121" s="913"/>
      <c r="EG121" s="913"/>
      <c r="EH121" s="913"/>
      <c r="EI121" s="913"/>
      <c r="EJ121" s="923"/>
    </row>
    <row r="122" spans="14:140" x14ac:dyDescent="0.25">
      <c r="N122" s="922"/>
      <c r="O122" s="913"/>
      <c r="P122" s="913"/>
      <c r="Q122" s="913"/>
      <c r="R122" s="913"/>
      <c r="S122" s="913"/>
      <c r="T122" s="913"/>
      <c r="U122" s="913"/>
      <c r="V122" s="913"/>
      <c r="W122" s="913"/>
      <c r="X122" s="913"/>
      <c r="Y122" s="913"/>
      <c r="Z122" s="913"/>
      <c r="AA122" s="913"/>
      <c r="AB122" s="913"/>
      <c r="AC122" s="913"/>
      <c r="AD122" s="913"/>
      <c r="AE122" s="913"/>
      <c r="AF122" s="913"/>
      <c r="AG122" s="913"/>
      <c r="AH122" s="913"/>
      <c r="AI122" s="913"/>
      <c r="AJ122" s="913"/>
      <c r="AK122" s="913"/>
      <c r="AL122" s="913"/>
      <c r="AM122" s="913"/>
      <c r="AN122" s="913"/>
      <c r="AO122" s="913"/>
      <c r="AP122" s="913"/>
      <c r="AQ122" s="913"/>
      <c r="AR122" s="913"/>
      <c r="AS122" s="913"/>
      <c r="AT122" s="913"/>
      <c r="AU122" s="913"/>
      <c r="AV122" s="913"/>
      <c r="AW122" s="913"/>
      <c r="AX122" s="913"/>
      <c r="AY122" s="913"/>
      <c r="AZ122" s="913"/>
      <c r="BA122" s="913"/>
      <c r="BB122" s="913"/>
      <c r="BC122" s="913"/>
      <c r="BD122" s="913"/>
      <c r="BE122" s="913"/>
      <c r="BF122" s="913"/>
      <c r="BG122" s="913"/>
      <c r="BH122" s="913"/>
      <c r="BI122" s="913"/>
      <c r="BJ122" s="913"/>
      <c r="BK122" s="913"/>
      <c r="BL122" s="913"/>
      <c r="BM122" s="913"/>
      <c r="BN122" s="913"/>
      <c r="BO122" s="913"/>
      <c r="BP122" s="913"/>
      <c r="BQ122" s="913"/>
      <c r="BR122" s="913"/>
      <c r="BS122" s="913"/>
      <c r="BT122" s="913"/>
      <c r="BU122" s="913"/>
      <c r="BV122" s="913"/>
      <c r="BW122" s="913"/>
      <c r="BX122" s="913"/>
      <c r="BY122" s="913"/>
      <c r="BZ122" s="913"/>
      <c r="CA122" s="913"/>
      <c r="CB122" s="913"/>
      <c r="CC122" s="913"/>
      <c r="CD122" s="913"/>
      <c r="CE122" s="913"/>
      <c r="CF122" s="913"/>
      <c r="CG122" s="913"/>
      <c r="CH122" s="913"/>
      <c r="CI122" s="913"/>
      <c r="CJ122" s="913"/>
      <c r="CK122" s="913"/>
      <c r="CL122" s="913"/>
      <c r="CM122" s="913"/>
      <c r="CN122" s="913"/>
      <c r="CO122" s="913"/>
      <c r="CP122" s="913"/>
      <c r="CQ122" s="913"/>
      <c r="CR122" s="913"/>
      <c r="CS122" s="913"/>
      <c r="CT122" s="913"/>
      <c r="CU122" s="913"/>
      <c r="CV122" s="913"/>
      <c r="CW122" s="913"/>
      <c r="CX122" s="913"/>
      <c r="CY122" s="913"/>
      <c r="CZ122" s="913"/>
      <c r="DA122" s="913"/>
      <c r="DB122" s="913"/>
      <c r="DC122" s="913"/>
      <c r="DD122" s="913"/>
      <c r="DE122" s="913"/>
      <c r="DF122" s="913"/>
      <c r="DG122" s="913"/>
      <c r="DH122" s="913"/>
      <c r="DI122" s="913"/>
      <c r="DJ122" s="913"/>
      <c r="DK122" s="913"/>
      <c r="DL122" s="913"/>
      <c r="DM122" s="913"/>
      <c r="DN122" s="913"/>
      <c r="DO122" s="913"/>
      <c r="DP122" s="913"/>
      <c r="DQ122" s="913"/>
      <c r="DR122" s="913"/>
      <c r="DS122" s="913"/>
      <c r="DT122" s="913"/>
      <c r="DU122" s="913"/>
      <c r="DV122" s="913"/>
      <c r="DW122" s="913"/>
      <c r="DX122" s="913"/>
      <c r="DY122" s="913"/>
      <c r="DZ122" s="913"/>
      <c r="EA122" s="913"/>
      <c r="EB122" s="913"/>
      <c r="EC122" s="913"/>
      <c r="ED122" s="913"/>
      <c r="EE122" s="913"/>
      <c r="EF122" s="913"/>
      <c r="EG122" s="913"/>
      <c r="EH122" s="913"/>
      <c r="EI122" s="913"/>
      <c r="EJ122" s="923"/>
    </row>
    <row r="123" spans="14:140" x14ac:dyDescent="0.25">
      <c r="N123" s="922"/>
      <c r="O123" s="913"/>
      <c r="P123" s="913"/>
      <c r="Q123" s="913"/>
      <c r="R123" s="913"/>
      <c r="S123" s="913"/>
      <c r="T123" s="913"/>
      <c r="U123" s="913"/>
      <c r="V123" s="913"/>
      <c r="W123" s="913"/>
      <c r="X123" s="913"/>
      <c r="Y123" s="913"/>
      <c r="Z123" s="913"/>
      <c r="AA123" s="913"/>
      <c r="AB123" s="913"/>
      <c r="AC123" s="913"/>
      <c r="AD123" s="913"/>
      <c r="AE123" s="913"/>
      <c r="AF123" s="913"/>
      <c r="AG123" s="913"/>
      <c r="AH123" s="913"/>
      <c r="AI123" s="913"/>
      <c r="AJ123" s="913"/>
      <c r="AK123" s="913"/>
      <c r="AL123" s="913"/>
      <c r="AM123" s="913"/>
      <c r="AN123" s="913"/>
      <c r="AO123" s="913"/>
      <c r="AP123" s="913"/>
      <c r="AQ123" s="913"/>
      <c r="AR123" s="913"/>
      <c r="AS123" s="913"/>
      <c r="AT123" s="913"/>
      <c r="AU123" s="913"/>
      <c r="AV123" s="913"/>
      <c r="AW123" s="913"/>
      <c r="AX123" s="913"/>
      <c r="AY123" s="913"/>
      <c r="AZ123" s="913"/>
      <c r="BA123" s="913"/>
      <c r="BB123" s="913"/>
      <c r="BC123" s="913"/>
      <c r="BD123" s="913"/>
      <c r="BE123" s="913"/>
      <c r="BF123" s="913"/>
      <c r="BG123" s="913"/>
      <c r="BH123" s="913"/>
      <c r="BI123" s="913"/>
      <c r="BJ123" s="913"/>
      <c r="BK123" s="913"/>
      <c r="BL123" s="913"/>
      <c r="BM123" s="913"/>
      <c r="BN123" s="913"/>
      <c r="BO123" s="913"/>
      <c r="BP123" s="913"/>
      <c r="BQ123" s="913"/>
      <c r="BR123" s="913"/>
      <c r="BS123" s="913"/>
      <c r="BT123" s="913"/>
      <c r="BU123" s="913"/>
      <c r="BV123" s="913"/>
      <c r="BW123" s="913"/>
      <c r="BX123" s="913"/>
      <c r="BY123" s="913"/>
      <c r="BZ123" s="913"/>
      <c r="CA123" s="913"/>
      <c r="CB123" s="913"/>
      <c r="CC123" s="913"/>
      <c r="CD123" s="913"/>
      <c r="CE123" s="913"/>
      <c r="CF123" s="913"/>
      <c r="CG123" s="913"/>
      <c r="CH123" s="913"/>
      <c r="CI123" s="913"/>
      <c r="CJ123" s="913"/>
      <c r="CK123" s="913"/>
      <c r="CL123" s="913"/>
      <c r="CM123" s="913"/>
      <c r="CN123" s="913"/>
      <c r="CO123" s="913"/>
      <c r="CP123" s="913"/>
      <c r="CQ123" s="913"/>
      <c r="CR123" s="913"/>
      <c r="CS123" s="913"/>
      <c r="CT123" s="913"/>
      <c r="CU123" s="913"/>
      <c r="CV123" s="913"/>
      <c r="CW123" s="913"/>
      <c r="CX123" s="913"/>
      <c r="CY123" s="913"/>
      <c r="CZ123" s="913"/>
      <c r="DA123" s="913"/>
      <c r="DB123" s="913"/>
      <c r="DC123" s="913"/>
      <c r="DD123" s="913"/>
      <c r="DE123" s="913"/>
      <c r="DF123" s="913"/>
      <c r="DG123" s="913"/>
      <c r="DH123" s="913"/>
      <c r="DI123" s="913"/>
      <c r="DJ123" s="913"/>
      <c r="DK123" s="913"/>
      <c r="DL123" s="913"/>
      <c r="DM123" s="913"/>
      <c r="DN123" s="913"/>
      <c r="DO123" s="913"/>
      <c r="DP123" s="913"/>
      <c r="DQ123" s="913"/>
      <c r="DR123" s="913"/>
      <c r="DS123" s="913"/>
      <c r="DT123" s="913"/>
      <c r="DU123" s="913"/>
      <c r="DV123" s="913"/>
      <c r="DW123" s="913"/>
      <c r="DX123" s="913"/>
      <c r="DY123" s="913"/>
      <c r="DZ123" s="913"/>
      <c r="EA123" s="913"/>
      <c r="EB123" s="913"/>
      <c r="EC123" s="913"/>
      <c r="ED123" s="913"/>
      <c r="EE123" s="913"/>
      <c r="EF123" s="913"/>
      <c r="EG123" s="913"/>
      <c r="EH123" s="913"/>
      <c r="EI123" s="913"/>
      <c r="EJ123" s="923"/>
    </row>
    <row r="124" spans="14:140" x14ac:dyDescent="0.25">
      <c r="N124" s="922"/>
      <c r="O124" s="913"/>
      <c r="P124" s="913"/>
      <c r="Q124" s="913"/>
      <c r="R124" s="913"/>
      <c r="S124" s="913"/>
      <c r="T124" s="913"/>
      <c r="U124" s="913"/>
      <c r="V124" s="913"/>
      <c r="W124" s="913"/>
      <c r="X124" s="913"/>
      <c r="Y124" s="913"/>
      <c r="Z124" s="913"/>
      <c r="AA124" s="913"/>
      <c r="AB124" s="913"/>
      <c r="AC124" s="913"/>
      <c r="AD124" s="913"/>
      <c r="AE124" s="913"/>
      <c r="AF124" s="913"/>
      <c r="AG124" s="913"/>
      <c r="AH124" s="913"/>
      <c r="AI124" s="913"/>
      <c r="AJ124" s="913"/>
      <c r="AK124" s="913"/>
      <c r="AL124" s="913"/>
      <c r="AM124" s="913"/>
      <c r="AN124" s="913"/>
      <c r="AO124" s="913"/>
      <c r="AP124" s="913"/>
      <c r="AQ124" s="913"/>
      <c r="AR124" s="913"/>
      <c r="AS124" s="913"/>
      <c r="AT124" s="913"/>
      <c r="AU124" s="913"/>
      <c r="AV124" s="913"/>
      <c r="AW124" s="913"/>
      <c r="AX124" s="913"/>
      <c r="AY124" s="913"/>
      <c r="AZ124" s="913"/>
      <c r="BA124" s="913"/>
      <c r="BB124" s="913"/>
      <c r="BC124" s="913"/>
      <c r="BD124" s="913"/>
      <c r="BE124" s="913"/>
      <c r="BF124" s="913"/>
      <c r="BG124" s="913"/>
      <c r="BH124" s="913"/>
      <c r="BI124" s="913"/>
      <c r="BJ124" s="913"/>
      <c r="BK124" s="913"/>
      <c r="BL124" s="913"/>
      <c r="BM124" s="913"/>
      <c r="BN124" s="913"/>
      <c r="BO124" s="913"/>
      <c r="BP124" s="913"/>
      <c r="BQ124" s="913"/>
      <c r="BR124" s="913"/>
      <c r="BS124" s="913"/>
      <c r="BT124" s="913"/>
      <c r="BU124" s="913"/>
      <c r="BV124" s="913"/>
      <c r="BW124" s="913"/>
      <c r="BX124" s="913"/>
      <c r="BY124" s="913"/>
      <c r="BZ124" s="913"/>
      <c r="CA124" s="913"/>
      <c r="CB124" s="913"/>
      <c r="CC124" s="913"/>
      <c r="CD124" s="913"/>
      <c r="CE124" s="913"/>
      <c r="CF124" s="913"/>
      <c r="CG124" s="913"/>
      <c r="CH124" s="913"/>
      <c r="CI124" s="913"/>
      <c r="CJ124" s="913"/>
      <c r="CK124" s="913"/>
      <c r="CL124" s="913"/>
      <c r="CM124" s="913"/>
      <c r="CN124" s="913"/>
      <c r="CO124" s="913"/>
      <c r="CP124" s="913"/>
      <c r="CQ124" s="913"/>
      <c r="CR124" s="913"/>
      <c r="CS124" s="913"/>
      <c r="CT124" s="913"/>
      <c r="CU124" s="913"/>
      <c r="CV124" s="913"/>
      <c r="CW124" s="913"/>
      <c r="CX124" s="913"/>
      <c r="CY124" s="913"/>
      <c r="CZ124" s="913"/>
      <c r="DA124" s="913"/>
      <c r="DB124" s="913"/>
      <c r="DC124" s="913"/>
      <c r="DD124" s="913"/>
      <c r="DE124" s="913"/>
      <c r="DF124" s="913"/>
      <c r="DG124" s="913"/>
      <c r="DH124" s="913"/>
      <c r="DI124" s="913"/>
      <c r="DJ124" s="913"/>
      <c r="DK124" s="913"/>
      <c r="DL124" s="913"/>
      <c r="DM124" s="913"/>
      <c r="DN124" s="913"/>
      <c r="DO124" s="913"/>
      <c r="DP124" s="913"/>
      <c r="DQ124" s="913"/>
      <c r="DR124" s="913"/>
      <c r="DS124" s="913"/>
      <c r="DT124" s="913"/>
      <c r="DU124" s="913"/>
      <c r="DV124" s="913"/>
      <c r="DW124" s="913"/>
      <c r="DX124" s="913"/>
      <c r="DY124" s="913"/>
      <c r="DZ124" s="913"/>
      <c r="EA124" s="913"/>
      <c r="EB124" s="913"/>
      <c r="EC124" s="913"/>
      <c r="ED124" s="913"/>
      <c r="EE124" s="913"/>
      <c r="EF124" s="913"/>
      <c r="EG124" s="913"/>
      <c r="EH124" s="913"/>
      <c r="EI124" s="913"/>
      <c r="EJ124" s="923"/>
    </row>
    <row r="125" spans="14:140" x14ac:dyDescent="0.25">
      <c r="N125" s="922"/>
      <c r="O125" s="913"/>
      <c r="P125" s="913"/>
      <c r="Q125" s="913"/>
      <c r="R125" s="913"/>
      <c r="S125" s="913"/>
      <c r="T125" s="913"/>
      <c r="U125" s="913"/>
      <c r="V125" s="913"/>
      <c r="W125" s="913"/>
      <c r="X125" s="913"/>
      <c r="Y125" s="913"/>
      <c r="Z125" s="913"/>
      <c r="AA125" s="913"/>
      <c r="AB125" s="913"/>
      <c r="AC125" s="913"/>
      <c r="AD125" s="913"/>
      <c r="AE125" s="913"/>
      <c r="AF125" s="913"/>
      <c r="AG125" s="913"/>
      <c r="AH125" s="913"/>
      <c r="AI125" s="913"/>
      <c r="AJ125" s="913"/>
      <c r="AK125" s="913"/>
      <c r="AL125" s="913"/>
      <c r="AM125" s="913"/>
      <c r="AN125" s="913"/>
      <c r="AO125" s="913"/>
      <c r="AP125" s="913"/>
      <c r="AQ125" s="913"/>
      <c r="AR125" s="913"/>
      <c r="AS125" s="913"/>
      <c r="AT125" s="913"/>
      <c r="AU125" s="913"/>
      <c r="AV125" s="913"/>
      <c r="AW125" s="913"/>
      <c r="AX125" s="913"/>
      <c r="AY125" s="913"/>
      <c r="AZ125" s="913"/>
      <c r="BA125" s="913"/>
      <c r="BB125" s="913"/>
      <c r="BC125" s="913"/>
      <c r="BD125" s="913"/>
      <c r="BE125" s="913"/>
      <c r="BF125" s="913"/>
      <c r="BG125" s="913"/>
      <c r="BH125" s="913"/>
      <c r="BI125" s="913"/>
      <c r="BJ125" s="913"/>
      <c r="BK125" s="913"/>
      <c r="BL125" s="913"/>
      <c r="BM125" s="913"/>
      <c r="BN125" s="913"/>
      <c r="BO125" s="913"/>
      <c r="BP125" s="913"/>
      <c r="BQ125" s="913"/>
      <c r="BR125" s="913"/>
      <c r="BS125" s="913"/>
      <c r="BT125" s="913"/>
      <c r="BU125" s="913"/>
      <c r="BV125" s="913"/>
      <c r="BW125" s="913"/>
      <c r="BX125" s="913"/>
      <c r="BY125" s="913"/>
      <c r="BZ125" s="913"/>
      <c r="CA125" s="913"/>
      <c r="CB125" s="913"/>
      <c r="CC125" s="913"/>
      <c r="CD125" s="913"/>
      <c r="CE125" s="913"/>
      <c r="CF125" s="913"/>
      <c r="CG125" s="913"/>
      <c r="CH125" s="913"/>
      <c r="CI125" s="913"/>
      <c r="CJ125" s="913"/>
      <c r="CK125" s="913"/>
      <c r="CL125" s="913"/>
      <c r="CM125" s="913"/>
      <c r="CN125" s="913"/>
      <c r="CO125" s="913"/>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c r="DY125" s="913"/>
      <c r="DZ125" s="913"/>
      <c r="EA125" s="913"/>
      <c r="EB125" s="913"/>
      <c r="EC125" s="913"/>
      <c r="ED125" s="913"/>
      <c r="EE125" s="913"/>
      <c r="EF125" s="913"/>
      <c r="EG125" s="913"/>
      <c r="EH125" s="913"/>
      <c r="EI125" s="913"/>
      <c r="EJ125" s="923"/>
    </row>
    <row r="126" spans="14:140" x14ac:dyDescent="0.25">
      <c r="N126" s="922" t="s">
        <v>418</v>
      </c>
      <c r="O126" s="913"/>
      <c r="P126" s="913"/>
      <c r="Q126" s="913"/>
      <c r="R126" s="913"/>
      <c r="S126" s="913"/>
      <c r="T126" s="913"/>
      <c r="U126" s="913"/>
      <c r="V126" s="913"/>
      <c r="W126" s="913"/>
      <c r="X126" s="913"/>
      <c r="Y126" s="913"/>
      <c r="Z126" s="913"/>
      <c r="AA126" s="913"/>
      <c r="AB126" s="913"/>
      <c r="AC126" s="913"/>
      <c r="AD126" s="913"/>
      <c r="AE126" s="913"/>
      <c r="AF126" s="913"/>
      <c r="AG126" s="913"/>
      <c r="AH126" s="913"/>
      <c r="AI126" s="913"/>
      <c r="AJ126" s="913"/>
      <c r="AK126" s="913"/>
      <c r="AL126" s="913"/>
      <c r="AM126" s="913"/>
      <c r="AN126" s="913"/>
      <c r="AO126" s="913"/>
      <c r="AP126" s="913"/>
      <c r="AQ126" s="913"/>
      <c r="AR126" s="913"/>
      <c r="AS126" s="913"/>
      <c r="AT126" s="913"/>
      <c r="AU126" s="913"/>
      <c r="AV126" s="913"/>
      <c r="AW126" s="913"/>
      <c r="AX126" s="913"/>
      <c r="AY126" s="913"/>
      <c r="AZ126" s="913"/>
      <c r="BA126" s="913"/>
      <c r="BB126" s="913"/>
      <c r="BC126" s="913"/>
      <c r="BD126" s="913"/>
      <c r="BE126" s="913"/>
      <c r="BF126" s="913"/>
      <c r="BG126" s="913"/>
      <c r="BH126" s="913"/>
      <c r="BI126" s="913"/>
      <c r="BJ126" s="913"/>
      <c r="BK126" s="913"/>
      <c r="BL126" s="913"/>
      <c r="BM126" s="913"/>
      <c r="BN126" s="913"/>
      <c r="BO126" s="913"/>
      <c r="BP126" s="913"/>
      <c r="BQ126" s="913"/>
      <c r="BR126" s="913"/>
      <c r="BS126" s="913"/>
      <c r="BT126" s="913"/>
      <c r="BU126" s="913"/>
      <c r="BV126" s="913"/>
      <c r="BW126" s="913"/>
      <c r="BX126" s="913"/>
      <c r="BY126" s="913"/>
      <c r="BZ126" s="913"/>
      <c r="CA126" s="913"/>
      <c r="CB126" s="913"/>
      <c r="CC126" s="913"/>
      <c r="CD126" s="913"/>
      <c r="CE126" s="913"/>
      <c r="CF126" s="913"/>
      <c r="CG126" s="913"/>
      <c r="CH126" s="913"/>
      <c r="CI126" s="913"/>
      <c r="CJ126" s="913"/>
      <c r="CK126" s="913"/>
      <c r="CL126" s="913"/>
      <c r="CM126" s="913"/>
      <c r="CN126" s="913"/>
      <c r="CO126" s="913"/>
      <c r="CP126" s="913"/>
      <c r="CQ126" s="913"/>
      <c r="CR126" s="913"/>
      <c r="CS126" s="913"/>
      <c r="CT126" s="913"/>
      <c r="CU126" s="913"/>
      <c r="CV126" s="913"/>
      <c r="CW126" s="913"/>
      <c r="CX126" s="913"/>
      <c r="CY126" s="913"/>
      <c r="CZ126" s="913"/>
      <c r="DA126" s="913"/>
      <c r="DB126" s="913"/>
      <c r="DC126" s="913"/>
      <c r="DD126" s="913"/>
      <c r="DE126" s="913"/>
      <c r="DF126" s="913"/>
      <c r="DG126" s="913"/>
      <c r="DH126" s="913"/>
      <c r="DI126" s="913"/>
      <c r="DJ126" s="913"/>
      <c r="DK126" s="913"/>
      <c r="DL126" s="913"/>
      <c r="DM126" s="913"/>
      <c r="DN126" s="913"/>
      <c r="DO126" s="913"/>
      <c r="DP126" s="913"/>
      <c r="DQ126" s="913"/>
      <c r="DR126" s="913"/>
      <c r="DS126" s="913"/>
      <c r="DT126" s="913"/>
      <c r="DU126" s="913"/>
      <c r="DV126" s="913"/>
      <c r="DW126" s="913"/>
      <c r="DX126" s="913"/>
      <c r="DY126" s="913"/>
      <c r="DZ126" s="913"/>
      <c r="EA126" s="913"/>
      <c r="EB126" s="913"/>
      <c r="EC126" s="913"/>
      <c r="ED126" s="913"/>
      <c r="EE126" s="913"/>
      <c r="EF126" s="913"/>
      <c r="EG126" s="913"/>
      <c r="EH126" s="913"/>
      <c r="EI126" s="913"/>
      <c r="EJ126" s="923"/>
    </row>
    <row r="127" spans="14:140" x14ac:dyDescent="0.25">
      <c r="N127" s="922"/>
      <c r="O127" s="913"/>
      <c r="P127" s="913"/>
      <c r="Q127" s="913"/>
      <c r="R127" s="913"/>
      <c r="S127" s="913"/>
      <c r="T127" s="913"/>
      <c r="U127" s="913"/>
      <c r="V127" s="913"/>
      <c r="W127" s="913"/>
      <c r="X127" s="913"/>
      <c r="Y127" s="913"/>
      <c r="Z127" s="913"/>
      <c r="AA127" s="913"/>
      <c r="AB127" s="913"/>
      <c r="AC127" s="913"/>
      <c r="AD127" s="913"/>
      <c r="AE127" s="913"/>
      <c r="AF127" s="913"/>
      <c r="AG127" s="913"/>
      <c r="AH127" s="913"/>
      <c r="AI127" s="913"/>
      <c r="AJ127" s="913"/>
      <c r="AK127" s="913"/>
      <c r="AL127" s="913"/>
      <c r="AM127" s="913"/>
      <c r="AN127" s="913"/>
      <c r="AO127" s="913"/>
      <c r="AP127" s="913"/>
      <c r="AQ127" s="913"/>
      <c r="AR127" s="913"/>
      <c r="AS127" s="913"/>
      <c r="AT127" s="913"/>
      <c r="AU127" s="913"/>
      <c r="AV127" s="913"/>
      <c r="AW127" s="913"/>
      <c r="AX127" s="913"/>
      <c r="AY127" s="913"/>
      <c r="AZ127" s="913"/>
      <c r="BA127" s="913"/>
      <c r="BB127" s="913"/>
      <c r="BC127" s="913"/>
      <c r="BD127" s="913"/>
      <c r="BE127" s="913"/>
      <c r="BF127" s="913"/>
      <c r="BG127" s="913"/>
      <c r="BH127" s="913"/>
      <c r="BI127" s="913"/>
      <c r="BJ127" s="913"/>
      <c r="BK127" s="913"/>
      <c r="BL127" s="913"/>
      <c r="BM127" s="913"/>
      <c r="BN127" s="913"/>
      <c r="BO127" s="913"/>
      <c r="BP127" s="913"/>
      <c r="BQ127" s="913"/>
      <c r="BR127" s="913"/>
      <c r="BS127" s="913"/>
      <c r="BT127" s="913"/>
      <c r="BU127" s="913"/>
      <c r="BV127" s="913"/>
      <c r="BW127" s="913"/>
      <c r="BX127" s="913"/>
      <c r="BY127" s="913"/>
      <c r="BZ127" s="913"/>
      <c r="CA127" s="913"/>
      <c r="CB127" s="913"/>
      <c r="CC127" s="913"/>
      <c r="CD127" s="913"/>
      <c r="CE127" s="913"/>
      <c r="CF127" s="913"/>
      <c r="CG127" s="913"/>
      <c r="CH127" s="913"/>
      <c r="CI127" s="913"/>
      <c r="CJ127" s="913"/>
      <c r="CK127" s="913"/>
      <c r="CL127" s="913"/>
      <c r="CM127" s="913"/>
      <c r="CN127" s="913"/>
      <c r="CO127" s="913"/>
      <c r="CP127" s="913"/>
      <c r="CQ127" s="913"/>
      <c r="CR127" s="913"/>
      <c r="CS127" s="913"/>
      <c r="CT127" s="913"/>
      <c r="CU127" s="913"/>
      <c r="CV127" s="913"/>
      <c r="CW127" s="913"/>
      <c r="CX127" s="913"/>
      <c r="CY127" s="913"/>
      <c r="CZ127" s="913"/>
      <c r="DA127" s="913"/>
      <c r="DB127" s="913"/>
      <c r="DC127" s="913"/>
      <c r="DD127" s="913"/>
      <c r="DE127" s="913"/>
      <c r="DF127" s="913"/>
      <c r="DG127" s="913"/>
      <c r="DH127" s="913"/>
      <c r="DI127" s="913"/>
      <c r="DJ127" s="913"/>
      <c r="DK127" s="913"/>
      <c r="DL127" s="913"/>
      <c r="DM127" s="913"/>
      <c r="DN127" s="913"/>
      <c r="DO127" s="913"/>
      <c r="DP127" s="913"/>
      <c r="DQ127" s="913"/>
      <c r="DR127" s="913"/>
      <c r="DS127" s="913"/>
      <c r="DT127" s="913"/>
      <c r="DU127" s="913"/>
      <c r="DV127" s="913"/>
      <c r="DW127" s="913"/>
      <c r="DX127" s="913"/>
      <c r="DY127" s="913"/>
      <c r="DZ127" s="913"/>
      <c r="EA127" s="913"/>
      <c r="EB127" s="913"/>
      <c r="EC127" s="913"/>
      <c r="ED127" s="913"/>
      <c r="EE127" s="913"/>
      <c r="EF127" s="913"/>
      <c r="EG127" s="913"/>
      <c r="EH127" s="913"/>
      <c r="EI127" s="913"/>
      <c r="EJ127" s="923"/>
    </row>
    <row r="128" spans="14:140" x14ac:dyDescent="0.25">
      <c r="N128" s="922" t="s">
        <v>419</v>
      </c>
      <c r="O128" s="913">
        <v>12</v>
      </c>
      <c r="P128" s="913">
        <v>24</v>
      </c>
      <c r="Q128" s="913">
        <v>36</v>
      </c>
      <c r="R128" s="913">
        <v>48</v>
      </c>
      <c r="S128" s="913">
        <v>60</v>
      </c>
      <c r="T128" s="913">
        <v>72</v>
      </c>
      <c r="U128" s="913">
        <v>84</v>
      </c>
      <c r="V128" s="913">
        <v>96</v>
      </c>
      <c r="W128" s="913">
        <v>108</v>
      </c>
      <c r="X128" s="913">
        <v>120</v>
      </c>
      <c r="Y128" s="913"/>
      <c r="Z128" s="913"/>
      <c r="AA128" s="913"/>
      <c r="AB128" s="913"/>
      <c r="AC128" s="913"/>
      <c r="AD128" s="913"/>
      <c r="AE128" s="913"/>
      <c r="AF128" s="913"/>
      <c r="AG128" s="913"/>
      <c r="AH128" s="913"/>
      <c r="AI128" s="913"/>
      <c r="AJ128" s="913"/>
      <c r="AK128" s="913"/>
      <c r="AL128" s="913"/>
      <c r="AM128" s="913"/>
      <c r="AN128" s="913"/>
      <c r="AO128" s="913"/>
      <c r="AP128" s="913"/>
      <c r="AQ128" s="913"/>
      <c r="AR128" s="913"/>
      <c r="AS128" s="913"/>
      <c r="AT128" s="913"/>
      <c r="AU128" s="913"/>
      <c r="AV128" s="913"/>
      <c r="AW128" s="913"/>
      <c r="AX128" s="913"/>
      <c r="AY128" s="913"/>
      <c r="AZ128" s="913"/>
      <c r="BA128" s="913"/>
      <c r="BB128" s="913"/>
      <c r="BC128" s="913"/>
      <c r="BD128" s="913"/>
      <c r="BE128" s="913"/>
      <c r="BF128" s="913"/>
      <c r="BG128" s="913"/>
      <c r="BH128" s="913"/>
      <c r="BI128" s="913"/>
      <c r="BJ128" s="913"/>
      <c r="BK128" s="913"/>
      <c r="BL128" s="913"/>
      <c r="BM128" s="913"/>
      <c r="BN128" s="913"/>
      <c r="BO128" s="913"/>
      <c r="BP128" s="913"/>
      <c r="BQ128" s="913"/>
      <c r="BR128" s="913"/>
      <c r="BS128" s="913"/>
      <c r="BT128" s="913"/>
      <c r="BU128" s="913"/>
      <c r="BV128" s="913"/>
      <c r="BW128" s="913"/>
      <c r="BX128" s="913"/>
      <c r="BY128" s="913"/>
      <c r="BZ128" s="913"/>
      <c r="CA128" s="913"/>
      <c r="CB128" s="913"/>
      <c r="CC128" s="913"/>
      <c r="CD128" s="913"/>
      <c r="CE128" s="913"/>
      <c r="CF128" s="913"/>
      <c r="CG128" s="913"/>
      <c r="CH128" s="913"/>
      <c r="CI128" s="913"/>
      <c r="CJ128" s="913"/>
      <c r="CK128" s="913"/>
      <c r="CL128" s="913"/>
      <c r="CM128" s="913"/>
      <c r="CN128" s="913"/>
      <c r="CO128" s="913"/>
      <c r="CP128" s="913"/>
      <c r="CQ128" s="913"/>
      <c r="CR128" s="913"/>
      <c r="CS128" s="913"/>
      <c r="CT128" s="913"/>
      <c r="CU128" s="913"/>
      <c r="CV128" s="913"/>
      <c r="CW128" s="913"/>
      <c r="CX128" s="913"/>
      <c r="CY128" s="913"/>
      <c r="CZ128" s="913"/>
      <c r="DA128" s="913"/>
      <c r="DB128" s="913"/>
      <c r="DC128" s="913"/>
      <c r="DD128" s="913"/>
      <c r="DE128" s="913"/>
      <c r="DF128" s="913"/>
      <c r="DG128" s="913"/>
      <c r="DH128" s="913"/>
      <c r="DI128" s="913"/>
      <c r="DJ128" s="913"/>
      <c r="DK128" s="913"/>
      <c r="DL128" s="913"/>
      <c r="DM128" s="913"/>
      <c r="DN128" s="913"/>
      <c r="DO128" s="913"/>
      <c r="DP128" s="913"/>
      <c r="DQ128" s="913"/>
      <c r="DR128" s="913"/>
      <c r="DS128" s="913"/>
      <c r="DT128" s="913"/>
      <c r="DU128" s="913"/>
      <c r="DV128" s="913"/>
      <c r="DW128" s="913"/>
      <c r="DX128" s="913"/>
      <c r="DY128" s="913"/>
      <c r="DZ128" s="913"/>
      <c r="EA128" s="913"/>
      <c r="EB128" s="913"/>
      <c r="EC128" s="913"/>
      <c r="ED128" s="913"/>
      <c r="EE128" s="913"/>
      <c r="EF128" s="913"/>
      <c r="EG128" s="913"/>
      <c r="EH128" s="913"/>
      <c r="EI128" s="913"/>
      <c r="EJ128" s="923"/>
    </row>
    <row r="129" spans="14:140" x14ac:dyDescent="0.25">
      <c r="N129" s="926" t="s">
        <v>149</v>
      </c>
      <c r="O129" s="913">
        <v>646.69999999999993</v>
      </c>
      <c r="P129" s="913">
        <v>674.13999999999987</v>
      </c>
      <c r="Q129" s="913">
        <v>701.57999999999993</v>
      </c>
      <c r="R129" s="913">
        <v>729.06</v>
      </c>
      <c r="S129" s="913">
        <v>756.49999999999989</v>
      </c>
      <c r="T129" s="913">
        <v>797.95999999999992</v>
      </c>
      <c r="U129" s="913">
        <v>825.39999999999986</v>
      </c>
      <c r="V129" s="913">
        <v>852.92</v>
      </c>
      <c r="W129" s="913">
        <v>880.3599999999999</v>
      </c>
      <c r="X129" s="913">
        <v>907.8</v>
      </c>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13"/>
      <c r="CJ129" s="913"/>
      <c r="CK129" s="913"/>
      <c r="CL129" s="913"/>
      <c r="CM129" s="913"/>
      <c r="CN129" s="913"/>
      <c r="CO129" s="913"/>
      <c r="CP129" s="913"/>
      <c r="CQ129" s="913"/>
      <c r="CR129" s="913"/>
      <c r="CS129" s="913"/>
      <c r="CT129" s="913"/>
      <c r="CU129" s="913"/>
      <c r="CV129" s="913"/>
      <c r="CW129" s="913"/>
      <c r="CX129" s="913"/>
      <c r="CY129" s="913"/>
      <c r="CZ129" s="913"/>
      <c r="DA129" s="913"/>
      <c r="DB129" s="913"/>
      <c r="DC129" s="913"/>
      <c r="DD129" s="913"/>
      <c r="DE129" s="913"/>
      <c r="DF129" s="913"/>
      <c r="DG129" s="913"/>
      <c r="DH129" s="913"/>
      <c r="DI129" s="913"/>
      <c r="DJ129" s="913"/>
      <c r="DK129" s="913"/>
      <c r="DL129" s="913"/>
      <c r="DM129" s="913"/>
      <c r="DN129" s="913"/>
      <c r="DO129" s="913"/>
      <c r="DP129" s="913"/>
      <c r="DQ129" s="913"/>
      <c r="DR129" s="913"/>
      <c r="DS129" s="913"/>
      <c r="DT129" s="913"/>
      <c r="DU129" s="913"/>
      <c r="DV129" s="913"/>
      <c r="DW129" s="913"/>
      <c r="DX129" s="913"/>
      <c r="DY129" s="913"/>
      <c r="DZ129" s="913"/>
      <c r="EA129" s="913"/>
      <c r="EB129" s="913"/>
      <c r="EC129" s="913"/>
      <c r="ED129" s="913"/>
      <c r="EE129" s="913"/>
      <c r="EF129" s="913"/>
      <c r="EG129" s="913"/>
      <c r="EH129" s="913"/>
      <c r="EI129" s="913"/>
      <c r="EJ129" s="923"/>
    </row>
    <row r="130" spans="14:140" x14ac:dyDescent="0.25">
      <c r="N130" s="922" t="s">
        <v>247</v>
      </c>
      <c r="O130" s="913">
        <v>39.2256</v>
      </c>
      <c r="P130" s="913">
        <v>39.2256</v>
      </c>
      <c r="Q130" s="913">
        <v>39.2256</v>
      </c>
      <c r="R130" s="913">
        <v>39.2256</v>
      </c>
      <c r="S130" s="913">
        <v>39.2256</v>
      </c>
      <c r="T130" s="913">
        <v>39.2256</v>
      </c>
      <c r="U130" s="913">
        <v>39.2256</v>
      </c>
      <c r="V130" s="913">
        <v>39.2256</v>
      </c>
      <c r="W130" s="913">
        <v>39.2256</v>
      </c>
      <c r="X130" s="913">
        <v>39.2256</v>
      </c>
      <c r="Y130" s="913"/>
      <c r="Z130" s="913"/>
      <c r="AA130" s="913"/>
      <c r="AB130" s="913"/>
      <c r="AC130" s="913"/>
      <c r="AD130" s="913"/>
      <c r="AE130" s="913"/>
      <c r="AF130" s="913"/>
      <c r="AG130" s="913"/>
      <c r="AH130" s="913"/>
      <c r="AI130" s="913"/>
      <c r="AJ130" s="913"/>
      <c r="AK130" s="913"/>
      <c r="AL130" s="913"/>
      <c r="AM130" s="913"/>
      <c r="AN130" s="913"/>
      <c r="AO130" s="913"/>
      <c r="AP130" s="913"/>
      <c r="AQ130" s="913"/>
      <c r="AR130" s="913"/>
      <c r="AS130" s="913"/>
      <c r="AT130" s="913"/>
      <c r="AU130" s="913"/>
      <c r="AV130" s="913"/>
      <c r="AW130" s="913"/>
      <c r="AX130" s="913"/>
      <c r="AY130" s="913"/>
      <c r="AZ130" s="913"/>
      <c r="BA130" s="913"/>
      <c r="BB130" s="913"/>
      <c r="BC130" s="913"/>
      <c r="BD130" s="913"/>
      <c r="BE130" s="913"/>
      <c r="BF130" s="913"/>
      <c r="BG130" s="913"/>
      <c r="BH130" s="913"/>
      <c r="BI130" s="913"/>
      <c r="BJ130" s="913"/>
      <c r="BK130" s="913"/>
      <c r="BL130" s="913"/>
      <c r="BM130" s="913"/>
      <c r="BN130" s="913"/>
      <c r="BO130" s="913"/>
      <c r="BP130" s="913"/>
      <c r="BQ130" s="913"/>
      <c r="BR130" s="913"/>
      <c r="BS130" s="913"/>
      <c r="BT130" s="913"/>
      <c r="BU130" s="913"/>
      <c r="BV130" s="913"/>
      <c r="BW130" s="913"/>
      <c r="BX130" s="913"/>
      <c r="BY130" s="913"/>
      <c r="BZ130" s="913"/>
      <c r="CA130" s="913"/>
      <c r="CB130" s="913"/>
      <c r="CC130" s="913"/>
      <c r="CD130" s="913"/>
      <c r="CE130" s="913"/>
      <c r="CF130" s="913"/>
      <c r="CG130" s="913"/>
      <c r="CH130" s="913"/>
      <c r="CI130" s="913"/>
      <c r="CJ130" s="913"/>
      <c r="CK130" s="913"/>
      <c r="CL130" s="913"/>
      <c r="CM130" s="913"/>
      <c r="CN130" s="913"/>
      <c r="CO130" s="913"/>
      <c r="CP130" s="913"/>
      <c r="CQ130" s="913"/>
      <c r="CR130" s="913"/>
      <c r="CS130" s="913"/>
      <c r="CT130" s="913"/>
      <c r="CU130" s="913"/>
      <c r="CV130" s="913"/>
      <c r="CW130" s="913"/>
      <c r="CX130" s="913"/>
      <c r="CY130" s="913"/>
      <c r="CZ130" s="913"/>
      <c r="DA130" s="913"/>
      <c r="DB130" s="913"/>
      <c r="DC130" s="913"/>
      <c r="DD130" s="913"/>
      <c r="DE130" s="913"/>
      <c r="DF130" s="913"/>
      <c r="DG130" s="913"/>
      <c r="DH130" s="913"/>
      <c r="DI130" s="913"/>
      <c r="DJ130" s="913"/>
      <c r="DK130" s="913"/>
      <c r="DL130" s="913"/>
      <c r="DM130" s="913"/>
      <c r="DN130" s="913"/>
      <c r="DO130" s="913"/>
      <c r="DP130" s="913"/>
      <c r="DQ130" s="913"/>
      <c r="DR130" s="913"/>
      <c r="DS130" s="913"/>
      <c r="DT130" s="913"/>
      <c r="DU130" s="913"/>
      <c r="DV130" s="913"/>
      <c r="DW130" s="913"/>
      <c r="DX130" s="913"/>
      <c r="DY130" s="913"/>
      <c r="DZ130" s="913"/>
      <c r="EA130" s="913"/>
      <c r="EB130" s="913"/>
      <c r="EC130" s="913"/>
      <c r="ED130" s="913"/>
      <c r="EE130" s="913"/>
      <c r="EF130" s="913"/>
      <c r="EG130" s="913"/>
      <c r="EH130" s="913"/>
      <c r="EI130" s="913"/>
      <c r="EJ130" s="923"/>
    </row>
    <row r="131" spans="14:140" x14ac:dyDescent="0.25">
      <c r="N131" s="926" t="s">
        <v>148</v>
      </c>
      <c r="O131" s="927">
        <v>32.659199999999998</v>
      </c>
      <c r="P131" s="913">
        <v>34.214399999999998</v>
      </c>
      <c r="Q131" s="927">
        <v>35.769599999999997</v>
      </c>
      <c r="R131" s="927">
        <v>37.324799999999996</v>
      </c>
      <c r="S131" s="927">
        <v>38.879999999999995</v>
      </c>
      <c r="T131" s="927">
        <v>40.435200000000002</v>
      </c>
      <c r="U131" s="927">
        <v>41.990400000000001</v>
      </c>
      <c r="V131" s="927">
        <v>43.5456</v>
      </c>
      <c r="W131" s="927">
        <v>45.1008</v>
      </c>
      <c r="X131" s="927">
        <v>46.655999999999999</v>
      </c>
      <c r="Y131" s="913"/>
      <c r="Z131" s="913"/>
      <c r="AA131" s="913"/>
      <c r="AB131" s="913"/>
      <c r="AC131" s="913"/>
      <c r="AD131" s="913"/>
      <c r="AE131" s="913"/>
      <c r="AF131" s="913"/>
      <c r="AG131" s="913"/>
      <c r="AH131" s="913"/>
      <c r="AI131" s="913"/>
      <c r="AJ131" s="913"/>
      <c r="AK131" s="913"/>
      <c r="AL131" s="913"/>
      <c r="AM131" s="913"/>
      <c r="AN131" s="913"/>
      <c r="AO131" s="913"/>
      <c r="AP131" s="913"/>
      <c r="AQ131" s="913"/>
      <c r="AR131" s="913"/>
      <c r="AS131" s="913"/>
      <c r="AT131" s="913"/>
      <c r="AU131" s="913"/>
      <c r="AV131" s="913"/>
      <c r="AW131" s="913"/>
      <c r="AX131" s="913"/>
      <c r="AY131" s="913"/>
      <c r="AZ131" s="913"/>
      <c r="BA131" s="913"/>
      <c r="BB131" s="913"/>
      <c r="BC131" s="913"/>
      <c r="BD131" s="913"/>
      <c r="BE131" s="913"/>
      <c r="BF131" s="913"/>
      <c r="BG131" s="913"/>
      <c r="BH131" s="913"/>
      <c r="BI131" s="913"/>
      <c r="BJ131" s="913"/>
      <c r="BK131" s="913"/>
      <c r="BL131" s="913"/>
      <c r="BM131" s="913"/>
      <c r="BN131" s="913"/>
      <c r="BO131" s="913"/>
      <c r="BP131" s="913"/>
      <c r="BQ131" s="913"/>
      <c r="BR131" s="913"/>
      <c r="BS131" s="913"/>
      <c r="BT131" s="913"/>
      <c r="BU131" s="913"/>
      <c r="BV131" s="913"/>
      <c r="BW131" s="913"/>
      <c r="BX131" s="913"/>
      <c r="BY131" s="913"/>
      <c r="BZ131" s="913"/>
      <c r="CA131" s="913"/>
      <c r="CB131" s="913"/>
      <c r="CC131" s="913"/>
      <c r="CD131" s="913"/>
      <c r="CE131" s="913"/>
      <c r="CF131" s="913"/>
      <c r="CG131" s="913"/>
      <c r="CH131" s="913"/>
      <c r="CI131" s="913"/>
      <c r="CJ131" s="913"/>
      <c r="CK131" s="913"/>
      <c r="CL131" s="913"/>
      <c r="CM131" s="913"/>
      <c r="CN131" s="913"/>
      <c r="CO131" s="913"/>
      <c r="CP131" s="913"/>
      <c r="CQ131" s="913"/>
      <c r="CR131" s="913"/>
      <c r="CS131" s="913"/>
      <c r="CT131" s="913"/>
      <c r="CU131" s="913"/>
      <c r="CV131" s="913"/>
      <c r="CW131" s="913"/>
      <c r="CX131" s="913"/>
      <c r="CY131" s="913"/>
      <c r="CZ131" s="913"/>
      <c r="DA131" s="913"/>
      <c r="DB131" s="913"/>
      <c r="DC131" s="913"/>
      <c r="DD131" s="913"/>
      <c r="DE131" s="913"/>
      <c r="DF131" s="913"/>
      <c r="DG131" s="913"/>
      <c r="DH131" s="913"/>
      <c r="DI131" s="913"/>
      <c r="DJ131" s="913"/>
      <c r="DK131" s="913"/>
      <c r="DL131" s="913"/>
      <c r="DM131" s="913"/>
      <c r="DN131" s="913"/>
      <c r="DO131" s="913"/>
      <c r="DP131" s="913"/>
      <c r="DQ131" s="913"/>
      <c r="DR131" s="913"/>
      <c r="DS131" s="913"/>
      <c r="DT131" s="913"/>
      <c r="DU131" s="913"/>
      <c r="DV131" s="913"/>
      <c r="DW131" s="913"/>
      <c r="DX131" s="913"/>
      <c r="DY131" s="913"/>
      <c r="DZ131" s="913"/>
      <c r="EA131" s="913"/>
      <c r="EB131" s="913"/>
      <c r="EC131" s="913"/>
      <c r="ED131" s="913"/>
      <c r="EE131" s="913"/>
      <c r="EF131" s="913"/>
      <c r="EG131" s="913"/>
      <c r="EH131" s="913"/>
      <c r="EI131" s="913"/>
      <c r="EJ131" s="923"/>
    </row>
    <row r="132" spans="14:140" x14ac:dyDescent="0.25">
      <c r="N132" s="922" t="s">
        <v>248</v>
      </c>
      <c r="O132" s="913">
        <v>10</v>
      </c>
      <c r="P132" s="913">
        <v>10</v>
      </c>
      <c r="Q132" s="913">
        <v>10</v>
      </c>
      <c r="R132" s="913">
        <v>10</v>
      </c>
      <c r="S132" s="913">
        <v>10</v>
      </c>
      <c r="T132" s="913">
        <v>12</v>
      </c>
      <c r="U132" s="913">
        <v>12</v>
      </c>
      <c r="V132" s="913">
        <v>12</v>
      </c>
      <c r="W132" s="913">
        <v>12</v>
      </c>
      <c r="X132" s="913">
        <v>12</v>
      </c>
      <c r="Y132" s="913"/>
      <c r="Z132" s="913"/>
      <c r="AA132" s="913"/>
      <c r="AB132" s="913"/>
      <c r="AC132" s="913"/>
      <c r="AD132" s="913"/>
      <c r="AE132" s="913"/>
      <c r="AF132" s="913"/>
      <c r="AG132" s="913"/>
      <c r="AH132" s="913"/>
      <c r="AI132" s="913"/>
      <c r="AJ132" s="913"/>
      <c r="AK132" s="913"/>
      <c r="AL132" s="913"/>
      <c r="AM132" s="913"/>
      <c r="AN132" s="913"/>
      <c r="AO132" s="913"/>
      <c r="AP132" s="913"/>
      <c r="AQ132" s="913"/>
      <c r="AR132" s="913"/>
      <c r="AS132" s="913"/>
      <c r="AT132" s="913"/>
      <c r="AU132" s="913"/>
      <c r="AV132" s="913"/>
      <c r="AW132" s="913"/>
      <c r="AX132" s="913"/>
      <c r="AY132" s="913"/>
      <c r="AZ132" s="913"/>
      <c r="BA132" s="913"/>
      <c r="BB132" s="913"/>
      <c r="BC132" s="913"/>
      <c r="BD132" s="913"/>
      <c r="BE132" s="913"/>
      <c r="BF132" s="913"/>
      <c r="BG132" s="913"/>
      <c r="BH132" s="913"/>
      <c r="BI132" s="913"/>
      <c r="BJ132" s="913"/>
      <c r="BK132" s="913"/>
      <c r="BL132" s="913"/>
      <c r="BM132" s="913"/>
      <c r="BN132" s="913"/>
      <c r="BO132" s="913"/>
      <c r="BP132" s="913"/>
      <c r="BQ132" s="913"/>
      <c r="BR132" s="913"/>
      <c r="BS132" s="913"/>
      <c r="BT132" s="913"/>
      <c r="BU132" s="913"/>
      <c r="BV132" s="913"/>
      <c r="BW132" s="913"/>
      <c r="BX132" s="913"/>
      <c r="BY132" s="913"/>
      <c r="BZ132" s="913"/>
      <c r="CA132" s="913"/>
      <c r="CB132" s="913"/>
      <c r="CC132" s="913"/>
      <c r="CD132" s="913"/>
      <c r="CE132" s="913"/>
      <c r="CF132" s="913"/>
      <c r="CG132" s="913"/>
      <c r="CH132" s="913"/>
      <c r="CI132" s="913"/>
      <c r="CJ132" s="913"/>
      <c r="CK132" s="913"/>
      <c r="CL132" s="913"/>
      <c r="CM132" s="913"/>
      <c r="CN132" s="913"/>
      <c r="CO132" s="913"/>
      <c r="CP132" s="913"/>
      <c r="CQ132" s="913"/>
      <c r="CR132" s="913"/>
      <c r="CS132" s="913"/>
      <c r="CT132" s="913"/>
      <c r="CU132" s="913"/>
      <c r="CV132" s="913"/>
      <c r="CW132" s="913"/>
      <c r="CX132" s="913"/>
      <c r="CY132" s="913"/>
      <c r="CZ132" s="913"/>
      <c r="DA132" s="913"/>
      <c r="DB132" s="913"/>
      <c r="DC132" s="913"/>
      <c r="DD132" s="913"/>
      <c r="DE132" s="913"/>
      <c r="DF132" s="913"/>
      <c r="DG132" s="913"/>
      <c r="DH132" s="913"/>
      <c r="DI132" s="913"/>
      <c r="DJ132" s="913"/>
      <c r="DK132" s="913"/>
      <c r="DL132" s="913"/>
      <c r="DM132" s="913"/>
      <c r="DN132" s="913"/>
      <c r="DO132" s="913"/>
      <c r="DP132" s="913"/>
      <c r="DQ132" s="913"/>
      <c r="DR132" s="913"/>
      <c r="DS132" s="913"/>
      <c r="DT132" s="913"/>
      <c r="DU132" s="913"/>
      <c r="DV132" s="913"/>
      <c r="DW132" s="913"/>
      <c r="DX132" s="913"/>
      <c r="DY132" s="913"/>
      <c r="DZ132" s="913"/>
      <c r="EA132" s="913"/>
      <c r="EB132" s="913"/>
      <c r="EC132" s="913"/>
      <c r="ED132" s="913"/>
      <c r="EE132" s="913"/>
      <c r="EF132" s="913"/>
      <c r="EG132" s="913"/>
      <c r="EH132" s="913"/>
      <c r="EI132" s="913"/>
      <c r="EJ132" s="923"/>
    </row>
    <row r="133" spans="14:140" x14ac:dyDescent="0.25">
      <c r="N133" s="922" t="s">
        <v>245</v>
      </c>
      <c r="O133" s="913">
        <v>46.979999999999983</v>
      </c>
      <c r="P133" s="913">
        <v>46.979999999999983</v>
      </c>
      <c r="Q133" s="913">
        <v>46.979999999999983</v>
      </c>
      <c r="R133" s="913">
        <v>46.979999999999983</v>
      </c>
      <c r="S133" s="913">
        <v>46.979999999999983</v>
      </c>
      <c r="T133" s="913">
        <v>46.979999999999983</v>
      </c>
      <c r="U133" s="913">
        <v>46.979999999999983</v>
      </c>
      <c r="V133" s="913">
        <v>46.979999999999983</v>
      </c>
      <c r="W133" s="913">
        <v>46.979999999999983</v>
      </c>
      <c r="X133" s="913">
        <v>46.979999999999983</v>
      </c>
      <c r="Y133" s="913"/>
      <c r="Z133" s="913"/>
      <c r="AA133" s="913"/>
      <c r="AB133" s="913"/>
      <c r="AC133" s="913"/>
      <c r="AD133" s="913"/>
      <c r="AE133" s="913"/>
      <c r="AF133" s="913"/>
      <c r="AG133" s="913"/>
      <c r="AH133" s="913"/>
      <c r="AI133" s="913"/>
      <c r="AJ133" s="913"/>
      <c r="AK133" s="913"/>
      <c r="AL133" s="913"/>
      <c r="AM133" s="913"/>
      <c r="AN133" s="913"/>
      <c r="AO133" s="913"/>
      <c r="AP133" s="913"/>
      <c r="AQ133" s="913"/>
      <c r="AR133" s="913"/>
      <c r="AS133" s="913"/>
      <c r="AT133" s="913"/>
      <c r="AU133" s="913"/>
      <c r="AV133" s="913"/>
      <c r="AW133" s="913"/>
      <c r="AX133" s="913"/>
      <c r="AY133" s="913"/>
      <c r="AZ133" s="913"/>
      <c r="BA133" s="913"/>
      <c r="BB133" s="913"/>
      <c r="BC133" s="913"/>
      <c r="BD133" s="913"/>
      <c r="BE133" s="913"/>
      <c r="BF133" s="913"/>
      <c r="BG133" s="913"/>
      <c r="BH133" s="913"/>
      <c r="BI133" s="913"/>
      <c r="BJ133" s="913"/>
      <c r="BK133" s="913"/>
      <c r="BL133" s="913"/>
      <c r="BM133" s="913"/>
      <c r="BN133" s="913"/>
      <c r="BO133" s="913"/>
      <c r="BP133" s="913"/>
      <c r="BQ133" s="913"/>
      <c r="BR133" s="913"/>
      <c r="BS133" s="913"/>
      <c r="BT133" s="913"/>
      <c r="BU133" s="913"/>
      <c r="BV133" s="913"/>
      <c r="BW133" s="913"/>
      <c r="BX133" s="913"/>
      <c r="BY133" s="913"/>
      <c r="BZ133" s="913"/>
      <c r="CA133" s="913"/>
      <c r="CB133" s="913"/>
      <c r="CC133" s="913"/>
      <c r="CD133" s="913"/>
      <c r="CE133" s="913"/>
      <c r="CF133" s="913"/>
      <c r="CG133" s="913"/>
      <c r="CH133" s="913"/>
      <c r="CI133" s="913"/>
      <c r="CJ133" s="913"/>
      <c r="CK133" s="913"/>
      <c r="CL133" s="913"/>
      <c r="CM133" s="913"/>
      <c r="CN133" s="913"/>
      <c r="CO133" s="913"/>
      <c r="CP133" s="913"/>
      <c r="CQ133" s="913"/>
      <c r="CR133" s="913"/>
      <c r="CS133" s="913"/>
      <c r="CT133" s="913"/>
      <c r="CU133" s="913"/>
      <c r="CV133" s="913"/>
      <c r="CW133" s="913"/>
      <c r="CX133" s="913"/>
      <c r="CY133" s="913"/>
      <c r="CZ133" s="913"/>
      <c r="DA133" s="913"/>
      <c r="DB133" s="913"/>
      <c r="DC133" s="913"/>
      <c r="DD133" s="913"/>
      <c r="DE133" s="913"/>
      <c r="DF133" s="913"/>
      <c r="DG133" s="913"/>
      <c r="DH133" s="913"/>
      <c r="DI133" s="913"/>
      <c r="DJ133" s="913"/>
      <c r="DK133" s="913"/>
      <c r="DL133" s="913"/>
      <c r="DM133" s="913"/>
      <c r="DN133" s="913"/>
      <c r="DO133" s="913"/>
      <c r="DP133" s="913"/>
      <c r="DQ133" s="913"/>
      <c r="DR133" s="913"/>
      <c r="DS133" s="913"/>
      <c r="DT133" s="913"/>
      <c r="DU133" s="913"/>
      <c r="DV133" s="913"/>
      <c r="DW133" s="913"/>
      <c r="DX133" s="913"/>
      <c r="DY133" s="913"/>
      <c r="DZ133" s="913"/>
      <c r="EA133" s="913"/>
      <c r="EB133" s="913"/>
      <c r="EC133" s="913"/>
      <c r="ED133" s="913"/>
      <c r="EE133" s="913"/>
      <c r="EF133" s="913"/>
      <c r="EG133" s="913"/>
      <c r="EH133" s="913"/>
      <c r="EI133" s="913"/>
      <c r="EJ133" s="923"/>
    </row>
    <row r="134" spans="14:140" x14ac:dyDescent="0.25">
      <c r="N134" s="922" t="s">
        <v>246</v>
      </c>
      <c r="O134" s="913">
        <v>1.7460000000000002</v>
      </c>
      <c r="P134" s="913">
        <v>3.4920000000000004</v>
      </c>
      <c r="Q134" s="913">
        <v>5.2379999999999995</v>
      </c>
      <c r="R134" s="913">
        <v>6.9840000000000009</v>
      </c>
      <c r="S134" s="913">
        <v>8.73</v>
      </c>
      <c r="T134" s="913">
        <v>10.475999999999999</v>
      </c>
      <c r="U134" s="913">
        <v>12.222</v>
      </c>
      <c r="V134" s="913">
        <v>13.968000000000002</v>
      </c>
      <c r="W134" s="913">
        <v>15.714000000000002</v>
      </c>
      <c r="X134" s="913">
        <v>17.46</v>
      </c>
      <c r="Y134" s="913"/>
      <c r="Z134" s="913"/>
      <c r="AA134" s="913"/>
      <c r="AB134" s="913"/>
      <c r="AC134" s="913"/>
      <c r="AD134" s="913"/>
      <c r="AE134" s="913"/>
      <c r="AF134" s="913"/>
      <c r="AG134" s="913"/>
      <c r="AH134" s="913"/>
      <c r="AI134" s="913"/>
      <c r="AJ134" s="913"/>
      <c r="AK134" s="913"/>
      <c r="AL134" s="913"/>
      <c r="AM134" s="913"/>
      <c r="AN134" s="913"/>
      <c r="AO134" s="913"/>
      <c r="AP134" s="913"/>
      <c r="AQ134" s="913"/>
      <c r="AR134" s="913"/>
      <c r="AS134" s="913"/>
      <c r="AT134" s="913"/>
      <c r="AU134" s="913"/>
      <c r="AV134" s="913"/>
      <c r="AW134" s="913"/>
      <c r="AX134" s="913"/>
      <c r="AY134" s="913"/>
      <c r="AZ134" s="913"/>
      <c r="BA134" s="913"/>
      <c r="BB134" s="913"/>
      <c r="BC134" s="913"/>
      <c r="BD134" s="913"/>
      <c r="BE134" s="913"/>
      <c r="BF134" s="913"/>
      <c r="BG134" s="913"/>
      <c r="BH134" s="913"/>
      <c r="BI134" s="913"/>
      <c r="BJ134" s="913"/>
      <c r="BK134" s="913"/>
      <c r="BL134" s="913"/>
      <c r="BM134" s="913"/>
      <c r="BN134" s="913"/>
      <c r="BO134" s="913"/>
      <c r="BP134" s="913"/>
      <c r="BQ134" s="913"/>
      <c r="BR134" s="913"/>
      <c r="BS134" s="913"/>
      <c r="BT134" s="913"/>
      <c r="BU134" s="913"/>
      <c r="BV134" s="913"/>
      <c r="BW134" s="913"/>
      <c r="BX134" s="913"/>
      <c r="BY134" s="913"/>
      <c r="BZ134" s="913"/>
      <c r="CA134" s="913"/>
      <c r="CB134" s="913"/>
      <c r="CC134" s="913"/>
      <c r="CD134" s="913"/>
      <c r="CE134" s="913"/>
      <c r="CF134" s="913"/>
      <c r="CG134" s="913"/>
      <c r="CH134" s="913"/>
      <c r="CI134" s="913"/>
      <c r="CJ134" s="913"/>
      <c r="CK134" s="913"/>
      <c r="CL134" s="913"/>
      <c r="CM134" s="913"/>
      <c r="CN134" s="913"/>
      <c r="CO134" s="913"/>
      <c r="CP134" s="913"/>
      <c r="CQ134" s="913"/>
      <c r="CR134" s="913"/>
      <c r="CS134" s="913"/>
      <c r="CT134" s="913"/>
      <c r="CU134" s="913"/>
      <c r="CV134" s="913"/>
      <c r="CW134" s="913"/>
      <c r="CX134" s="913"/>
      <c r="CY134" s="913"/>
      <c r="CZ134" s="913"/>
      <c r="DA134" s="913"/>
      <c r="DB134" s="913"/>
      <c r="DC134" s="913"/>
      <c r="DD134" s="913"/>
      <c r="DE134" s="913"/>
      <c r="DF134" s="913"/>
      <c r="DG134" s="913"/>
      <c r="DH134" s="913"/>
      <c r="DI134" s="913"/>
      <c r="DJ134" s="913"/>
      <c r="DK134" s="913"/>
      <c r="DL134" s="913"/>
      <c r="DM134" s="913"/>
      <c r="DN134" s="913"/>
      <c r="DO134" s="913"/>
      <c r="DP134" s="913"/>
      <c r="DQ134" s="913"/>
      <c r="DR134" s="913"/>
      <c r="DS134" s="913"/>
      <c r="DT134" s="913"/>
      <c r="DU134" s="913"/>
      <c r="DV134" s="913"/>
      <c r="DW134" s="913"/>
      <c r="DX134" s="913"/>
      <c r="DY134" s="913"/>
      <c r="DZ134" s="913"/>
      <c r="EA134" s="913"/>
      <c r="EB134" s="913"/>
      <c r="EC134" s="913"/>
      <c r="ED134" s="913"/>
      <c r="EE134" s="913"/>
      <c r="EF134" s="913"/>
      <c r="EG134" s="913"/>
      <c r="EH134" s="913"/>
      <c r="EI134" s="913"/>
      <c r="EJ134" s="923"/>
    </row>
    <row r="135" spans="14:140" x14ac:dyDescent="0.25">
      <c r="N135" s="922" t="s">
        <v>249</v>
      </c>
      <c r="O135" s="913">
        <v>45.832699999999996</v>
      </c>
      <c r="P135" s="913">
        <v>84.13669999999999</v>
      </c>
      <c r="Q135" s="913">
        <v>122.44069999999999</v>
      </c>
      <c r="R135" s="913">
        <v>160.74469999999997</v>
      </c>
      <c r="S135" s="913">
        <v>199.04869999999997</v>
      </c>
      <c r="T135" s="913">
        <v>237.35269999999997</v>
      </c>
      <c r="U135" s="913">
        <v>275.6567</v>
      </c>
      <c r="V135" s="913">
        <v>313.96069999999997</v>
      </c>
      <c r="W135" s="913">
        <v>419.31600000000003</v>
      </c>
      <c r="X135" s="913">
        <v>462.22800000000001</v>
      </c>
      <c r="Y135" s="913"/>
      <c r="Z135" s="913"/>
      <c r="AA135" s="913"/>
      <c r="AB135" s="913"/>
      <c r="AC135" s="913"/>
      <c r="AD135" s="913"/>
      <c r="AE135" s="913"/>
      <c r="AF135" s="913"/>
      <c r="AG135" s="913"/>
      <c r="AH135" s="913"/>
      <c r="AI135" s="913"/>
      <c r="AJ135" s="913"/>
      <c r="AK135" s="913"/>
      <c r="AL135" s="913"/>
      <c r="AM135" s="913"/>
      <c r="AN135" s="913"/>
      <c r="AO135" s="913"/>
      <c r="AP135" s="913"/>
      <c r="AQ135" s="913"/>
      <c r="AR135" s="913"/>
      <c r="AS135" s="913"/>
      <c r="AT135" s="913"/>
      <c r="AU135" s="913"/>
      <c r="AV135" s="913"/>
      <c r="AW135" s="913"/>
      <c r="AX135" s="913"/>
      <c r="AY135" s="913"/>
      <c r="AZ135" s="913"/>
      <c r="BA135" s="913"/>
      <c r="BB135" s="913"/>
      <c r="BC135" s="913"/>
      <c r="BD135" s="913"/>
      <c r="BE135" s="913"/>
      <c r="BF135" s="913"/>
      <c r="BG135" s="913"/>
      <c r="BH135" s="913"/>
      <c r="BI135" s="913"/>
      <c r="BJ135" s="913"/>
      <c r="BK135" s="913"/>
      <c r="BL135" s="913"/>
      <c r="BM135" s="913"/>
      <c r="BN135" s="913"/>
      <c r="BO135" s="913"/>
      <c r="BP135" s="913"/>
      <c r="BQ135" s="913"/>
      <c r="BR135" s="913"/>
      <c r="BS135" s="913"/>
      <c r="BT135" s="913"/>
      <c r="BU135" s="913"/>
      <c r="BV135" s="913"/>
      <c r="BW135" s="913"/>
      <c r="BX135" s="913"/>
      <c r="BY135" s="913"/>
      <c r="BZ135" s="913"/>
      <c r="CA135" s="913"/>
      <c r="CB135" s="913"/>
      <c r="CC135" s="913"/>
      <c r="CD135" s="913"/>
      <c r="CE135" s="913"/>
      <c r="CF135" s="913"/>
      <c r="CG135" s="913"/>
      <c r="CH135" s="913"/>
      <c r="CI135" s="913"/>
      <c r="CJ135" s="913"/>
      <c r="CK135" s="913"/>
      <c r="CL135" s="913"/>
      <c r="CM135" s="913"/>
      <c r="CN135" s="913"/>
      <c r="CO135" s="913"/>
      <c r="CP135" s="913"/>
      <c r="CQ135" s="913"/>
      <c r="CR135" s="913"/>
      <c r="CS135" s="913"/>
      <c r="CT135" s="913"/>
      <c r="CU135" s="913"/>
      <c r="CV135" s="913"/>
      <c r="CW135" s="913"/>
      <c r="CX135" s="913"/>
      <c r="CY135" s="913"/>
      <c r="CZ135" s="913"/>
      <c r="DA135" s="913"/>
      <c r="DB135" s="913"/>
      <c r="DC135" s="913"/>
      <c r="DD135" s="913"/>
      <c r="DE135" s="913"/>
      <c r="DF135" s="913"/>
      <c r="DG135" s="913"/>
      <c r="DH135" s="913"/>
      <c r="DI135" s="913"/>
      <c r="DJ135" s="913"/>
      <c r="DK135" s="913"/>
      <c r="DL135" s="913"/>
      <c r="DM135" s="913"/>
      <c r="DN135" s="913"/>
      <c r="DO135" s="913"/>
      <c r="DP135" s="913"/>
      <c r="DQ135" s="913"/>
      <c r="DR135" s="913"/>
      <c r="DS135" s="913"/>
      <c r="DT135" s="913"/>
      <c r="DU135" s="913"/>
      <c r="DV135" s="913"/>
      <c r="DW135" s="913"/>
      <c r="DX135" s="913"/>
      <c r="DY135" s="913"/>
      <c r="DZ135" s="913"/>
      <c r="EA135" s="913"/>
      <c r="EB135" s="913"/>
      <c r="EC135" s="913"/>
      <c r="ED135" s="913"/>
      <c r="EE135" s="913"/>
      <c r="EF135" s="913"/>
      <c r="EG135" s="913"/>
      <c r="EH135" s="913"/>
      <c r="EI135" s="913"/>
      <c r="EJ135" s="923"/>
    </row>
    <row r="136" spans="14:140" x14ac:dyDescent="0.25">
      <c r="N136" s="922"/>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3"/>
      <c r="AL136" s="913"/>
      <c r="AM136" s="913"/>
      <c r="AN136" s="913"/>
      <c r="AO136" s="913"/>
      <c r="AP136" s="913"/>
      <c r="AQ136" s="913"/>
      <c r="AR136" s="913"/>
      <c r="AS136" s="913"/>
      <c r="AT136" s="913"/>
      <c r="AU136" s="913"/>
      <c r="AV136" s="913"/>
      <c r="AW136" s="913"/>
      <c r="AX136" s="913"/>
      <c r="AY136" s="913"/>
      <c r="AZ136" s="913"/>
      <c r="BA136" s="913"/>
      <c r="BB136" s="913"/>
      <c r="BC136" s="913"/>
      <c r="BD136" s="913"/>
      <c r="BE136" s="913"/>
      <c r="BF136" s="913"/>
      <c r="BG136" s="913"/>
      <c r="BH136" s="913"/>
      <c r="BI136" s="913"/>
      <c r="BJ136" s="913"/>
      <c r="BK136" s="913"/>
      <c r="BL136" s="913"/>
      <c r="BM136" s="913"/>
      <c r="BN136" s="913"/>
      <c r="BO136" s="913"/>
      <c r="BP136" s="913"/>
      <c r="BQ136" s="913"/>
      <c r="BR136" s="913"/>
      <c r="BS136" s="913"/>
      <c r="BT136" s="913"/>
      <c r="BU136" s="913"/>
      <c r="BV136" s="913"/>
      <c r="BW136" s="913"/>
      <c r="BX136" s="913"/>
      <c r="BY136" s="913"/>
      <c r="BZ136" s="913"/>
      <c r="CA136" s="913"/>
      <c r="CB136" s="913"/>
      <c r="CC136" s="913"/>
      <c r="CD136" s="913"/>
      <c r="CE136" s="913"/>
      <c r="CF136" s="913"/>
      <c r="CG136" s="913"/>
      <c r="CH136" s="913"/>
      <c r="CI136" s="913"/>
      <c r="CJ136" s="913"/>
      <c r="CK136" s="913"/>
      <c r="CL136" s="913"/>
      <c r="CM136" s="913"/>
      <c r="CN136" s="913"/>
      <c r="CO136" s="913"/>
      <c r="CP136" s="913"/>
      <c r="CQ136" s="913"/>
      <c r="CR136" s="913"/>
      <c r="CS136" s="913"/>
      <c r="CT136" s="913"/>
      <c r="CU136" s="913"/>
      <c r="CV136" s="913"/>
      <c r="CW136" s="913"/>
      <c r="CX136" s="913"/>
      <c r="CY136" s="913"/>
      <c r="CZ136" s="913"/>
      <c r="DA136" s="913"/>
      <c r="DB136" s="913"/>
      <c r="DC136" s="913"/>
      <c r="DD136" s="913"/>
      <c r="DE136" s="913"/>
      <c r="DF136" s="913"/>
      <c r="DG136" s="913"/>
      <c r="DH136" s="913"/>
      <c r="DI136" s="913"/>
      <c r="DJ136" s="913"/>
      <c r="DK136" s="913"/>
      <c r="DL136" s="913"/>
      <c r="DM136" s="913"/>
      <c r="DN136" s="913"/>
      <c r="DO136" s="913"/>
      <c r="DP136" s="913"/>
      <c r="DQ136" s="913"/>
      <c r="DR136" s="913"/>
      <c r="DS136" s="913"/>
      <c r="DT136" s="913"/>
      <c r="DU136" s="913"/>
      <c r="DV136" s="913"/>
      <c r="DW136" s="913"/>
      <c r="DX136" s="913"/>
      <c r="DY136" s="913"/>
      <c r="DZ136" s="913"/>
      <c r="EA136" s="913"/>
      <c r="EB136" s="913"/>
      <c r="EC136" s="913"/>
      <c r="ED136" s="913"/>
      <c r="EE136" s="913"/>
      <c r="EF136" s="913"/>
      <c r="EG136" s="913"/>
      <c r="EH136" s="913"/>
      <c r="EI136" s="913"/>
      <c r="EJ136" s="923"/>
    </row>
    <row r="137" spans="14:140" x14ac:dyDescent="0.25">
      <c r="N137" s="922" t="s">
        <v>77</v>
      </c>
      <c r="O137" s="913">
        <v>814.58989999999994</v>
      </c>
      <c r="P137" s="913">
        <v>883.63509999999985</v>
      </c>
      <c r="Q137" s="913">
        <v>952.68029999999987</v>
      </c>
      <c r="R137" s="913">
        <v>1021.7655</v>
      </c>
      <c r="S137" s="913">
        <v>1090.8107</v>
      </c>
      <c r="T137" s="913">
        <v>1175.8759</v>
      </c>
      <c r="U137" s="913">
        <v>1244.9211</v>
      </c>
      <c r="V137" s="913">
        <v>1314.0463</v>
      </c>
      <c r="W137" s="913">
        <v>1450.1428000000001</v>
      </c>
      <c r="X137" s="913">
        <v>1523.796</v>
      </c>
      <c r="Y137" s="913"/>
      <c r="Z137" s="913"/>
      <c r="AA137" s="913"/>
      <c r="AB137" s="913"/>
      <c r="AC137" s="913"/>
      <c r="AD137" s="913"/>
      <c r="AE137" s="913"/>
      <c r="AF137" s="913"/>
      <c r="AG137" s="913"/>
      <c r="AH137" s="913"/>
      <c r="AI137" s="913"/>
      <c r="AJ137" s="913"/>
      <c r="AK137" s="913"/>
      <c r="AL137" s="913"/>
      <c r="AM137" s="913"/>
      <c r="AN137" s="913"/>
      <c r="AO137" s="913"/>
      <c r="AP137" s="913"/>
      <c r="AQ137" s="913"/>
      <c r="AR137" s="913"/>
      <c r="AS137" s="913"/>
      <c r="AT137" s="913"/>
      <c r="AU137" s="913"/>
      <c r="AV137" s="913"/>
      <c r="AW137" s="913"/>
      <c r="AX137" s="913"/>
      <c r="AY137" s="913"/>
      <c r="AZ137" s="913"/>
      <c r="BA137" s="913"/>
      <c r="BB137" s="913"/>
      <c r="BC137" s="913"/>
      <c r="BD137" s="913"/>
      <c r="BE137" s="913"/>
      <c r="BF137" s="913"/>
      <c r="BG137" s="913"/>
      <c r="BH137" s="913"/>
      <c r="BI137" s="913"/>
      <c r="BJ137" s="913"/>
      <c r="BK137" s="913"/>
      <c r="BL137" s="913"/>
      <c r="BM137" s="913"/>
      <c r="BN137" s="913"/>
      <c r="BO137" s="913"/>
      <c r="BP137" s="913"/>
      <c r="BQ137" s="913"/>
      <c r="BR137" s="913"/>
      <c r="BS137" s="913"/>
      <c r="BT137" s="913"/>
      <c r="BU137" s="913"/>
      <c r="BV137" s="913"/>
      <c r="BW137" s="913"/>
      <c r="BX137" s="913"/>
      <c r="BY137" s="913"/>
      <c r="BZ137" s="913"/>
      <c r="CA137" s="913"/>
      <c r="CB137" s="913"/>
      <c r="CC137" s="913"/>
      <c r="CD137" s="913"/>
      <c r="CE137" s="913"/>
      <c r="CF137" s="913"/>
      <c r="CG137" s="913"/>
      <c r="CH137" s="913"/>
      <c r="CI137" s="913"/>
      <c r="CJ137" s="913"/>
      <c r="CK137" s="913"/>
      <c r="CL137" s="913"/>
      <c r="CM137" s="913"/>
      <c r="CN137" s="913"/>
      <c r="CO137" s="913"/>
      <c r="CP137" s="913"/>
      <c r="CQ137" s="913"/>
      <c r="CR137" s="913"/>
      <c r="CS137" s="913"/>
      <c r="CT137" s="913"/>
      <c r="CU137" s="913"/>
      <c r="CV137" s="913"/>
      <c r="CW137" s="913"/>
      <c r="CX137" s="913"/>
      <c r="CY137" s="913"/>
      <c r="CZ137" s="913"/>
      <c r="DA137" s="913"/>
      <c r="DB137" s="913"/>
      <c r="DC137" s="913"/>
      <c r="DD137" s="913"/>
      <c r="DE137" s="913"/>
      <c r="DF137" s="913"/>
      <c r="DG137" s="913"/>
      <c r="DH137" s="913"/>
      <c r="DI137" s="913"/>
      <c r="DJ137" s="913"/>
      <c r="DK137" s="913"/>
      <c r="DL137" s="913"/>
      <c r="DM137" s="913"/>
      <c r="DN137" s="913"/>
      <c r="DO137" s="913"/>
      <c r="DP137" s="913"/>
      <c r="DQ137" s="913"/>
      <c r="DR137" s="913"/>
      <c r="DS137" s="913"/>
      <c r="DT137" s="913"/>
      <c r="DU137" s="913"/>
      <c r="DV137" s="913"/>
      <c r="DW137" s="913"/>
      <c r="DX137" s="913"/>
      <c r="DY137" s="913"/>
      <c r="DZ137" s="913"/>
      <c r="EA137" s="913"/>
      <c r="EB137" s="913"/>
      <c r="EC137" s="913"/>
      <c r="ED137" s="913"/>
      <c r="EE137" s="913"/>
      <c r="EF137" s="913"/>
      <c r="EG137" s="913"/>
      <c r="EH137" s="913"/>
      <c r="EI137" s="913"/>
      <c r="EJ137" s="923"/>
    </row>
    <row r="138" spans="14:140" x14ac:dyDescent="0.25">
      <c r="N138" s="922" t="s">
        <v>76</v>
      </c>
      <c r="O138" s="913">
        <v>81.45899</v>
      </c>
      <c r="P138" s="913">
        <v>88.363509999999991</v>
      </c>
      <c r="Q138" s="913">
        <v>95.268029999999982</v>
      </c>
      <c r="R138" s="913">
        <v>102.17654999999999</v>
      </c>
      <c r="S138" s="913">
        <v>109.08107</v>
      </c>
      <c r="T138" s="913">
        <v>97.989658333333338</v>
      </c>
      <c r="U138" s="913">
        <v>103.743425</v>
      </c>
      <c r="V138" s="913">
        <v>109.50385833333333</v>
      </c>
      <c r="W138" s="913">
        <v>120.84523333333334</v>
      </c>
      <c r="X138" s="913">
        <v>126.983</v>
      </c>
      <c r="Y138" s="913"/>
      <c r="Z138" s="913"/>
      <c r="AA138" s="913"/>
      <c r="AB138" s="913"/>
      <c r="AC138" s="913"/>
      <c r="AD138" s="913"/>
      <c r="AE138" s="913"/>
      <c r="AF138" s="913"/>
      <c r="AG138" s="913"/>
      <c r="AH138" s="913"/>
      <c r="AI138" s="913"/>
      <c r="AJ138" s="913"/>
      <c r="AK138" s="913"/>
      <c r="AL138" s="913"/>
      <c r="AM138" s="913"/>
      <c r="AN138" s="913"/>
      <c r="AO138" s="913"/>
      <c r="AP138" s="913"/>
      <c r="AQ138" s="913"/>
      <c r="AR138" s="913"/>
      <c r="AS138" s="913"/>
      <c r="AT138" s="913"/>
      <c r="AU138" s="913"/>
      <c r="AV138" s="913"/>
      <c r="AW138" s="913"/>
      <c r="AX138" s="913"/>
      <c r="AY138" s="913"/>
      <c r="AZ138" s="913"/>
      <c r="BA138" s="913"/>
      <c r="BB138" s="913"/>
      <c r="BC138" s="913"/>
      <c r="BD138" s="913"/>
      <c r="BE138" s="913"/>
      <c r="BF138" s="913"/>
      <c r="BG138" s="913"/>
      <c r="BH138" s="913"/>
      <c r="BI138" s="913"/>
      <c r="BJ138" s="913"/>
      <c r="BK138" s="913"/>
      <c r="BL138" s="913"/>
      <c r="BM138" s="913"/>
      <c r="BN138" s="913"/>
      <c r="BO138" s="913"/>
      <c r="BP138" s="913"/>
      <c r="BQ138" s="913"/>
      <c r="BR138" s="913"/>
      <c r="BS138" s="913"/>
      <c r="BT138" s="913"/>
      <c r="BU138" s="913"/>
      <c r="BV138" s="913"/>
      <c r="BW138" s="913"/>
      <c r="BX138" s="913"/>
      <c r="BY138" s="913"/>
      <c r="BZ138" s="913"/>
      <c r="CA138" s="913"/>
      <c r="CB138" s="913"/>
      <c r="CC138" s="913"/>
      <c r="CD138" s="913"/>
      <c r="CE138" s="913"/>
      <c r="CF138" s="913"/>
      <c r="CG138" s="913"/>
      <c r="CH138" s="913"/>
      <c r="CI138" s="913"/>
      <c r="CJ138" s="913"/>
      <c r="CK138" s="913"/>
      <c r="CL138" s="913"/>
      <c r="CM138" s="913"/>
      <c r="CN138" s="913"/>
      <c r="CO138" s="913"/>
      <c r="CP138" s="913"/>
      <c r="CQ138" s="913"/>
      <c r="CR138" s="913"/>
      <c r="CS138" s="913"/>
      <c r="CT138" s="913"/>
      <c r="CU138" s="913"/>
      <c r="CV138" s="913"/>
      <c r="CW138" s="913"/>
      <c r="CX138" s="913"/>
      <c r="CY138" s="913"/>
      <c r="CZ138" s="913"/>
      <c r="DA138" s="913"/>
      <c r="DB138" s="913"/>
      <c r="DC138" s="913"/>
      <c r="DD138" s="913"/>
      <c r="DE138" s="913"/>
      <c r="DF138" s="913"/>
      <c r="DG138" s="913"/>
      <c r="DH138" s="913"/>
      <c r="DI138" s="913"/>
      <c r="DJ138" s="913"/>
      <c r="DK138" s="913"/>
      <c r="DL138" s="913"/>
      <c r="DM138" s="913"/>
      <c r="DN138" s="913"/>
      <c r="DO138" s="913"/>
      <c r="DP138" s="913"/>
      <c r="DQ138" s="913"/>
      <c r="DR138" s="913"/>
      <c r="DS138" s="913"/>
      <c r="DT138" s="913"/>
      <c r="DU138" s="913"/>
      <c r="DV138" s="913"/>
      <c r="DW138" s="913"/>
      <c r="DX138" s="913"/>
      <c r="DY138" s="913"/>
      <c r="DZ138" s="913"/>
      <c r="EA138" s="913"/>
      <c r="EB138" s="913"/>
      <c r="EC138" s="913"/>
      <c r="ED138" s="913"/>
      <c r="EE138" s="913"/>
      <c r="EF138" s="913"/>
      <c r="EG138" s="913"/>
      <c r="EH138" s="913"/>
      <c r="EI138" s="913"/>
      <c r="EJ138" s="923"/>
    </row>
    <row r="139" spans="14:140" x14ac:dyDescent="0.25">
      <c r="N139" s="922"/>
      <c r="O139" s="913"/>
      <c r="P139" s="913"/>
      <c r="Q139" s="913"/>
      <c r="R139" s="913"/>
      <c r="S139" s="913"/>
      <c r="T139" s="913"/>
      <c r="U139" s="913"/>
      <c r="V139" s="913"/>
      <c r="W139" s="913"/>
      <c r="X139" s="913"/>
      <c r="Y139" s="913"/>
      <c r="Z139" s="913"/>
      <c r="AA139" s="913"/>
      <c r="AB139" s="913"/>
      <c r="AC139" s="913"/>
      <c r="AD139" s="913"/>
      <c r="AE139" s="913"/>
      <c r="AF139" s="913"/>
      <c r="AG139" s="913"/>
      <c r="AH139" s="913"/>
      <c r="AI139" s="913"/>
      <c r="AJ139" s="913"/>
      <c r="AK139" s="913"/>
      <c r="AL139" s="913"/>
      <c r="AM139" s="913"/>
      <c r="AN139" s="913"/>
      <c r="AO139" s="913"/>
      <c r="AP139" s="913"/>
      <c r="AQ139" s="913"/>
      <c r="AR139" s="913"/>
      <c r="AS139" s="913"/>
      <c r="AT139" s="913"/>
      <c r="AU139" s="913"/>
      <c r="AV139" s="913"/>
      <c r="AW139" s="913"/>
      <c r="AX139" s="913"/>
      <c r="AY139" s="913"/>
      <c r="AZ139" s="913"/>
      <c r="BA139" s="913"/>
      <c r="BB139" s="913"/>
      <c r="BC139" s="913"/>
      <c r="BD139" s="913"/>
      <c r="BE139" s="913"/>
      <c r="BF139" s="913"/>
      <c r="BG139" s="913"/>
      <c r="BH139" s="913"/>
      <c r="BI139" s="913"/>
      <c r="BJ139" s="913"/>
      <c r="BK139" s="913"/>
      <c r="BL139" s="913"/>
      <c r="BM139" s="913"/>
      <c r="BN139" s="913"/>
      <c r="BO139" s="913"/>
      <c r="BP139" s="913"/>
      <c r="BQ139" s="913"/>
      <c r="BR139" s="913"/>
      <c r="BS139" s="913"/>
      <c r="BT139" s="913"/>
      <c r="BU139" s="913"/>
      <c r="BV139" s="913"/>
      <c r="BW139" s="913"/>
      <c r="BX139" s="913"/>
      <c r="BY139" s="913"/>
      <c r="BZ139" s="913"/>
      <c r="CA139" s="913"/>
      <c r="CB139" s="913"/>
      <c r="CC139" s="913"/>
      <c r="CD139" s="913"/>
      <c r="CE139" s="913"/>
      <c r="CF139" s="913"/>
      <c r="CG139" s="913"/>
      <c r="CH139" s="913"/>
      <c r="CI139" s="913"/>
      <c r="CJ139" s="913"/>
      <c r="CK139" s="913"/>
      <c r="CL139" s="913"/>
      <c r="CM139" s="913"/>
      <c r="CN139" s="913"/>
      <c r="CO139" s="913"/>
      <c r="CP139" s="913"/>
      <c r="CQ139" s="913"/>
      <c r="CR139" s="913"/>
      <c r="CS139" s="913"/>
      <c r="CT139" s="913"/>
      <c r="CU139" s="913"/>
      <c r="CV139" s="913"/>
      <c r="CW139" s="913"/>
      <c r="CX139" s="913"/>
      <c r="CY139" s="913"/>
      <c r="CZ139" s="913"/>
      <c r="DA139" s="913"/>
      <c r="DB139" s="913"/>
      <c r="DC139" s="913"/>
      <c r="DD139" s="913"/>
      <c r="DE139" s="913"/>
      <c r="DF139" s="913"/>
      <c r="DG139" s="913"/>
      <c r="DH139" s="913"/>
      <c r="DI139" s="913"/>
      <c r="DJ139" s="913"/>
      <c r="DK139" s="913"/>
      <c r="DL139" s="913"/>
      <c r="DM139" s="913"/>
      <c r="DN139" s="913"/>
      <c r="DO139" s="913"/>
      <c r="DP139" s="913"/>
      <c r="DQ139" s="913"/>
      <c r="DR139" s="913"/>
      <c r="DS139" s="913"/>
      <c r="DT139" s="913"/>
      <c r="DU139" s="913"/>
      <c r="DV139" s="913"/>
      <c r="DW139" s="913"/>
      <c r="DX139" s="913"/>
      <c r="DY139" s="913"/>
      <c r="DZ139" s="913"/>
      <c r="EA139" s="913"/>
      <c r="EB139" s="913"/>
      <c r="EC139" s="913"/>
      <c r="ED139" s="913"/>
      <c r="EE139" s="913"/>
      <c r="EF139" s="913"/>
      <c r="EG139" s="913"/>
      <c r="EH139" s="913"/>
      <c r="EI139" s="913"/>
      <c r="EJ139" s="923"/>
    </row>
    <row r="140" spans="14:140" x14ac:dyDescent="0.25">
      <c r="N140" s="922"/>
      <c r="O140" s="913"/>
      <c r="P140" s="913"/>
      <c r="Q140" s="913"/>
      <c r="R140" s="913"/>
      <c r="S140" s="913"/>
      <c r="T140" s="913"/>
      <c r="U140" s="913"/>
      <c r="V140" s="913"/>
      <c r="W140" s="913"/>
      <c r="X140" s="913"/>
      <c r="Y140" s="913"/>
      <c r="Z140" s="913"/>
      <c r="AA140" s="913"/>
      <c r="AB140" s="913"/>
      <c r="AC140" s="913"/>
      <c r="AD140" s="913"/>
      <c r="AE140" s="913"/>
      <c r="AF140" s="913"/>
      <c r="AG140" s="913"/>
      <c r="AH140" s="913"/>
      <c r="AI140" s="913"/>
      <c r="AJ140" s="913"/>
      <c r="AK140" s="913"/>
      <c r="AL140" s="913"/>
      <c r="AM140" s="913"/>
      <c r="AN140" s="913"/>
      <c r="AO140" s="913"/>
      <c r="AP140" s="913"/>
      <c r="AQ140" s="913"/>
      <c r="AR140" s="913"/>
      <c r="AS140" s="913"/>
      <c r="AT140" s="913"/>
      <c r="AU140" s="913"/>
      <c r="AV140" s="913"/>
      <c r="AW140" s="913"/>
      <c r="AX140" s="913"/>
      <c r="AY140" s="913"/>
      <c r="AZ140" s="913"/>
      <c r="BA140" s="913"/>
      <c r="BB140" s="913"/>
      <c r="BC140" s="913"/>
      <c r="BD140" s="913"/>
      <c r="BE140" s="913"/>
      <c r="BF140" s="913"/>
      <c r="BG140" s="913"/>
      <c r="BH140" s="913"/>
      <c r="BI140" s="913"/>
      <c r="BJ140" s="913"/>
      <c r="BK140" s="913"/>
      <c r="BL140" s="913"/>
      <c r="BM140" s="913"/>
      <c r="BN140" s="913"/>
      <c r="BO140" s="913"/>
      <c r="BP140" s="913"/>
      <c r="BQ140" s="913"/>
      <c r="BR140" s="913"/>
      <c r="BS140" s="913"/>
      <c r="BT140" s="913"/>
      <c r="BU140" s="913"/>
      <c r="BV140" s="913"/>
      <c r="BW140" s="913"/>
      <c r="BX140" s="913"/>
      <c r="BY140" s="913"/>
      <c r="BZ140" s="913"/>
      <c r="CA140" s="913"/>
      <c r="CB140" s="913"/>
      <c r="CC140" s="913"/>
      <c r="CD140" s="913"/>
      <c r="CE140" s="913"/>
      <c r="CF140" s="913"/>
      <c r="CG140" s="913"/>
      <c r="CH140" s="913"/>
      <c r="CI140" s="913"/>
      <c r="CJ140" s="913"/>
      <c r="CK140" s="913"/>
      <c r="CL140" s="913"/>
      <c r="CM140" s="913"/>
      <c r="CN140" s="913"/>
      <c r="CO140" s="913"/>
      <c r="CP140" s="913"/>
      <c r="CQ140" s="913"/>
      <c r="CR140" s="913"/>
      <c r="CS140" s="913"/>
      <c r="CT140" s="913"/>
      <c r="CU140" s="913"/>
      <c r="CV140" s="913"/>
      <c r="CW140" s="913"/>
      <c r="CX140" s="913"/>
      <c r="CY140" s="913"/>
      <c r="CZ140" s="913"/>
      <c r="DA140" s="913"/>
      <c r="DB140" s="913"/>
      <c r="DC140" s="913"/>
      <c r="DD140" s="913"/>
      <c r="DE140" s="913"/>
      <c r="DF140" s="913"/>
      <c r="DG140" s="913"/>
      <c r="DH140" s="913"/>
      <c r="DI140" s="913"/>
      <c r="DJ140" s="913"/>
      <c r="DK140" s="913"/>
      <c r="DL140" s="913"/>
      <c r="DM140" s="913"/>
      <c r="DN140" s="913"/>
      <c r="DO140" s="913"/>
      <c r="DP140" s="913"/>
      <c r="DQ140" s="913"/>
      <c r="DR140" s="913"/>
      <c r="DS140" s="913"/>
      <c r="DT140" s="913"/>
      <c r="DU140" s="913"/>
      <c r="DV140" s="913"/>
      <c r="DW140" s="913"/>
      <c r="DX140" s="913"/>
      <c r="DY140" s="913"/>
      <c r="DZ140" s="913"/>
      <c r="EA140" s="913"/>
      <c r="EB140" s="913"/>
      <c r="EC140" s="913"/>
      <c r="ED140" s="913"/>
      <c r="EE140" s="913"/>
      <c r="EF140" s="913"/>
      <c r="EG140" s="913"/>
      <c r="EH140" s="913"/>
      <c r="EI140" s="913"/>
      <c r="EJ140" s="923"/>
    </row>
    <row r="141" spans="14:140" ht="150.75" customHeight="1" x14ac:dyDescent="0.25">
      <c r="N141" s="922" t="s">
        <v>420</v>
      </c>
      <c r="O141" s="913"/>
      <c r="P141" s="913"/>
      <c r="Q141" s="913"/>
      <c r="R141" s="913"/>
      <c r="S141" s="913"/>
      <c r="T141" s="913"/>
      <c r="U141" s="913"/>
      <c r="V141" s="913"/>
      <c r="W141" s="913"/>
      <c r="X141" s="913"/>
      <c r="Y141" s="913"/>
      <c r="Z141" s="913"/>
      <c r="AA141" s="913"/>
      <c r="AB141" s="913"/>
      <c r="AC141" s="913"/>
      <c r="AD141" s="913"/>
      <c r="AE141" s="913"/>
      <c r="AF141" s="913"/>
      <c r="AG141" s="913"/>
      <c r="AH141" s="913"/>
      <c r="AI141" s="913"/>
      <c r="AJ141" s="913"/>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913"/>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3"/>
      <c r="CA141" s="913"/>
      <c r="CB141" s="913"/>
      <c r="CC141" s="913"/>
      <c r="CD141" s="913"/>
      <c r="CE141" s="913"/>
      <c r="CF141" s="913"/>
      <c r="CG141" s="913"/>
      <c r="CH141" s="913"/>
      <c r="CI141" s="913"/>
      <c r="CJ141" s="913"/>
      <c r="CK141" s="913"/>
      <c r="CL141" s="913"/>
      <c r="CM141" s="913"/>
      <c r="CN141" s="913"/>
      <c r="CO141" s="913"/>
      <c r="CP141" s="913"/>
      <c r="CQ141" s="913"/>
      <c r="CR141" s="913"/>
      <c r="CS141" s="913"/>
      <c r="CT141" s="913"/>
      <c r="CU141" s="913"/>
      <c r="CV141" s="913"/>
      <c r="CW141" s="913"/>
      <c r="CX141" s="913"/>
      <c r="CY141" s="913"/>
      <c r="CZ141" s="913"/>
      <c r="DA141" s="913"/>
      <c r="DB141" s="913"/>
      <c r="DC141" s="913"/>
      <c r="DD141" s="913"/>
      <c r="DE141" s="913"/>
      <c r="DF141" s="913"/>
      <c r="DG141" s="913"/>
      <c r="DH141" s="913"/>
      <c r="DI141" s="913"/>
      <c r="DJ141" s="913"/>
      <c r="DK141" s="913"/>
      <c r="DL141" s="913"/>
      <c r="DM141" s="913"/>
      <c r="DN141" s="913"/>
      <c r="DO141" s="913"/>
      <c r="DP141" s="913"/>
      <c r="DQ141" s="913"/>
      <c r="DR141" s="913"/>
      <c r="DS141" s="913"/>
      <c r="DT141" s="913"/>
      <c r="DU141" s="913"/>
      <c r="DV141" s="913"/>
      <c r="DW141" s="913"/>
      <c r="DX141" s="913"/>
      <c r="DY141" s="913"/>
      <c r="DZ141" s="913"/>
      <c r="EA141" s="913"/>
      <c r="EB141" s="913"/>
      <c r="EC141" s="913"/>
      <c r="ED141" s="913"/>
      <c r="EE141" s="913"/>
      <c r="EF141" s="913"/>
      <c r="EG141" s="913"/>
      <c r="EH141" s="913"/>
      <c r="EI141" s="913"/>
      <c r="EJ141" s="923"/>
    </row>
    <row r="142" spans="14:140" x14ac:dyDescent="0.25">
      <c r="N142" s="922"/>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3"/>
      <c r="AK142" s="913"/>
      <c r="AL142" s="913"/>
      <c r="AM142" s="913"/>
      <c r="AN142" s="913"/>
      <c r="AO142" s="913"/>
      <c r="AP142" s="913"/>
      <c r="AQ142" s="913"/>
      <c r="AR142" s="913"/>
      <c r="AS142" s="913"/>
      <c r="AT142" s="913"/>
      <c r="AU142" s="913"/>
      <c r="AV142" s="913"/>
      <c r="AW142" s="913"/>
      <c r="AX142" s="913"/>
      <c r="AY142" s="913"/>
      <c r="AZ142" s="913"/>
      <c r="BA142" s="913"/>
      <c r="BB142" s="913"/>
      <c r="BC142" s="913"/>
      <c r="BD142" s="913"/>
      <c r="BE142" s="913"/>
      <c r="BF142" s="913"/>
      <c r="BG142" s="913"/>
      <c r="BH142" s="913"/>
      <c r="BI142" s="913"/>
      <c r="BJ142" s="913"/>
      <c r="BK142" s="913"/>
      <c r="BL142" s="913"/>
      <c r="BM142" s="913"/>
      <c r="BN142" s="913"/>
      <c r="BO142" s="913"/>
      <c r="BP142" s="913"/>
      <c r="BQ142" s="913"/>
      <c r="BR142" s="913"/>
      <c r="BS142" s="913"/>
      <c r="BT142" s="913"/>
      <c r="BU142" s="913"/>
      <c r="BV142" s="913"/>
      <c r="BW142" s="913"/>
      <c r="BX142" s="913"/>
      <c r="BY142" s="913"/>
      <c r="BZ142" s="913"/>
      <c r="CA142" s="913"/>
      <c r="CB142" s="913"/>
      <c r="CC142" s="913"/>
      <c r="CD142" s="913"/>
      <c r="CE142" s="913"/>
      <c r="CF142" s="913"/>
      <c r="CG142" s="913"/>
      <c r="CH142" s="913"/>
      <c r="CI142" s="913"/>
      <c r="CJ142" s="913"/>
      <c r="CK142" s="913"/>
      <c r="CL142" s="913"/>
      <c r="CM142" s="913"/>
      <c r="CN142" s="913"/>
      <c r="CO142" s="913"/>
      <c r="CP142" s="913"/>
      <c r="CQ142" s="913"/>
      <c r="CR142" s="913"/>
      <c r="CS142" s="913"/>
      <c r="CT142" s="913"/>
      <c r="CU142" s="913"/>
      <c r="CV142" s="913"/>
      <c r="CW142" s="913"/>
      <c r="CX142" s="913"/>
      <c r="CY142" s="913"/>
      <c r="CZ142" s="913"/>
      <c r="DA142" s="913"/>
      <c r="DB142" s="913"/>
      <c r="DC142" s="913"/>
      <c r="DD142" s="913"/>
      <c r="DE142" s="913"/>
      <c r="DF142" s="913"/>
      <c r="DG142" s="913"/>
      <c r="DH142" s="913"/>
      <c r="DI142" s="913"/>
      <c r="DJ142" s="913"/>
      <c r="DK142" s="913"/>
      <c r="DL142" s="913"/>
      <c r="DM142" s="913"/>
      <c r="DN142" s="913"/>
      <c r="DO142" s="913"/>
      <c r="DP142" s="913"/>
      <c r="DQ142" s="913"/>
      <c r="DR142" s="913"/>
      <c r="DS142" s="913"/>
      <c r="DT142" s="913"/>
      <c r="DU142" s="913"/>
      <c r="DV142" s="913"/>
      <c r="DW142" s="913"/>
      <c r="DX142" s="913"/>
      <c r="DY142" s="913"/>
      <c r="DZ142" s="913"/>
      <c r="EA142" s="913"/>
      <c r="EB142" s="913"/>
      <c r="EC142" s="913"/>
      <c r="ED142" s="913"/>
      <c r="EE142" s="913"/>
      <c r="EF142" s="913"/>
      <c r="EG142" s="913"/>
      <c r="EH142" s="913"/>
      <c r="EI142" s="913"/>
      <c r="EJ142" s="923"/>
    </row>
    <row r="143" spans="14:140" x14ac:dyDescent="0.25">
      <c r="N143" s="922" t="s">
        <v>215</v>
      </c>
      <c r="O143" s="913">
        <v>12</v>
      </c>
      <c r="P143" s="913">
        <v>24</v>
      </c>
      <c r="Q143" s="913">
        <v>36</v>
      </c>
      <c r="R143" s="913">
        <v>48</v>
      </c>
      <c r="S143" s="913">
        <v>60</v>
      </c>
      <c r="T143" s="913">
        <v>72</v>
      </c>
      <c r="U143" s="913">
        <v>84</v>
      </c>
      <c r="V143" s="913">
        <v>96</v>
      </c>
      <c r="W143" s="913">
        <v>108</v>
      </c>
      <c r="X143" s="913">
        <v>120</v>
      </c>
      <c r="Y143" s="913">
        <v>132</v>
      </c>
      <c r="Z143" s="913">
        <v>144</v>
      </c>
      <c r="AA143" s="913">
        <v>156</v>
      </c>
      <c r="AB143" s="913">
        <v>168</v>
      </c>
      <c r="AC143" s="913">
        <v>180</v>
      </c>
      <c r="AD143" s="913">
        <v>192</v>
      </c>
      <c r="AE143" s="913">
        <v>204</v>
      </c>
      <c r="AF143" s="913">
        <v>216</v>
      </c>
      <c r="AG143" s="913">
        <v>228</v>
      </c>
      <c r="AH143" s="913">
        <v>240</v>
      </c>
      <c r="AI143" s="913"/>
      <c r="AJ143" s="913"/>
      <c r="AK143" s="913"/>
      <c r="AL143" s="913"/>
      <c r="AM143" s="913"/>
      <c r="AN143" s="913"/>
      <c r="AO143" s="913"/>
      <c r="AP143" s="913"/>
      <c r="AQ143" s="913"/>
      <c r="AR143" s="913"/>
      <c r="AS143" s="913"/>
      <c r="AT143" s="913"/>
      <c r="AU143" s="913"/>
      <c r="AV143" s="913"/>
      <c r="AW143" s="913"/>
      <c r="AX143" s="913"/>
      <c r="AY143" s="913"/>
      <c r="AZ143" s="913"/>
      <c r="BA143" s="913"/>
      <c r="BB143" s="913"/>
      <c r="BC143" s="913"/>
      <c r="BD143" s="913"/>
      <c r="BE143" s="913"/>
      <c r="BF143" s="913"/>
      <c r="BG143" s="913"/>
      <c r="BH143" s="913"/>
      <c r="BI143" s="913"/>
      <c r="BJ143" s="913"/>
      <c r="BK143" s="913"/>
      <c r="BL143" s="913"/>
      <c r="BM143" s="913"/>
      <c r="BN143" s="913"/>
      <c r="BO143" s="913"/>
      <c r="BP143" s="913"/>
      <c r="BQ143" s="913"/>
      <c r="BR143" s="913"/>
      <c r="BS143" s="913"/>
      <c r="BT143" s="913"/>
      <c r="BU143" s="913"/>
      <c r="BV143" s="913"/>
      <c r="BW143" s="913"/>
      <c r="BX143" s="913"/>
      <c r="BY143" s="913"/>
      <c r="BZ143" s="913"/>
      <c r="CA143" s="913"/>
      <c r="CB143" s="913"/>
      <c r="CC143" s="913"/>
      <c r="CD143" s="913"/>
      <c r="CE143" s="913"/>
      <c r="CF143" s="913"/>
      <c r="CG143" s="913"/>
      <c r="CH143" s="913"/>
      <c r="CI143" s="913"/>
      <c r="CJ143" s="913"/>
      <c r="CK143" s="913"/>
      <c r="CL143" s="913"/>
      <c r="CM143" s="913"/>
      <c r="CN143" s="913"/>
      <c r="CO143" s="913"/>
      <c r="CP143" s="913"/>
      <c r="CQ143" s="913"/>
      <c r="CR143" s="913"/>
      <c r="CS143" s="913"/>
      <c r="CT143" s="913"/>
      <c r="CU143" s="913"/>
      <c r="CV143" s="913"/>
      <c r="CW143" s="913"/>
      <c r="CX143" s="913"/>
      <c r="CY143" s="913"/>
      <c r="CZ143" s="913"/>
      <c r="DA143" s="913"/>
      <c r="DB143" s="913"/>
      <c r="DC143" s="913"/>
      <c r="DD143" s="913"/>
      <c r="DE143" s="913"/>
      <c r="DF143" s="913"/>
      <c r="DG143" s="913"/>
      <c r="DH143" s="913"/>
      <c r="DI143" s="913"/>
      <c r="DJ143" s="913"/>
      <c r="DK143" s="913"/>
      <c r="DL143" s="913"/>
      <c r="DM143" s="913"/>
      <c r="DN143" s="913"/>
      <c r="DO143" s="913"/>
      <c r="DP143" s="913"/>
      <c r="DQ143" s="913"/>
      <c r="DR143" s="913"/>
      <c r="DS143" s="913"/>
      <c r="DT143" s="913"/>
      <c r="DU143" s="913"/>
      <c r="DV143" s="913"/>
      <c r="DW143" s="913"/>
      <c r="DX143" s="913"/>
      <c r="DY143" s="913"/>
      <c r="DZ143" s="913"/>
      <c r="EA143" s="913"/>
      <c r="EB143" s="913"/>
      <c r="EC143" s="913"/>
      <c r="ED143" s="913"/>
      <c r="EE143" s="913"/>
      <c r="EF143" s="913"/>
      <c r="EG143" s="913"/>
      <c r="EH143" s="913"/>
      <c r="EI143" s="913"/>
      <c r="EJ143" s="923"/>
    </row>
    <row r="144" spans="14:140" x14ac:dyDescent="0.25">
      <c r="N144" s="926" t="s">
        <v>149</v>
      </c>
      <c r="O144" s="913">
        <v>83</v>
      </c>
      <c r="P144" s="913">
        <v>110.44</v>
      </c>
      <c r="Q144" s="913">
        <v>137.88</v>
      </c>
      <c r="R144" s="913">
        <v>165.36</v>
      </c>
      <c r="S144" s="913">
        <v>192.79999999999998</v>
      </c>
      <c r="T144" s="913">
        <v>234.26</v>
      </c>
      <c r="U144" s="913">
        <v>261.7</v>
      </c>
      <c r="V144" s="913">
        <v>289.22000000000003</v>
      </c>
      <c r="W144" s="913">
        <v>316.65999999999997</v>
      </c>
      <c r="X144" s="913">
        <v>344.09999999999997</v>
      </c>
      <c r="Y144" s="913">
        <v>385.56</v>
      </c>
      <c r="Z144" s="913">
        <v>413.08</v>
      </c>
      <c r="AA144" s="913">
        <v>440.52</v>
      </c>
      <c r="AB144" s="913">
        <v>467.95999999999992</v>
      </c>
      <c r="AC144" s="913">
        <v>495.4</v>
      </c>
      <c r="AD144" s="913">
        <v>536.94000000000005</v>
      </c>
      <c r="AE144" s="913">
        <v>564.38</v>
      </c>
      <c r="AF144" s="913">
        <v>591.81999999999994</v>
      </c>
      <c r="AG144" s="913">
        <v>619.26</v>
      </c>
      <c r="AH144" s="913">
        <v>646.69999999999993</v>
      </c>
      <c r="AI144" s="913"/>
      <c r="AJ144" s="913"/>
      <c r="AK144" s="913"/>
      <c r="AL144" s="913"/>
      <c r="AM144" s="913"/>
      <c r="AN144" s="913"/>
      <c r="AO144" s="913"/>
      <c r="AP144" s="913"/>
      <c r="AQ144" s="913"/>
      <c r="AR144" s="913"/>
      <c r="AS144" s="913"/>
      <c r="AT144" s="913"/>
      <c r="AU144" s="913"/>
      <c r="AV144" s="913"/>
      <c r="AW144" s="913"/>
      <c r="AX144" s="913"/>
      <c r="AY144" s="913"/>
      <c r="AZ144" s="913"/>
      <c r="BA144" s="913"/>
      <c r="BB144" s="913"/>
      <c r="BC144" s="913"/>
      <c r="BD144" s="913"/>
      <c r="BE144" s="913"/>
      <c r="BF144" s="913"/>
      <c r="BG144" s="913"/>
      <c r="BH144" s="913"/>
      <c r="BI144" s="913"/>
      <c r="BJ144" s="913"/>
      <c r="BK144" s="913"/>
      <c r="BL144" s="913"/>
      <c r="BM144" s="913"/>
      <c r="BN144" s="913"/>
      <c r="BO144" s="913"/>
      <c r="BP144" s="913"/>
      <c r="BQ144" s="913"/>
      <c r="BR144" s="913"/>
      <c r="BS144" s="913"/>
      <c r="BT144" s="913"/>
      <c r="BU144" s="913"/>
      <c r="BV144" s="913"/>
      <c r="BW144" s="913"/>
      <c r="BX144" s="913"/>
      <c r="BY144" s="913"/>
      <c r="BZ144" s="913"/>
      <c r="CA144" s="913"/>
      <c r="CB144" s="913"/>
      <c r="CC144" s="913"/>
      <c r="CD144" s="913"/>
      <c r="CE144" s="913"/>
      <c r="CF144" s="913"/>
      <c r="CG144" s="913"/>
      <c r="CH144" s="913"/>
      <c r="CI144" s="913"/>
      <c r="CJ144" s="913"/>
      <c r="CK144" s="913"/>
      <c r="CL144" s="913"/>
      <c r="CM144" s="913"/>
      <c r="CN144" s="913"/>
      <c r="CO144" s="913"/>
      <c r="CP144" s="913"/>
      <c r="CQ144" s="913"/>
      <c r="CR144" s="913"/>
      <c r="CS144" s="913"/>
      <c r="CT144" s="913"/>
      <c r="CU144" s="913"/>
      <c r="CV144" s="913"/>
      <c r="CW144" s="913"/>
      <c r="CX144" s="913"/>
      <c r="CY144" s="913"/>
      <c r="CZ144" s="913"/>
      <c r="DA144" s="913"/>
      <c r="DB144" s="913"/>
      <c r="DC144" s="913"/>
      <c r="DD144" s="913"/>
      <c r="DE144" s="913"/>
      <c r="DF144" s="913"/>
      <c r="DG144" s="913"/>
      <c r="DH144" s="913"/>
      <c r="DI144" s="913"/>
      <c r="DJ144" s="913"/>
      <c r="DK144" s="913"/>
      <c r="DL144" s="913"/>
      <c r="DM144" s="913"/>
      <c r="DN144" s="913"/>
      <c r="DO144" s="913"/>
      <c r="DP144" s="913"/>
      <c r="DQ144" s="913"/>
      <c r="DR144" s="913"/>
      <c r="DS144" s="913"/>
      <c r="DT144" s="913"/>
      <c r="DU144" s="913"/>
      <c r="DV144" s="913"/>
      <c r="DW144" s="913"/>
      <c r="DX144" s="913"/>
      <c r="DY144" s="913"/>
      <c r="DZ144" s="913"/>
      <c r="EA144" s="913"/>
      <c r="EB144" s="913"/>
      <c r="EC144" s="913"/>
      <c r="ED144" s="913"/>
      <c r="EE144" s="913"/>
      <c r="EF144" s="913"/>
      <c r="EG144" s="913"/>
      <c r="EH144" s="913"/>
      <c r="EI144" s="913"/>
      <c r="EJ144" s="923"/>
    </row>
    <row r="145" spans="3:140" x14ac:dyDescent="0.25">
      <c r="N145" s="922" t="s">
        <v>247</v>
      </c>
      <c r="O145" s="913">
        <v>39.2256</v>
      </c>
      <c r="P145" s="913">
        <v>39.2256</v>
      </c>
      <c r="Q145" s="913">
        <v>39.2256</v>
      </c>
      <c r="R145" s="913">
        <v>39.2256</v>
      </c>
      <c r="S145" s="913">
        <v>39.2256</v>
      </c>
      <c r="T145" s="913">
        <v>39.2256</v>
      </c>
      <c r="U145" s="913">
        <v>39.2256</v>
      </c>
      <c r="V145" s="913">
        <v>39.2256</v>
      </c>
      <c r="W145" s="913">
        <v>39.2256</v>
      </c>
      <c r="X145" s="913">
        <v>39.2256</v>
      </c>
      <c r="Y145" s="913">
        <v>39.2256</v>
      </c>
      <c r="Z145" s="913">
        <v>39.2256</v>
      </c>
      <c r="AA145" s="913">
        <v>39.2256</v>
      </c>
      <c r="AB145" s="913">
        <v>39.2256</v>
      </c>
      <c r="AC145" s="913">
        <v>39.2256</v>
      </c>
      <c r="AD145" s="913">
        <v>39.2256</v>
      </c>
      <c r="AE145" s="913">
        <v>39.2256</v>
      </c>
      <c r="AF145" s="913">
        <v>39.2256</v>
      </c>
      <c r="AG145" s="913">
        <v>39.2256</v>
      </c>
      <c r="AH145" s="913">
        <v>39.2256</v>
      </c>
      <c r="AI145" s="913"/>
      <c r="AJ145" s="913"/>
      <c r="AK145" s="913"/>
      <c r="AL145" s="913"/>
      <c r="AM145" s="913"/>
      <c r="AN145" s="913"/>
      <c r="AO145" s="913"/>
      <c r="AP145" s="913"/>
      <c r="AQ145" s="913"/>
      <c r="AR145" s="913"/>
      <c r="AS145" s="913"/>
      <c r="AT145" s="913"/>
      <c r="AU145" s="913"/>
      <c r="AV145" s="913"/>
      <c r="AW145" s="913"/>
      <c r="AX145" s="913"/>
      <c r="AY145" s="913"/>
      <c r="AZ145" s="913"/>
      <c r="BA145" s="913"/>
      <c r="BB145" s="913"/>
      <c r="BC145" s="913"/>
      <c r="BD145" s="913"/>
      <c r="BE145" s="913"/>
      <c r="BF145" s="913"/>
      <c r="BG145" s="913"/>
      <c r="BH145" s="913"/>
      <c r="BI145" s="913"/>
      <c r="BJ145" s="913"/>
      <c r="BK145" s="913"/>
      <c r="BL145" s="913"/>
      <c r="BM145" s="913"/>
      <c r="BN145" s="913"/>
      <c r="BO145" s="913"/>
      <c r="BP145" s="913"/>
      <c r="BQ145" s="913"/>
      <c r="BR145" s="913"/>
      <c r="BS145" s="913"/>
      <c r="BT145" s="913"/>
      <c r="BU145" s="913"/>
      <c r="BV145" s="913"/>
      <c r="BW145" s="913"/>
      <c r="BX145" s="913"/>
      <c r="BY145" s="913"/>
      <c r="BZ145" s="913"/>
      <c r="CA145" s="913"/>
      <c r="CB145" s="913"/>
      <c r="CC145" s="913"/>
      <c r="CD145" s="913"/>
      <c r="CE145" s="913"/>
      <c r="CF145" s="913"/>
      <c r="CG145" s="913"/>
      <c r="CH145" s="913"/>
      <c r="CI145" s="913"/>
      <c r="CJ145" s="913"/>
      <c r="CK145" s="913"/>
      <c r="CL145" s="913"/>
      <c r="CM145" s="913"/>
      <c r="CN145" s="913"/>
      <c r="CO145" s="913"/>
      <c r="CP145" s="913"/>
      <c r="CQ145" s="913"/>
      <c r="CR145" s="913"/>
      <c r="CS145" s="913"/>
      <c r="CT145" s="913"/>
      <c r="CU145" s="913"/>
      <c r="CV145" s="913"/>
      <c r="CW145" s="913"/>
      <c r="CX145" s="913"/>
      <c r="CY145" s="913"/>
      <c r="CZ145" s="913"/>
      <c r="DA145" s="913"/>
      <c r="DB145" s="913"/>
      <c r="DC145" s="913"/>
      <c r="DD145" s="913"/>
      <c r="DE145" s="913"/>
      <c r="DF145" s="913"/>
      <c r="DG145" s="913"/>
      <c r="DH145" s="913"/>
      <c r="DI145" s="913"/>
      <c r="DJ145" s="913"/>
      <c r="DK145" s="913"/>
      <c r="DL145" s="913"/>
      <c r="DM145" s="913"/>
      <c r="DN145" s="913"/>
      <c r="DO145" s="913"/>
      <c r="DP145" s="913"/>
      <c r="DQ145" s="913"/>
      <c r="DR145" s="913"/>
      <c r="DS145" s="913"/>
      <c r="DT145" s="913"/>
      <c r="DU145" s="913"/>
      <c r="DV145" s="913"/>
      <c r="DW145" s="913"/>
      <c r="DX145" s="913"/>
      <c r="DY145" s="913"/>
      <c r="DZ145" s="913"/>
      <c r="EA145" s="913"/>
      <c r="EB145" s="913"/>
      <c r="EC145" s="913"/>
      <c r="ED145" s="913"/>
      <c r="EE145" s="913"/>
      <c r="EF145" s="913"/>
      <c r="EG145" s="913"/>
      <c r="EH145" s="913"/>
      <c r="EI145" s="913"/>
      <c r="EJ145" s="923"/>
    </row>
    <row r="146" spans="3:140" x14ac:dyDescent="0.25">
      <c r="N146" s="926" t="s">
        <v>148</v>
      </c>
      <c r="O146" s="927">
        <v>3.1103999999999998</v>
      </c>
      <c r="P146" s="913">
        <v>4.6655999999999995</v>
      </c>
      <c r="Q146" s="927">
        <v>6.2207999999999997</v>
      </c>
      <c r="R146" s="927">
        <v>7.7759999999999998</v>
      </c>
      <c r="S146" s="927">
        <v>9.3311999999999991</v>
      </c>
      <c r="T146" s="927">
        <v>10.8864</v>
      </c>
      <c r="U146" s="927">
        <v>12.441599999999999</v>
      </c>
      <c r="V146" s="927">
        <v>13.9968</v>
      </c>
      <c r="W146" s="927">
        <v>15.552</v>
      </c>
      <c r="X146" s="927">
        <v>17.107199999999999</v>
      </c>
      <c r="Y146" s="913">
        <v>18.662399999999998</v>
      </c>
      <c r="Z146" s="913">
        <v>20.217600000000001</v>
      </c>
      <c r="AA146" s="913">
        <v>21.7728</v>
      </c>
      <c r="AB146" s="913">
        <v>23.327999999999999</v>
      </c>
      <c r="AC146" s="913">
        <v>24.883199999999999</v>
      </c>
      <c r="AD146" s="913">
        <v>26.438399999999998</v>
      </c>
      <c r="AE146" s="913">
        <v>27.993600000000001</v>
      </c>
      <c r="AF146" s="913">
        <v>29.5488</v>
      </c>
      <c r="AG146" s="913">
        <v>31.103999999999999</v>
      </c>
      <c r="AH146" s="913">
        <v>32.659199999999998</v>
      </c>
      <c r="AI146" s="913"/>
      <c r="AJ146" s="913"/>
      <c r="AK146" s="913"/>
      <c r="AL146" s="913"/>
      <c r="AM146" s="913"/>
      <c r="AN146" s="913"/>
      <c r="AO146" s="913"/>
      <c r="AP146" s="913"/>
      <c r="AQ146" s="913"/>
      <c r="AR146" s="913"/>
      <c r="AS146" s="913"/>
      <c r="AT146" s="913"/>
      <c r="AU146" s="913"/>
      <c r="AV146" s="913"/>
      <c r="AW146" s="913"/>
      <c r="AX146" s="913"/>
      <c r="AY146" s="913"/>
      <c r="AZ146" s="913"/>
      <c r="BA146" s="913"/>
      <c r="BB146" s="913"/>
      <c r="BC146" s="913"/>
      <c r="BD146" s="913"/>
      <c r="BE146" s="913"/>
      <c r="BF146" s="913"/>
      <c r="BG146" s="913"/>
      <c r="BH146" s="913"/>
      <c r="BI146" s="913"/>
      <c r="BJ146" s="913"/>
      <c r="BK146" s="913"/>
      <c r="BL146" s="913"/>
      <c r="BM146" s="913"/>
      <c r="BN146" s="913"/>
      <c r="BO146" s="913"/>
      <c r="BP146" s="913"/>
      <c r="BQ146" s="913"/>
      <c r="BR146" s="913"/>
      <c r="BS146" s="913"/>
      <c r="BT146" s="913"/>
      <c r="BU146" s="913"/>
      <c r="BV146" s="913"/>
      <c r="BW146" s="913"/>
      <c r="BX146" s="913"/>
      <c r="BY146" s="913"/>
      <c r="BZ146" s="913"/>
      <c r="CA146" s="913"/>
      <c r="CB146" s="913"/>
      <c r="CC146" s="913"/>
      <c r="CD146" s="913"/>
      <c r="CE146" s="913"/>
      <c r="CF146" s="913"/>
      <c r="CG146" s="913"/>
      <c r="CH146" s="913"/>
      <c r="CI146" s="913"/>
      <c r="CJ146" s="913"/>
      <c r="CK146" s="913"/>
      <c r="CL146" s="913"/>
      <c r="CM146" s="913"/>
      <c r="CN146" s="913"/>
      <c r="CO146" s="913"/>
      <c r="CP146" s="913"/>
      <c r="CQ146" s="913"/>
      <c r="CR146" s="913"/>
      <c r="CS146" s="913"/>
      <c r="CT146" s="913"/>
      <c r="CU146" s="913"/>
      <c r="CV146" s="913"/>
      <c r="CW146" s="913"/>
      <c r="CX146" s="913"/>
      <c r="CY146" s="913"/>
      <c r="CZ146" s="913"/>
      <c r="DA146" s="913"/>
      <c r="DB146" s="913"/>
      <c r="DC146" s="913"/>
      <c r="DD146" s="913"/>
      <c r="DE146" s="913"/>
      <c r="DF146" s="913"/>
      <c r="DG146" s="913"/>
      <c r="DH146" s="913"/>
      <c r="DI146" s="913"/>
      <c r="DJ146" s="913"/>
      <c r="DK146" s="913"/>
      <c r="DL146" s="913"/>
      <c r="DM146" s="913"/>
      <c r="DN146" s="913"/>
      <c r="DO146" s="913"/>
      <c r="DP146" s="913"/>
      <c r="DQ146" s="913"/>
      <c r="DR146" s="913"/>
      <c r="DS146" s="913"/>
      <c r="DT146" s="913"/>
      <c r="DU146" s="913"/>
      <c r="DV146" s="913"/>
      <c r="DW146" s="913"/>
      <c r="DX146" s="913"/>
      <c r="DY146" s="913"/>
      <c r="DZ146" s="913"/>
      <c r="EA146" s="913"/>
      <c r="EB146" s="913"/>
      <c r="EC146" s="913"/>
      <c r="ED146" s="913"/>
      <c r="EE146" s="913"/>
      <c r="EF146" s="913"/>
      <c r="EG146" s="913"/>
      <c r="EH146" s="913"/>
      <c r="EI146" s="913"/>
      <c r="EJ146" s="923"/>
    </row>
    <row r="147" spans="3:140" x14ac:dyDescent="0.25">
      <c r="N147" s="922" t="s">
        <v>248</v>
      </c>
      <c r="O147" s="913">
        <v>4</v>
      </c>
      <c r="P147" s="913">
        <v>4</v>
      </c>
      <c r="Q147" s="913">
        <v>4</v>
      </c>
      <c r="R147" s="913">
        <v>4</v>
      </c>
      <c r="S147" s="913">
        <v>4</v>
      </c>
      <c r="T147" s="913">
        <v>6</v>
      </c>
      <c r="U147" s="913">
        <v>6</v>
      </c>
      <c r="V147" s="913">
        <v>6</v>
      </c>
      <c r="W147" s="913">
        <v>6</v>
      </c>
      <c r="X147" s="913">
        <v>6</v>
      </c>
      <c r="Y147" s="913">
        <v>8</v>
      </c>
      <c r="Z147" s="913">
        <v>8</v>
      </c>
      <c r="AA147" s="913">
        <v>8</v>
      </c>
      <c r="AB147" s="913">
        <v>8</v>
      </c>
      <c r="AC147" s="913">
        <v>8</v>
      </c>
      <c r="AD147" s="913">
        <v>10</v>
      </c>
      <c r="AE147" s="913">
        <v>10</v>
      </c>
      <c r="AF147" s="913">
        <v>10</v>
      </c>
      <c r="AG147" s="913">
        <v>10</v>
      </c>
      <c r="AH147" s="913">
        <v>10</v>
      </c>
      <c r="AI147" s="913"/>
      <c r="AJ147" s="913"/>
      <c r="AK147" s="913"/>
      <c r="AL147" s="913"/>
      <c r="AM147" s="913"/>
      <c r="AN147" s="913"/>
      <c r="AO147" s="913"/>
      <c r="AP147" s="913"/>
      <c r="AQ147" s="913"/>
      <c r="AR147" s="913"/>
      <c r="AS147" s="913"/>
      <c r="AT147" s="913"/>
      <c r="AU147" s="913"/>
      <c r="AV147" s="913"/>
      <c r="AW147" s="913"/>
      <c r="AX147" s="913"/>
      <c r="AY147" s="913"/>
      <c r="AZ147" s="913"/>
      <c r="BA147" s="913"/>
      <c r="BB147" s="913"/>
      <c r="BC147" s="913"/>
      <c r="BD147" s="913"/>
      <c r="BE147" s="913"/>
      <c r="BF147" s="913"/>
      <c r="BG147" s="913"/>
      <c r="BH147" s="913"/>
      <c r="BI147" s="913"/>
      <c r="BJ147" s="913"/>
      <c r="BK147" s="913"/>
      <c r="BL147" s="913"/>
      <c r="BM147" s="913"/>
      <c r="BN147" s="913"/>
      <c r="BO147" s="913"/>
      <c r="BP147" s="913"/>
      <c r="BQ147" s="913"/>
      <c r="BR147" s="913"/>
      <c r="BS147" s="913"/>
      <c r="BT147" s="913"/>
      <c r="BU147" s="913"/>
      <c r="BV147" s="913"/>
      <c r="BW147" s="913"/>
      <c r="BX147" s="913"/>
      <c r="BY147" s="913"/>
      <c r="BZ147" s="913"/>
      <c r="CA147" s="913"/>
      <c r="CB147" s="913"/>
      <c r="CC147" s="913"/>
      <c r="CD147" s="913"/>
      <c r="CE147" s="913"/>
      <c r="CF147" s="913"/>
      <c r="CG147" s="913"/>
      <c r="CH147" s="913"/>
      <c r="CI147" s="913"/>
      <c r="CJ147" s="913"/>
      <c r="CK147" s="913"/>
      <c r="CL147" s="913"/>
      <c r="CM147" s="913"/>
      <c r="CN147" s="913"/>
      <c r="CO147" s="913"/>
      <c r="CP147" s="913"/>
      <c r="CQ147" s="913"/>
      <c r="CR147" s="913"/>
      <c r="CS147" s="913"/>
      <c r="CT147" s="913"/>
      <c r="CU147" s="913"/>
      <c r="CV147" s="913"/>
      <c r="CW147" s="913"/>
      <c r="CX147" s="913"/>
      <c r="CY147" s="913"/>
      <c r="CZ147" s="913"/>
      <c r="DA147" s="913"/>
      <c r="DB147" s="913"/>
      <c r="DC147" s="913"/>
      <c r="DD147" s="913"/>
      <c r="DE147" s="913"/>
      <c r="DF147" s="913"/>
      <c r="DG147" s="913"/>
      <c r="DH147" s="913"/>
      <c r="DI147" s="913"/>
      <c r="DJ147" s="913"/>
      <c r="DK147" s="913"/>
      <c r="DL147" s="913"/>
      <c r="DM147" s="913"/>
      <c r="DN147" s="913"/>
      <c r="DO147" s="913"/>
      <c r="DP147" s="913"/>
      <c r="DQ147" s="913"/>
      <c r="DR147" s="913"/>
      <c r="DS147" s="913"/>
      <c r="DT147" s="913"/>
      <c r="DU147" s="913"/>
      <c r="DV147" s="913"/>
      <c r="DW147" s="913"/>
      <c r="DX147" s="913"/>
      <c r="DY147" s="913"/>
      <c r="DZ147" s="913"/>
      <c r="EA147" s="913"/>
      <c r="EB147" s="913"/>
      <c r="EC147" s="913"/>
      <c r="ED147" s="913"/>
      <c r="EE147" s="913"/>
      <c r="EF147" s="913"/>
      <c r="EG147" s="913"/>
      <c r="EH147" s="913"/>
      <c r="EI147" s="913"/>
      <c r="EJ147" s="923"/>
    </row>
    <row r="148" spans="3:140" x14ac:dyDescent="0.25">
      <c r="N148" s="922" t="s">
        <v>245</v>
      </c>
      <c r="O148" s="913">
        <v>0</v>
      </c>
      <c r="P148" s="913">
        <v>0</v>
      </c>
      <c r="Q148" s="913">
        <v>0</v>
      </c>
      <c r="R148" s="913">
        <v>0</v>
      </c>
      <c r="S148" s="913">
        <v>0</v>
      </c>
      <c r="T148" s="913">
        <v>0</v>
      </c>
      <c r="U148" s="913">
        <v>0</v>
      </c>
      <c r="V148" s="913">
        <v>0</v>
      </c>
      <c r="W148" s="913">
        <v>0</v>
      </c>
      <c r="X148" s="913">
        <v>0</v>
      </c>
      <c r="Y148" s="913">
        <v>31.31999999999999</v>
      </c>
      <c r="Z148" s="913">
        <v>31.31999999999999</v>
      </c>
      <c r="AA148" s="913">
        <v>31.31999999999999</v>
      </c>
      <c r="AB148" s="913">
        <v>31.31999999999999</v>
      </c>
      <c r="AC148" s="913">
        <v>31.31999999999999</v>
      </c>
      <c r="AD148" s="913">
        <v>46.979999999999983</v>
      </c>
      <c r="AE148" s="913">
        <v>46.979999999999983</v>
      </c>
      <c r="AF148" s="913">
        <v>46.979999999999983</v>
      </c>
      <c r="AG148" s="913">
        <v>46.979999999999983</v>
      </c>
      <c r="AH148" s="913">
        <v>46.979999999999983</v>
      </c>
      <c r="AI148" s="913"/>
      <c r="AJ148" s="913"/>
      <c r="AK148" s="913"/>
      <c r="AL148" s="913"/>
      <c r="AM148" s="913"/>
      <c r="AN148" s="913"/>
      <c r="AO148" s="913"/>
      <c r="AP148" s="913"/>
      <c r="AQ148" s="913"/>
      <c r="AR148" s="913"/>
      <c r="AS148" s="913"/>
      <c r="AT148" s="913"/>
      <c r="AU148" s="913"/>
      <c r="AV148" s="913"/>
      <c r="AW148" s="913"/>
      <c r="AX148" s="913"/>
      <c r="AY148" s="913"/>
      <c r="AZ148" s="913"/>
      <c r="BA148" s="913"/>
      <c r="BB148" s="913"/>
      <c r="BC148" s="913"/>
      <c r="BD148" s="913"/>
      <c r="BE148" s="913"/>
      <c r="BF148" s="913"/>
      <c r="BG148" s="913"/>
      <c r="BH148" s="913"/>
      <c r="BI148" s="913"/>
      <c r="BJ148" s="913"/>
      <c r="BK148" s="913"/>
      <c r="BL148" s="913"/>
      <c r="BM148" s="913"/>
      <c r="BN148" s="913"/>
      <c r="BO148" s="913"/>
      <c r="BP148" s="913"/>
      <c r="BQ148" s="913"/>
      <c r="BR148" s="913"/>
      <c r="BS148" s="913"/>
      <c r="BT148" s="913"/>
      <c r="BU148" s="913"/>
      <c r="BV148" s="913"/>
      <c r="BW148" s="913"/>
      <c r="BX148" s="913"/>
      <c r="BY148" s="913"/>
      <c r="BZ148" s="913"/>
      <c r="CA148" s="913"/>
      <c r="CB148" s="913"/>
      <c r="CC148" s="913"/>
      <c r="CD148" s="913"/>
      <c r="CE148" s="913"/>
      <c r="CF148" s="913"/>
      <c r="CG148" s="913"/>
      <c r="CH148" s="913"/>
      <c r="CI148" s="913"/>
      <c r="CJ148" s="913"/>
      <c r="CK148" s="913"/>
      <c r="CL148" s="913"/>
      <c r="CM148" s="913"/>
      <c r="CN148" s="913"/>
      <c r="CO148" s="913"/>
      <c r="CP148" s="913"/>
      <c r="CQ148" s="913"/>
      <c r="CR148" s="913"/>
      <c r="CS148" s="913"/>
      <c r="CT148" s="913"/>
      <c r="CU148" s="913"/>
      <c r="CV148" s="913"/>
      <c r="CW148" s="913"/>
      <c r="CX148" s="913"/>
      <c r="CY148" s="913"/>
      <c r="CZ148" s="913"/>
      <c r="DA148" s="913"/>
      <c r="DB148" s="913"/>
      <c r="DC148" s="913"/>
      <c r="DD148" s="913"/>
      <c r="DE148" s="913"/>
      <c r="DF148" s="913"/>
      <c r="DG148" s="913"/>
      <c r="DH148" s="913"/>
      <c r="DI148" s="913"/>
      <c r="DJ148" s="913"/>
      <c r="DK148" s="913"/>
      <c r="DL148" s="913"/>
      <c r="DM148" s="913"/>
      <c r="DN148" s="913"/>
      <c r="DO148" s="913"/>
      <c r="DP148" s="913"/>
      <c r="DQ148" s="913"/>
      <c r="DR148" s="913"/>
      <c r="DS148" s="913"/>
      <c r="DT148" s="913"/>
      <c r="DU148" s="913"/>
      <c r="DV148" s="913"/>
      <c r="DW148" s="913"/>
      <c r="DX148" s="913"/>
      <c r="DY148" s="913"/>
      <c r="DZ148" s="913"/>
      <c r="EA148" s="913"/>
      <c r="EB148" s="913"/>
      <c r="EC148" s="913"/>
      <c r="ED148" s="913"/>
      <c r="EE148" s="913"/>
      <c r="EF148" s="913"/>
      <c r="EG148" s="913"/>
      <c r="EH148" s="913"/>
      <c r="EI148" s="913"/>
      <c r="EJ148" s="923"/>
    </row>
    <row r="149" spans="3:140" x14ac:dyDescent="0.25">
      <c r="N149" s="922" t="s">
        <v>246</v>
      </c>
      <c r="O149" s="913">
        <v>0</v>
      </c>
      <c r="P149" s="913">
        <v>0</v>
      </c>
      <c r="Q149" s="913">
        <v>0</v>
      </c>
      <c r="R149" s="913">
        <v>0</v>
      </c>
      <c r="S149" s="913">
        <v>0</v>
      </c>
      <c r="T149" s="913">
        <v>0</v>
      </c>
      <c r="U149" s="913">
        <v>0</v>
      </c>
      <c r="V149" s="913">
        <v>0</v>
      </c>
      <c r="W149" s="913">
        <v>0</v>
      </c>
      <c r="X149" s="913">
        <v>0</v>
      </c>
      <c r="Y149" s="913">
        <v>1.1640000000000001</v>
      </c>
      <c r="Z149" s="913">
        <v>1.1640000000000001</v>
      </c>
      <c r="AA149" s="913">
        <v>1.1640000000000001</v>
      </c>
      <c r="AB149" s="913">
        <v>1.1640000000000001</v>
      </c>
      <c r="AC149" s="913">
        <v>1.1640000000000001</v>
      </c>
      <c r="AD149" s="913">
        <v>1.7460000000000002</v>
      </c>
      <c r="AE149" s="913">
        <v>1.7460000000000002</v>
      </c>
      <c r="AF149" s="913">
        <v>1.7460000000000002</v>
      </c>
      <c r="AG149" s="913">
        <v>1.7460000000000002</v>
      </c>
      <c r="AH149" s="913">
        <v>1.7460000000000002</v>
      </c>
      <c r="AI149" s="913"/>
      <c r="AJ149" s="913"/>
      <c r="AK149" s="913"/>
      <c r="AL149" s="913"/>
      <c r="AM149" s="913"/>
      <c r="AN149" s="913"/>
      <c r="AO149" s="913"/>
      <c r="AP149" s="913"/>
      <c r="AQ149" s="913"/>
      <c r="AR149" s="913"/>
      <c r="AS149" s="913"/>
      <c r="AT149" s="913"/>
      <c r="AU149" s="913"/>
      <c r="AV149" s="913"/>
      <c r="AW149" s="913"/>
      <c r="AX149" s="913"/>
      <c r="AY149" s="913"/>
      <c r="AZ149" s="913"/>
      <c r="BA149" s="913"/>
      <c r="BB149" s="913"/>
      <c r="BC149" s="913"/>
      <c r="BD149" s="913"/>
      <c r="BE149" s="913"/>
      <c r="BF149" s="913"/>
      <c r="BG149" s="913"/>
      <c r="BH149" s="913"/>
      <c r="BI149" s="913"/>
      <c r="BJ149" s="913"/>
      <c r="BK149" s="913"/>
      <c r="BL149" s="913"/>
      <c r="BM149" s="913"/>
      <c r="BN149" s="913"/>
      <c r="BO149" s="913"/>
      <c r="BP149" s="913"/>
      <c r="BQ149" s="913"/>
      <c r="BR149" s="913"/>
      <c r="BS149" s="913"/>
      <c r="BT149" s="913"/>
      <c r="BU149" s="913"/>
      <c r="BV149" s="913"/>
      <c r="BW149" s="913"/>
      <c r="BX149" s="913"/>
      <c r="BY149" s="913"/>
      <c r="BZ149" s="913"/>
      <c r="CA149" s="913"/>
      <c r="CB149" s="913"/>
      <c r="CC149" s="913"/>
      <c r="CD149" s="913"/>
      <c r="CE149" s="913"/>
      <c r="CF149" s="913"/>
      <c r="CG149" s="913"/>
      <c r="CH149" s="913"/>
      <c r="CI149" s="913"/>
      <c r="CJ149" s="913"/>
      <c r="CK149" s="913"/>
      <c r="CL149" s="913"/>
      <c r="CM149" s="913"/>
      <c r="CN149" s="913"/>
      <c r="CO149" s="913"/>
      <c r="CP149" s="913"/>
      <c r="CQ149" s="913"/>
      <c r="CR149" s="913"/>
      <c r="CS149" s="913"/>
      <c r="CT149" s="913"/>
      <c r="CU149" s="913"/>
      <c r="CV149" s="913"/>
      <c r="CW149" s="913"/>
      <c r="CX149" s="913"/>
      <c r="CY149" s="913"/>
      <c r="CZ149" s="913"/>
      <c r="DA149" s="913"/>
      <c r="DB149" s="913"/>
      <c r="DC149" s="913"/>
      <c r="DD149" s="913"/>
      <c r="DE149" s="913"/>
      <c r="DF149" s="913"/>
      <c r="DG149" s="913"/>
      <c r="DH149" s="913"/>
      <c r="DI149" s="913"/>
      <c r="DJ149" s="913"/>
      <c r="DK149" s="913"/>
      <c r="DL149" s="913"/>
      <c r="DM149" s="913"/>
      <c r="DN149" s="913"/>
      <c r="DO149" s="913"/>
      <c r="DP149" s="913"/>
      <c r="DQ149" s="913"/>
      <c r="DR149" s="913"/>
      <c r="DS149" s="913"/>
      <c r="DT149" s="913"/>
      <c r="DU149" s="913"/>
      <c r="DV149" s="913"/>
      <c r="DW149" s="913"/>
      <c r="DX149" s="913"/>
      <c r="DY149" s="913"/>
      <c r="DZ149" s="913"/>
      <c r="EA149" s="913"/>
      <c r="EB149" s="913"/>
      <c r="EC149" s="913"/>
      <c r="ED149" s="913"/>
      <c r="EE149" s="913"/>
      <c r="EF149" s="913"/>
      <c r="EG149" s="913"/>
      <c r="EH149" s="913"/>
      <c r="EI149" s="913"/>
      <c r="EJ149" s="923"/>
    </row>
    <row r="150" spans="3:140" x14ac:dyDescent="0.25">
      <c r="C150" s="138"/>
      <c r="N150" s="922" t="s">
        <v>249</v>
      </c>
      <c r="O150" s="913">
        <v>5.0708000000000002</v>
      </c>
      <c r="P150" s="913">
        <v>6.6115999999999993</v>
      </c>
      <c r="Q150" s="913">
        <v>8.1524000000000001</v>
      </c>
      <c r="R150" s="913">
        <v>9.6931999999999992</v>
      </c>
      <c r="S150" s="913">
        <v>11.234</v>
      </c>
      <c r="T150" s="913">
        <v>12.774799999999999</v>
      </c>
      <c r="U150" s="913">
        <v>14.315599999999998</v>
      </c>
      <c r="V150" s="913">
        <v>15.856399999999999</v>
      </c>
      <c r="W150" s="913">
        <v>24.765499999999999</v>
      </c>
      <c r="X150" s="913">
        <v>26.680699999999998</v>
      </c>
      <c r="Y150" s="913">
        <v>28.5959</v>
      </c>
      <c r="Z150" s="913">
        <v>30.511099999999999</v>
      </c>
      <c r="AA150" s="913">
        <v>32.426299999999998</v>
      </c>
      <c r="AB150" s="913">
        <v>34.341499999999996</v>
      </c>
      <c r="AC150" s="913">
        <v>36.256699999999995</v>
      </c>
      <c r="AD150" s="913">
        <v>38.171900000000001</v>
      </c>
      <c r="AE150" s="913">
        <v>40.0871</v>
      </c>
      <c r="AF150" s="913">
        <v>42.002299999999998</v>
      </c>
      <c r="AG150" s="913">
        <v>43.917499999999997</v>
      </c>
      <c r="AH150" s="913">
        <v>45.832699999999996</v>
      </c>
      <c r="AI150" s="913"/>
      <c r="AJ150" s="913"/>
      <c r="AK150" s="913"/>
      <c r="AL150" s="913"/>
      <c r="AM150" s="913"/>
      <c r="AN150" s="913"/>
      <c r="AO150" s="913"/>
      <c r="AP150" s="913"/>
      <c r="AQ150" s="913"/>
      <c r="AR150" s="913"/>
      <c r="AS150" s="913"/>
      <c r="AT150" s="913"/>
      <c r="AU150" s="913"/>
      <c r="AV150" s="913"/>
      <c r="AW150" s="913"/>
      <c r="AX150" s="913"/>
      <c r="AY150" s="913"/>
      <c r="AZ150" s="913"/>
      <c r="BA150" s="913"/>
      <c r="BB150" s="913"/>
      <c r="BC150" s="913"/>
      <c r="BD150" s="913"/>
      <c r="BE150" s="913"/>
      <c r="BF150" s="913"/>
      <c r="BG150" s="913"/>
      <c r="BH150" s="913"/>
      <c r="BI150" s="913"/>
      <c r="BJ150" s="913"/>
      <c r="BK150" s="913"/>
      <c r="BL150" s="913"/>
      <c r="BM150" s="913"/>
      <c r="BN150" s="913"/>
      <c r="BO150" s="913"/>
      <c r="BP150" s="913"/>
      <c r="BQ150" s="913"/>
      <c r="BR150" s="913"/>
      <c r="BS150" s="913"/>
      <c r="BT150" s="913"/>
      <c r="BU150" s="913"/>
      <c r="BV150" s="913"/>
      <c r="BW150" s="913"/>
      <c r="BX150" s="913"/>
      <c r="BY150" s="913"/>
      <c r="BZ150" s="913"/>
      <c r="CA150" s="913"/>
      <c r="CB150" s="913"/>
      <c r="CC150" s="913"/>
      <c r="CD150" s="913"/>
      <c r="CE150" s="913"/>
      <c r="CF150" s="913"/>
      <c r="CG150" s="913"/>
      <c r="CH150" s="913"/>
      <c r="CI150" s="913"/>
      <c r="CJ150" s="913"/>
      <c r="CK150" s="913"/>
      <c r="CL150" s="913"/>
      <c r="CM150" s="913"/>
      <c r="CN150" s="913"/>
      <c r="CO150" s="913"/>
      <c r="CP150" s="913"/>
      <c r="CQ150" s="913"/>
      <c r="CR150" s="913"/>
      <c r="CS150" s="913"/>
      <c r="CT150" s="913"/>
      <c r="CU150" s="913"/>
      <c r="CV150" s="913"/>
      <c r="CW150" s="913"/>
      <c r="CX150" s="913"/>
      <c r="CY150" s="913"/>
      <c r="CZ150" s="913"/>
      <c r="DA150" s="913"/>
      <c r="DB150" s="913"/>
      <c r="DC150" s="913"/>
      <c r="DD150" s="913"/>
      <c r="DE150" s="913"/>
      <c r="DF150" s="913"/>
      <c r="DG150" s="913"/>
      <c r="DH150" s="913"/>
      <c r="DI150" s="913"/>
      <c r="DJ150" s="913"/>
      <c r="DK150" s="913"/>
      <c r="DL150" s="913"/>
      <c r="DM150" s="913"/>
      <c r="DN150" s="913"/>
      <c r="DO150" s="913"/>
      <c r="DP150" s="913"/>
      <c r="DQ150" s="913"/>
      <c r="DR150" s="913"/>
      <c r="DS150" s="913"/>
      <c r="DT150" s="913"/>
      <c r="DU150" s="913"/>
      <c r="DV150" s="913"/>
      <c r="DW150" s="913"/>
      <c r="DX150" s="913"/>
      <c r="DY150" s="913"/>
      <c r="DZ150" s="913"/>
      <c r="EA150" s="913"/>
      <c r="EB150" s="913"/>
      <c r="EC150" s="913"/>
      <c r="ED150" s="913"/>
      <c r="EE150" s="913"/>
      <c r="EF150" s="913"/>
      <c r="EG150" s="913"/>
      <c r="EH150" s="913"/>
      <c r="EI150" s="913"/>
      <c r="EJ150" s="923"/>
    </row>
    <row r="151" spans="3:140" x14ac:dyDescent="0.25">
      <c r="C151" s="138"/>
      <c r="N151" s="922"/>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c r="AM151" s="913"/>
      <c r="AN151" s="913"/>
      <c r="AO151" s="913"/>
      <c r="AP151" s="913"/>
      <c r="AQ151" s="913"/>
      <c r="AR151" s="913"/>
      <c r="AS151" s="913"/>
      <c r="AT151" s="913"/>
      <c r="AU151" s="913"/>
      <c r="AV151" s="913"/>
      <c r="AW151" s="913"/>
      <c r="AX151" s="913"/>
      <c r="AY151" s="913"/>
      <c r="AZ151" s="913"/>
      <c r="BA151" s="913"/>
      <c r="BB151" s="913"/>
      <c r="BC151" s="913"/>
      <c r="BD151" s="913"/>
      <c r="BE151" s="913"/>
      <c r="BF151" s="913"/>
      <c r="BG151" s="913"/>
      <c r="BH151" s="913"/>
      <c r="BI151" s="913"/>
      <c r="BJ151" s="913"/>
      <c r="BK151" s="913"/>
      <c r="BL151" s="913"/>
      <c r="BM151" s="913"/>
      <c r="BN151" s="913"/>
      <c r="BO151" s="913"/>
      <c r="BP151" s="913"/>
      <c r="BQ151" s="913"/>
      <c r="BR151" s="913"/>
      <c r="BS151" s="913"/>
      <c r="BT151" s="913"/>
      <c r="BU151" s="913"/>
      <c r="BV151" s="913"/>
      <c r="BW151" s="913"/>
      <c r="BX151" s="913"/>
      <c r="BY151" s="913"/>
      <c r="BZ151" s="913"/>
      <c r="CA151" s="913"/>
      <c r="CB151" s="913"/>
      <c r="CC151" s="913"/>
      <c r="CD151" s="913"/>
      <c r="CE151" s="913"/>
      <c r="CF151" s="913"/>
      <c r="CG151" s="913"/>
      <c r="CH151" s="913"/>
      <c r="CI151" s="913"/>
      <c r="CJ151" s="913"/>
      <c r="CK151" s="913"/>
      <c r="CL151" s="913"/>
      <c r="CM151" s="913"/>
      <c r="CN151" s="913"/>
      <c r="CO151" s="913"/>
      <c r="CP151" s="913"/>
      <c r="CQ151" s="913"/>
      <c r="CR151" s="913"/>
      <c r="CS151" s="913"/>
      <c r="CT151" s="913"/>
      <c r="CU151" s="913"/>
      <c r="CV151" s="913"/>
      <c r="CW151" s="913"/>
      <c r="CX151" s="913"/>
      <c r="CY151" s="913"/>
      <c r="CZ151" s="913"/>
      <c r="DA151" s="913"/>
      <c r="DB151" s="913"/>
      <c r="DC151" s="913"/>
      <c r="DD151" s="913"/>
      <c r="DE151" s="913"/>
      <c r="DF151" s="913"/>
      <c r="DG151" s="913"/>
      <c r="DH151" s="913"/>
      <c r="DI151" s="913"/>
      <c r="DJ151" s="913"/>
      <c r="DK151" s="913"/>
      <c r="DL151" s="913"/>
      <c r="DM151" s="913"/>
      <c r="DN151" s="913"/>
      <c r="DO151" s="913"/>
      <c r="DP151" s="913"/>
      <c r="DQ151" s="913"/>
      <c r="DR151" s="913"/>
      <c r="DS151" s="913"/>
      <c r="DT151" s="913"/>
      <c r="DU151" s="913"/>
      <c r="DV151" s="913"/>
      <c r="DW151" s="913"/>
      <c r="DX151" s="913"/>
      <c r="DY151" s="913"/>
      <c r="DZ151" s="913"/>
      <c r="EA151" s="913"/>
      <c r="EB151" s="913"/>
      <c r="EC151" s="913"/>
      <c r="ED151" s="913"/>
      <c r="EE151" s="913"/>
      <c r="EF151" s="913"/>
      <c r="EG151" s="913"/>
      <c r="EH151" s="913"/>
      <c r="EI151" s="913"/>
      <c r="EJ151" s="923"/>
    </row>
    <row r="152" spans="3:140" x14ac:dyDescent="0.25">
      <c r="N152" s="922" t="s">
        <v>77</v>
      </c>
      <c r="O152" s="913">
        <v>125.8532</v>
      </c>
      <c r="P152" s="913">
        <v>156.38920000000002</v>
      </c>
      <c r="Q152" s="913">
        <v>186.92519999999999</v>
      </c>
      <c r="R152" s="913">
        <v>217.50120000000001</v>
      </c>
      <c r="S152" s="913">
        <v>248.03719999999998</v>
      </c>
      <c r="T152" s="913">
        <v>294.59320000000002</v>
      </c>
      <c r="U152" s="913">
        <v>325.12920000000003</v>
      </c>
      <c r="V152" s="913">
        <v>355.74520000000007</v>
      </c>
      <c r="W152" s="913">
        <v>393.64949999999999</v>
      </c>
      <c r="X152" s="913">
        <v>424.55989999999997</v>
      </c>
      <c r="Y152" s="913">
        <v>503.97429999999997</v>
      </c>
      <c r="Z152" s="913">
        <v>534.96469999999999</v>
      </c>
      <c r="AA152" s="913">
        <v>565.87509999999997</v>
      </c>
      <c r="AB152" s="913">
        <v>596.78549999999984</v>
      </c>
      <c r="AC152" s="913">
        <v>627.69589999999994</v>
      </c>
      <c r="AD152" s="913">
        <v>690.94830000000013</v>
      </c>
      <c r="AE152" s="913">
        <v>721.8587</v>
      </c>
      <c r="AF152" s="913">
        <v>752.76909999999998</v>
      </c>
      <c r="AG152" s="913">
        <v>783.67950000000008</v>
      </c>
      <c r="AH152" s="913">
        <v>814.58989999999994</v>
      </c>
      <c r="AI152" s="913"/>
      <c r="AJ152" s="913"/>
      <c r="AK152" s="913"/>
      <c r="AL152" s="913"/>
      <c r="AM152" s="913"/>
      <c r="AN152" s="913"/>
      <c r="AO152" s="913"/>
      <c r="AP152" s="913"/>
      <c r="AQ152" s="913"/>
      <c r="AR152" s="913"/>
      <c r="AS152" s="913"/>
      <c r="AT152" s="913"/>
      <c r="AU152" s="913"/>
      <c r="AV152" s="913"/>
      <c r="AW152" s="913"/>
      <c r="AX152" s="913"/>
      <c r="AY152" s="913"/>
      <c r="AZ152" s="913"/>
      <c r="BA152" s="913"/>
      <c r="BB152" s="913"/>
      <c r="BC152" s="913"/>
      <c r="BD152" s="913"/>
      <c r="BE152" s="913"/>
      <c r="BF152" s="913"/>
      <c r="BG152" s="913"/>
      <c r="BH152" s="913"/>
      <c r="BI152" s="913"/>
      <c r="BJ152" s="913"/>
      <c r="BK152" s="913"/>
      <c r="BL152" s="913"/>
      <c r="BM152" s="913"/>
      <c r="BN152" s="913"/>
      <c r="BO152" s="913"/>
      <c r="BP152" s="913"/>
      <c r="BQ152" s="913"/>
      <c r="BR152" s="913"/>
      <c r="BS152" s="913"/>
      <c r="BT152" s="913"/>
      <c r="BU152" s="913"/>
      <c r="BV152" s="913"/>
      <c r="BW152" s="913"/>
      <c r="BX152" s="913"/>
      <c r="BY152" s="913"/>
      <c r="BZ152" s="913"/>
      <c r="CA152" s="913"/>
      <c r="CB152" s="913"/>
      <c r="CC152" s="913"/>
      <c r="CD152" s="913"/>
      <c r="CE152" s="913"/>
      <c r="CF152" s="913"/>
      <c r="CG152" s="913"/>
      <c r="CH152" s="913"/>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13"/>
      <c r="DD152" s="913"/>
      <c r="DE152" s="913"/>
      <c r="DF152" s="913"/>
      <c r="DG152" s="913"/>
      <c r="DH152" s="913"/>
      <c r="DI152" s="913"/>
      <c r="DJ152" s="913"/>
      <c r="DK152" s="913"/>
      <c r="DL152" s="913"/>
      <c r="DM152" s="913"/>
      <c r="DN152" s="913"/>
      <c r="DO152" s="913"/>
      <c r="DP152" s="913"/>
      <c r="DQ152" s="913"/>
      <c r="DR152" s="913"/>
      <c r="DS152" s="913"/>
      <c r="DT152" s="913"/>
      <c r="DU152" s="913"/>
      <c r="DV152" s="913"/>
      <c r="DW152" s="913"/>
      <c r="DX152" s="913"/>
      <c r="DY152" s="913"/>
      <c r="DZ152" s="913"/>
      <c r="EA152" s="913"/>
      <c r="EB152" s="913"/>
      <c r="EC152" s="913"/>
      <c r="ED152" s="913"/>
      <c r="EE152" s="913"/>
      <c r="EF152" s="913"/>
      <c r="EG152" s="913"/>
      <c r="EH152" s="913"/>
      <c r="EI152" s="913"/>
      <c r="EJ152" s="923"/>
    </row>
    <row r="153" spans="3:140" x14ac:dyDescent="0.25">
      <c r="N153" s="922" t="s">
        <v>76</v>
      </c>
      <c r="O153" s="913">
        <v>31.4633</v>
      </c>
      <c r="P153" s="913">
        <v>39.097300000000004</v>
      </c>
      <c r="Q153" s="913">
        <v>46.731299999999997</v>
      </c>
      <c r="R153" s="913">
        <v>54.375300000000003</v>
      </c>
      <c r="S153" s="913">
        <v>62.009299999999996</v>
      </c>
      <c r="T153" s="913">
        <v>49.098866666666673</v>
      </c>
      <c r="U153" s="913">
        <v>54.188200000000002</v>
      </c>
      <c r="V153" s="913">
        <v>59.29086666666668</v>
      </c>
      <c r="W153" s="913">
        <v>65.608249999999998</v>
      </c>
      <c r="X153" s="913">
        <v>70.759983333333324</v>
      </c>
      <c r="Y153" s="913">
        <v>62.996787499999996</v>
      </c>
      <c r="Z153" s="913">
        <v>66.870587499999999</v>
      </c>
      <c r="AA153" s="913">
        <v>70.734387499999997</v>
      </c>
      <c r="AB153" s="913">
        <v>74.59818749999998</v>
      </c>
      <c r="AC153" s="913">
        <v>78.461987499999992</v>
      </c>
      <c r="AD153" s="913">
        <v>69.094830000000016</v>
      </c>
      <c r="AE153" s="913">
        <v>72.185869999999994</v>
      </c>
      <c r="AF153" s="913">
        <v>75.276910000000001</v>
      </c>
      <c r="AG153" s="913">
        <v>78.367950000000008</v>
      </c>
      <c r="AH153" s="913">
        <v>81.45899</v>
      </c>
      <c r="AI153" s="913"/>
      <c r="AJ153" s="913"/>
      <c r="AK153" s="913"/>
      <c r="AL153" s="913"/>
      <c r="AM153" s="913"/>
      <c r="AN153" s="913"/>
      <c r="AO153" s="913"/>
      <c r="AP153" s="913"/>
      <c r="AQ153" s="913"/>
      <c r="AR153" s="913"/>
      <c r="AS153" s="913"/>
      <c r="AT153" s="913"/>
      <c r="AU153" s="913"/>
      <c r="AV153" s="913"/>
      <c r="AW153" s="913"/>
      <c r="AX153" s="913"/>
      <c r="AY153" s="913"/>
      <c r="AZ153" s="913"/>
      <c r="BA153" s="913"/>
      <c r="BB153" s="913"/>
      <c r="BC153" s="913"/>
      <c r="BD153" s="913"/>
      <c r="BE153" s="913"/>
      <c r="BF153" s="913"/>
      <c r="BG153" s="913"/>
      <c r="BH153" s="913"/>
      <c r="BI153" s="913"/>
      <c r="BJ153" s="913"/>
      <c r="BK153" s="913"/>
      <c r="BL153" s="913"/>
      <c r="BM153" s="913"/>
      <c r="BN153" s="913"/>
      <c r="BO153" s="913"/>
      <c r="BP153" s="913"/>
      <c r="BQ153" s="913"/>
      <c r="BR153" s="913"/>
      <c r="BS153" s="913"/>
      <c r="BT153" s="913"/>
      <c r="BU153" s="913"/>
      <c r="BV153" s="913"/>
      <c r="BW153" s="913"/>
      <c r="BX153" s="913"/>
      <c r="BY153" s="913"/>
      <c r="BZ153" s="913"/>
      <c r="CA153" s="913"/>
      <c r="CB153" s="913"/>
      <c r="CC153" s="913"/>
      <c r="CD153" s="913"/>
      <c r="CE153" s="913"/>
      <c r="CF153" s="913"/>
      <c r="CG153" s="913"/>
      <c r="CH153" s="913"/>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13"/>
      <c r="DD153" s="913"/>
      <c r="DE153" s="913"/>
      <c r="DF153" s="913"/>
      <c r="DG153" s="913"/>
      <c r="DH153" s="913"/>
      <c r="DI153" s="913"/>
      <c r="DJ153" s="913"/>
      <c r="DK153" s="913"/>
      <c r="DL153" s="913"/>
      <c r="DM153" s="913"/>
      <c r="DN153" s="913"/>
      <c r="DO153" s="913"/>
      <c r="DP153" s="913"/>
      <c r="DQ153" s="913"/>
      <c r="DR153" s="913"/>
      <c r="DS153" s="913"/>
      <c r="DT153" s="913"/>
      <c r="DU153" s="913"/>
      <c r="DV153" s="913"/>
      <c r="DW153" s="913"/>
      <c r="DX153" s="913"/>
      <c r="DY153" s="913"/>
      <c r="DZ153" s="913"/>
      <c r="EA153" s="913"/>
      <c r="EB153" s="913"/>
      <c r="EC153" s="913"/>
      <c r="ED153" s="913"/>
      <c r="EE153" s="913"/>
      <c r="EF153" s="913"/>
      <c r="EG153" s="913"/>
      <c r="EH153" s="913"/>
      <c r="EI153" s="913"/>
      <c r="EJ153" s="923"/>
    </row>
    <row r="154" spans="3:140" x14ac:dyDescent="0.25">
      <c r="N154" s="922"/>
      <c r="O154" s="913"/>
      <c r="P154" s="913"/>
      <c r="Q154" s="913"/>
      <c r="R154" s="913"/>
      <c r="S154" s="913"/>
      <c r="T154" s="913"/>
      <c r="U154" s="913"/>
      <c r="V154" s="913"/>
      <c r="W154" s="913"/>
      <c r="X154" s="913"/>
      <c r="Y154" s="913"/>
      <c r="Z154" s="913"/>
      <c r="AA154" s="913"/>
      <c r="AB154" s="913"/>
      <c r="AC154" s="913"/>
      <c r="AD154" s="913"/>
      <c r="AE154" s="913"/>
      <c r="AF154" s="913"/>
      <c r="AG154" s="913"/>
      <c r="AH154" s="913"/>
      <c r="AI154" s="913"/>
      <c r="AJ154" s="913"/>
      <c r="AK154" s="913"/>
      <c r="AL154" s="913"/>
      <c r="AM154" s="913"/>
      <c r="AN154" s="913"/>
      <c r="AO154" s="913"/>
      <c r="AP154" s="913"/>
      <c r="AQ154" s="913"/>
      <c r="AR154" s="913"/>
      <c r="AS154" s="913"/>
      <c r="AT154" s="913"/>
      <c r="AU154" s="913"/>
      <c r="AV154" s="913"/>
      <c r="AW154" s="913"/>
      <c r="AX154" s="913"/>
      <c r="AY154" s="913"/>
      <c r="AZ154" s="913"/>
      <c r="BA154" s="913"/>
      <c r="BB154" s="913"/>
      <c r="BC154" s="913"/>
      <c r="BD154" s="913"/>
      <c r="BE154" s="913"/>
      <c r="BF154" s="913"/>
      <c r="BG154" s="913"/>
      <c r="BH154" s="913"/>
      <c r="BI154" s="913"/>
      <c r="BJ154" s="913"/>
      <c r="BK154" s="913"/>
      <c r="BL154" s="913"/>
      <c r="BM154" s="913"/>
      <c r="BN154" s="913"/>
      <c r="BO154" s="913"/>
      <c r="BP154" s="913"/>
      <c r="BQ154" s="913"/>
      <c r="BR154" s="913"/>
      <c r="BS154" s="913"/>
      <c r="BT154" s="913"/>
      <c r="BU154" s="913"/>
      <c r="BV154" s="913"/>
      <c r="BW154" s="913"/>
      <c r="BX154" s="913"/>
      <c r="BY154" s="913"/>
      <c r="BZ154" s="913"/>
      <c r="CA154" s="913"/>
      <c r="CB154" s="913"/>
      <c r="CC154" s="913"/>
      <c r="CD154" s="913"/>
      <c r="CE154" s="913"/>
      <c r="CF154" s="913"/>
      <c r="CG154" s="913"/>
      <c r="CH154" s="913"/>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13"/>
      <c r="DD154" s="913"/>
      <c r="DE154" s="913"/>
      <c r="DF154" s="913"/>
      <c r="DG154" s="913"/>
      <c r="DH154" s="913"/>
      <c r="DI154" s="913"/>
      <c r="DJ154" s="913"/>
      <c r="DK154" s="913"/>
      <c r="DL154" s="913"/>
      <c r="DM154" s="913"/>
      <c r="DN154" s="913"/>
      <c r="DO154" s="913"/>
      <c r="DP154" s="913"/>
      <c r="DQ154" s="913"/>
      <c r="DR154" s="913"/>
      <c r="DS154" s="913"/>
      <c r="DT154" s="913"/>
      <c r="DU154" s="913"/>
      <c r="DV154" s="913"/>
      <c r="DW154" s="913"/>
      <c r="DX154" s="913"/>
      <c r="DY154" s="913"/>
      <c r="DZ154" s="913"/>
      <c r="EA154" s="913"/>
      <c r="EB154" s="913"/>
      <c r="EC154" s="913"/>
      <c r="ED154" s="913"/>
      <c r="EE154" s="913"/>
      <c r="EF154" s="913"/>
      <c r="EG154" s="913"/>
      <c r="EH154" s="913"/>
      <c r="EI154" s="913"/>
      <c r="EJ154" s="923"/>
    </row>
    <row r="155" spans="3:140" x14ac:dyDescent="0.25">
      <c r="N155" s="922"/>
      <c r="O155" s="913"/>
      <c r="P155" s="913"/>
      <c r="Q155" s="913"/>
      <c r="R155" s="913"/>
      <c r="S155" s="913"/>
      <c r="T155" s="913"/>
      <c r="U155" s="913"/>
      <c r="V155" s="913"/>
      <c r="W155" s="913"/>
      <c r="X155" s="913"/>
      <c r="Y155" s="913"/>
      <c r="Z155" s="913"/>
      <c r="AA155" s="913"/>
      <c r="AB155" s="913"/>
      <c r="AC155" s="913"/>
      <c r="AD155" s="913"/>
      <c r="AE155" s="913"/>
      <c r="AF155" s="913"/>
      <c r="AG155" s="913"/>
      <c r="AH155" s="913"/>
      <c r="AI155" s="913"/>
      <c r="AJ155" s="913"/>
      <c r="AK155" s="913"/>
      <c r="AL155" s="913"/>
      <c r="AM155" s="913"/>
      <c r="AN155" s="913"/>
      <c r="AO155" s="913"/>
      <c r="AP155" s="913"/>
      <c r="AQ155" s="913"/>
      <c r="AR155" s="913"/>
      <c r="AS155" s="913"/>
      <c r="AT155" s="913"/>
      <c r="AU155" s="913"/>
      <c r="AV155" s="913"/>
      <c r="AW155" s="913"/>
      <c r="AX155" s="913"/>
      <c r="AY155" s="913"/>
      <c r="AZ155" s="913"/>
      <c r="BA155" s="913"/>
      <c r="BB155" s="913"/>
      <c r="BC155" s="913"/>
      <c r="BD155" s="913"/>
      <c r="BE155" s="913"/>
      <c r="BF155" s="913"/>
      <c r="BG155" s="913"/>
      <c r="BH155" s="913"/>
      <c r="BI155" s="913"/>
      <c r="BJ155" s="913"/>
      <c r="BK155" s="913"/>
      <c r="BL155" s="913"/>
      <c r="BM155" s="913"/>
      <c r="BN155" s="913"/>
      <c r="BO155" s="913"/>
      <c r="BP155" s="913"/>
      <c r="BQ155" s="913"/>
      <c r="BR155" s="913"/>
      <c r="BS155" s="913"/>
      <c r="BT155" s="913"/>
      <c r="BU155" s="913"/>
      <c r="BV155" s="913"/>
      <c r="BW155" s="913"/>
      <c r="BX155" s="913"/>
      <c r="BY155" s="913"/>
      <c r="BZ155" s="913"/>
      <c r="CA155" s="913"/>
      <c r="CB155" s="913"/>
      <c r="CC155" s="913"/>
      <c r="CD155" s="913"/>
      <c r="CE155" s="913"/>
      <c r="CF155" s="913"/>
      <c r="CG155" s="913"/>
      <c r="CH155" s="913"/>
      <c r="CI155" s="913"/>
      <c r="CJ155" s="913"/>
      <c r="CK155" s="913"/>
      <c r="CL155" s="913"/>
      <c r="CM155" s="913"/>
      <c r="CN155" s="913"/>
      <c r="CO155" s="913"/>
      <c r="CP155" s="913"/>
      <c r="CQ155" s="913"/>
      <c r="CR155" s="913"/>
      <c r="CS155" s="913"/>
      <c r="CT155" s="913"/>
      <c r="CU155" s="913"/>
      <c r="CV155" s="913"/>
      <c r="CW155" s="913"/>
      <c r="CX155" s="913"/>
      <c r="CY155" s="913"/>
      <c r="CZ155" s="913"/>
      <c r="DA155" s="913"/>
      <c r="DB155" s="913"/>
      <c r="DC155" s="913"/>
      <c r="DD155" s="913"/>
      <c r="DE155" s="913"/>
      <c r="DF155" s="913"/>
      <c r="DG155" s="913"/>
      <c r="DH155" s="913"/>
      <c r="DI155" s="913"/>
      <c r="DJ155" s="913"/>
      <c r="DK155" s="913"/>
      <c r="DL155" s="913"/>
      <c r="DM155" s="913"/>
      <c r="DN155" s="913"/>
      <c r="DO155" s="913"/>
      <c r="DP155" s="913"/>
      <c r="DQ155" s="913"/>
      <c r="DR155" s="913"/>
      <c r="DS155" s="913"/>
      <c r="DT155" s="913"/>
      <c r="DU155" s="913"/>
      <c r="DV155" s="913"/>
      <c r="DW155" s="913"/>
      <c r="DX155" s="913"/>
      <c r="DY155" s="913"/>
      <c r="DZ155" s="913"/>
      <c r="EA155" s="913"/>
      <c r="EB155" s="913"/>
      <c r="EC155" s="913"/>
      <c r="ED155" s="913"/>
      <c r="EE155" s="913"/>
      <c r="EF155" s="913"/>
      <c r="EG155" s="913"/>
      <c r="EH155" s="913"/>
      <c r="EI155" s="913"/>
      <c r="EJ155" s="923"/>
    </row>
    <row r="156" spans="3:140" x14ac:dyDescent="0.25">
      <c r="N156" s="922" t="s">
        <v>421</v>
      </c>
      <c r="O156" s="913"/>
      <c r="P156" s="913"/>
      <c r="Q156" s="913"/>
      <c r="R156" s="913"/>
      <c r="S156" s="913"/>
      <c r="T156" s="913"/>
      <c r="U156" s="913"/>
      <c r="V156" s="913"/>
      <c r="W156" s="913"/>
      <c r="X156" s="913"/>
      <c r="Y156" s="913"/>
      <c r="Z156" s="913"/>
      <c r="AA156" s="913"/>
      <c r="AB156" s="913"/>
      <c r="AC156" s="913"/>
      <c r="AD156" s="913"/>
      <c r="AE156" s="913"/>
      <c r="AF156" s="913"/>
      <c r="AG156" s="913"/>
      <c r="AH156" s="913"/>
      <c r="AI156" s="913"/>
      <c r="AJ156" s="913"/>
      <c r="AK156" s="913"/>
      <c r="AL156" s="913"/>
      <c r="AM156" s="913"/>
      <c r="AN156" s="913"/>
      <c r="AO156" s="913"/>
      <c r="AP156" s="913"/>
      <c r="AQ156" s="913"/>
      <c r="AR156" s="913"/>
      <c r="AS156" s="913"/>
      <c r="AT156" s="913"/>
      <c r="AU156" s="913"/>
      <c r="AV156" s="913"/>
      <c r="AW156" s="913"/>
      <c r="AX156" s="913"/>
      <c r="AY156" s="913"/>
      <c r="AZ156" s="913"/>
      <c r="BA156" s="913"/>
      <c r="BB156" s="913"/>
      <c r="BC156" s="913"/>
      <c r="BD156" s="913"/>
      <c r="BE156" s="913"/>
      <c r="BF156" s="913"/>
      <c r="BG156" s="913"/>
      <c r="BH156" s="913"/>
      <c r="BI156" s="913"/>
      <c r="BJ156" s="913"/>
      <c r="BK156" s="913"/>
      <c r="BL156" s="913"/>
      <c r="BM156" s="913"/>
      <c r="BN156" s="913"/>
      <c r="BO156" s="913"/>
      <c r="BP156" s="913"/>
      <c r="BQ156" s="913"/>
      <c r="BR156" s="913"/>
      <c r="BS156" s="913"/>
      <c r="BT156" s="913"/>
      <c r="BU156" s="913"/>
      <c r="BV156" s="913"/>
      <c r="BW156" s="913"/>
      <c r="BX156" s="913"/>
      <c r="BY156" s="913"/>
      <c r="BZ156" s="913"/>
      <c r="CA156" s="913"/>
      <c r="CB156" s="913"/>
      <c r="CC156" s="913"/>
      <c r="CD156" s="913"/>
      <c r="CE156" s="913"/>
      <c r="CF156" s="913"/>
      <c r="CG156" s="913"/>
      <c r="CH156" s="913"/>
      <c r="CI156" s="913"/>
      <c r="CJ156" s="913"/>
      <c r="CK156" s="913"/>
      <c r="CL156" s="913"/>
      <c r="CM156" s="913"/>
      <c r="CN156" s="913"/>
      <c r="CO156" s="913"/>
      <c r="CP156" s="913"/>
      <c r="CQ156" s="913"/>
      <c r="CR156" s="913"/>
      <c r="CS156" s="913"/>
      <c r="CT156" s="913"/>
      <c r="CU156" s="913"/>
      <c r="CV156" s="913"/>
      <c r="CW156" s="913"/>
      <c r="CX156" s="913"/>
      <c r="CY156" s="913"/>
      <c r="CZ156" s="913"/>
      <c r="DA156" s="913"/>
      <c r="DB156" s="913"/>
      <c r="DC156" s="913"/>
      <c r="DD156" s="913"/>
      <c r="DE156" s="913"/>
      <c r="DF156" s="913"/>
      <c r="DG156" s="913"/>
      <c r="DH156" s="913"/>
      <c r="DI156" s="913"/>
      <c r="DJ156" s="913"/>
      <c r="DK156" s="913"/>
      <c r="DL156" s="913"/>
      <c r="DM156" s="913"/>
      <c r="DN156" s="913"/>
      <c r="DO156" s="913"/>
      <c r="DP156" s="913"/>
      <c r="DQ156" s="913"/>
      <c r="DR156" s="913"/>
      <c r="DS156" s="913"/>
      <c r="DT156" s="913"/>
      <c r="DU156" s="913"/>
      <c r="DV156" s="913"/>
      <c r="DW156" s="913"/>
      <c r="DX156" s="913"/>
      <c r="DY156" s="913"/>
      <c r="DZ156" s="913"/>
      <c r="EA156" s="913"/>
      <c r="EB156" s="913"/>
      <c r="EC156" s="913"/>
      <c r="ED156" s="913"/>
      <c r="EE156" s="913"/>
      <c r="EF156" s="913"/>
      <c r="EG156" s="913"/>
      <c r="EH156" s="913"/>
      <c r="EI156" s="913"/>
      <c r="EJ156" s="923"/>
    </row>
    <row r="157" spans="3:140" x14ac:dyDescent="0.25">
      <c r="N157" s="922"/>
      <c r="O157" s="913"/>
      <c r="P157" s="913"/>
      <c r="Q157" s="913"/>
      <c r="R157" s="913"/>
      <c r="S157" s="913"/>
      <c r="T157" s="913"/>
      <c r="U157" s="913"/>
      <c r="V157" s="913"/>
      <c r="W157" s="913"/>
      <c r="X157" s="913"/>
      <c r="Y157" s="913"/>
      <c r="Z157" s="913"/>
      <c r="AA157" s="913"/>
      <c r="AB157" s="913"/>
      <c r="AC157" s="913"/>
      <c r="AD157" s="913"/>
      <c r="AE157" s="913"/>
      <c r="AF157" s="913"/>
      <c r="AG157" s="913"/>
      <c r="AH157" s="913"/>
      <c r="AI157" s="913"/>
      <c r="AJ157" s="913"/>
      <c r="AK157" s="913"/>
      <c r="AL157" s="913"/>
      <c r="AM157" s="913"/>
      <c r="AN157" s="913"/>
      <c r="AO157" s="913"/>
      <c r="AP157" s="913"/>
      <c r="AQ157" s="913"/>
      <c r="AR157" s="913"/>
      <c r="AS157" s="913"/>
      <c r="AT157" s="913"/>
      <c r="AU157" s="913"/>
      <c r="AV157" s="913"/>
      <c r="AW157" s="913"/>
      <c r="AX157" s="913"/>
      <c r="AY157" s="913"/>
      <c r="AZ157" s="913"/>
      <c r="BA157" s="913"/>
      <c r="BB157" s="913"/>
      <c r="BC157" s="913"/>
      <c r="BD157" s="913"/>
      <c r="BE157" s="913"/>
      <c r="BF157" s="913"/>
      <c r="BG157" s="913"/>
      <c r="BH157" s="913"/>
      <c r="BI157" s="913"/>
      <c r="BJ157" s="913"/>
      <c r="BK157" s="913"/>
      <c r="BL157" s="913"/>
      <c r="BM157" s="913"/>
      <c r="BN157" s="913"/>
      <c r="BO157" s="913"/>
      <c r="BP157" s="913"/>
      <c r="BQ157" s="913"/>
      <c r="BR157" s="913"/>
      <c r="BS157" s="913"/>
      <c r="BT157" s="913"/>
      <c r="BU157" s="913"/>
      <c r="BV157" s="913"/>
      <c r="BW157" s="913"/>
      <c r="BX157" s="913"/>
      <c r="BY157" s="913"/>
      <c r="BZ157" s="913"/>
      <c r="CA157" s="913"/>
      <c r="CB157" s="913"/>
      <c r="CC157" s="913"/>
      <c r="CD157" s="913"/>
      <c r="CE157" s="913"/>
      <c r="CF157" s="913"/>
      <c r="CG157" s="913"/>
      <c r="CH157" s="913"/>
      <c r="CI157" s="913"/>
      <c r="CJ157" s="913"/>
      <c r="CK157" s="913"/>
      <c r="CL157" s="913"/>
      <c r="CM157" s="913"/>
      <c r="CN157" s="913"/>
      <c r="CO157" s="913"/>
      <c r="CP157" s="913"/>
      <c r="CQ157" s="913"/>
      <c r="CR157" s="913"/>
      <c r="CS157" s="913"/>
      <c r="CT157" s="913"/>
      <c r="CU157" s="913"/>
      <c r="CV157" s="913"/>
      <c r="CW157" s="913"/>
      <c r="CX157" s="913"/>
      <c r="CY157" s="913"/>
      <c r="CZ157" s="913"/>
      <c r="DA157" s="913"/>
      <c r="DB157" s="913"/>
      <c r="DC157" s="913"/>
      <c r="DD157" s="913"/>
      <c r="DE157" s="913"/>
      <c r="DF157" s="913"/>
      <c r="DG157" s="913"/>
      <c r="DH157" s="913"/>
      <c r="DI157" s="913"/>
      <c r="DJ157" s="913"/>
      <c r="DK157" s="913"/>
      <c r="DL157" s="913"/>
      <c r="DM157" s="913"/>
      <c r="DN157" s="913"/>
      <c r="DO157" s="913"/>
      <c r="DP157" s="913"/>
      <c r="DQ157" s="913"/>
      <c r="DR157" s="913"/>
      <c r="DS157" s="913"/>
      <c r="DT157" s="913"/>
      <c r="DU157" s="913"/>
      <c r="DV157" s="913"/>
      <c r="DW157" s="913"/>
      <c r="DX157" s="913"/>
      <c r="DY157" s="913"/>
      <c r="DZ157" s="913"/>
      <c r="EA157" s="913"/>
      <c r="EB157" s="913"/>
      <c r="EC157" s="913"/>
      <c r="ED157" s="913"/>
      <c r="EE157" s="913"/>
      <c r="EF157" s="913"/>
      <c r="EG157" s="913"/>
      <c r="EH157" s="913"/>
      <c r="EI157" s="913"/>
      <c r="EJ157" s="923"/>
    </row>
    <row r="158" spans="3:140" x14ac:dyDescent="0.25">
      <c r="N158" s="922" t="s">
        <v>33</v>
      </c>
      <c r="O158" s="913">
        <v>12</v>
      </c>
      <c r="P158" s="913">
        <v>24</v>
      </c>
      <c r="Q158" s="913">
        <v>36</v>
      </c>
      <c r="R158" s="913">
        <v>48</v>
      </c>
      <c r="S158" s="913">
        <v>60</v>
      </c>
      <c r="T158" s="913">
        <v>72</v>
      </c>
      <c r="U158" s="913"/>
      <c r="V158" s="913"/>
      <c r="W158" s="913"/>
      <c r="X158" s="913"/>
      <c r="Y158" s="913"/>
      <c r="Z158" s="913"/>
      <c r="AA158" s="913"/>
      <c r="AB158" s="913"/>
      <c r="AC158" s="913"/>
      <c r="AD158" s="913"/>
      <c r="AE158" s="913"/>
      <c r="AF158" s="913"/>
      <c r="AG158" s="913"/>
      <c r="AH158" s="913"/>
      <c r="AI158" s="913"/>
      <c r="AJ158" s="913"/>
      <c r="AK158" s="913"/>
      <c r="AL158" s="913"/>
      <c r="AM158" s="913"/>
      <c r="AN158" s="913"/>
      <c r="AO158" s="913"/>
      <c r="AP158" s="913"/>
      <c r="AQ158" s="913"/>
      <c r="AR158" s="913"/>
      <c r="AS158" s="913"/>
      <c r="AT158" s="913"/>
      <c r="AU158" s="913"/>
      <c r="AV158" s="913"/>
      <c r="AW158" s="913"/>
      <c r="AX158" s="913"/>
      <c r="AY158" s="913"/>
      <c r="AZ158" s="913"/>
      <c r="BA158" s="913"/>
      <c r="BB158" s="913"/>
      <c r="BC158" s="913"/>
      <c r="BD158" s="913"/>
      <c r="BE158" s="913"/>
      <c r="BF158" s="913"/>
      <c r="BG158" s="913"/>
      <c r="BH158" s="913"/>
      <c r="BI158" s="913"/>
      <c r="BJ158" s="913"/>
      <c r="BK158" s="913"/>
      <c r="BL158" s="913"/>
      <c r="BM158" s="913"/>
      <c r="BN158" s="913"/>
      <c r="BO158" s="913"/>
      <c r="BP158" s="913"/>
      <c r="BQ158" s="913"/>
      <c r="BR158" s="913"/>
      <c r="BS158" s="913"/>
      <c r="BT158" s="913"/>
      <c r="BU158" s="913"/>
      <c r="BV158" s="913"/>
      <c r="BW158" s="913"/>
      <c r="BX158" s="913"/>
      <c r="BY158" s="913"/>
      <c r="BZ158" s="913"/>
      <c r="CA158" s="913"/>
      <c r="CB158" s="913"/>
      <c r="CC158" s="913"/>
      <c r="CD158" s="913"/>
      <c r="CE158" s="913"/>
      <c r="CF158" s="913"/>
      <c r="CG158" s="913"/>
      <c r="CH158" s="913"/>
      <c r="CI158" s="913"/>
      <c r="CJ158" s="913"/>
      <c r="CK158" s="913"/>
      <c r="CL158" s="913"/>
      <c r="CM158" s="913"/>
      <c r="CN158" s="913"/>
      <c r="CO158" s="913"/>
      <c r="CP158" s="913"/>
      <c r="CQ158" s="913"/>
      <c r="CR158" s="913"/>
      <c r="CS158" s="913"/>
      <c r="CT158" s="913"/>
      <c r="CU158" s="913"/>
      <c r="CV158" s="913"/>
      <c r="CW158" s="913"/>
      <c r="CX158" s="913"/>
      <c r="CY158" s="913"/>
      <c r="CZ158" s="913"/>
      <c r="DA158" s="913"/>
      <c r="DB158" s="913"/>
      <c r="DC158" s="913"/>
      <c r="DD158" s="913"/>
      <c r="DE158" s="913"/>
      <c r="DF158" s="913"/>
      <c r="DG158" s="913"/>
      <c r="DH158" s="913"/>
      <c r="DI158" s="913"/>
      <c r="DJ158" s="913"/>
      <c r="DK158" s="913"/>
      <c r="DL158" s="913"/>
      <c r="DM158" s="913"/>
      <c r="DN158" s="913"/>
      <c r="DO158" s="913"/>
      <c r="DP158" s="913"/>
      <c r="DQ158" s="913"/>
      <c r="DR158" s="913"/>
      <c r="DS158" s="913"/>
      <c r="DT158" s="913"/>
      <c r="DU158" s="913"/>
      <c r="DV158" s="913"/>
      <c r="DW158" s="913"/>
      <c r="DX158" s="913"/>
      <c r="DY158" s="913"/>
      <c r="DZ158" s="913"/>
      <c r="EA158" s="913"/>
      <c r="EB158" s="913"/>
      <c r="EC158" s="913"/>
      <c r="ED158" s="913"/>
      <c r="EE158" s="913"/>
      <c r="EF158" s="913"/>
      <c r="EG158" s="913"/>
      <c r="EH158" s="913"/>
      <c r="EI158" s="913"/>
      <c r="EJ158" s="923"/>
    </row>
    <row r="159" spans="3:140" x14ac:dyDescent="0.25">
      <c r="N159" s="926" t="s">
        <v>149</v>
      </c>
      <c r="O159" s="913">
        <v>202.56</v>
      </c>
      <c r="P159" s="913">
        <v>343.55999999999995</v>
      </c>
      <c r="Q159" s="913">
        <v>484.79999999999995</v>
      </c>
      <c r="R159" s="913">
        <v>625.79999999999995</v>
      </c>
      <c r="S159" s="913">
        <v>766.80000000000007</v>
      </c>
      <c r="T159" s="913">
        <v>907.8</v>
      </c>
      <c r="U159" s="913"/>
      <c r="V159" s="913"/>
      <c r="W159" s="913"/>
      <c r="X159" s="913"/>
      <c r="Y159" s="913"/>
      <c r="Z159" s="913"/>
      <c r="AA159" s="913"/>
      <c r="AB159" s="913"/>
      <c r="AC159" s="913"/>
      <c r="AD159" s="913"/>
      <c r="AE159" s="913"/>
      <c r="AF159" s="913"/>
      <c r="AG159" s="913"/>
      <c r="AH159" s="913"/>
      <c r="AI159" s="913"/>
      <c r="AJ159" s="913"/>
      <c r="AK159" s="913"/>
      <c r="AL159" s="913"/>
      <c r="AM159" s="913"/>
      <c r="AN159" s="913"/>
      <c r="AO159" s="913"/>
      <c r="AP159" s="913"/>
      <c r="AQ159" s="913"/>
      <c r="AR159" s="913"/>
      <c r="AS159" s="913"/>
      <c r="AT159" s="913"/>
      <c r="AU159" s="913"/>
      <c r="AV159" s="913"/>
      <c r="AW159" s="913"/>
      <c r="AX159" s="913"/>
      <c r="AY159" s="913"/>
      <c r="AZ159" s="913"/>
      <c r="BA159" s="913"/>
      <c r="BB159" s="913"/>
      <c r="BC159" s="913"/>
      <c r="BD159" s="913"/>
      <c r="BE159" s="913"/>
      <c r="BF159" s="913"/>
      <c r="BG159" s="913"/>
      <c r="BH159" s="913"/>
      <c r="BI159" s="913"/>
      <c r="BJ159" s="913"/>
      <c r="BK159" s="913"/>
      <c r="BL159" s="913"/>
      <c r="BM159" s="913"/>
      <c r="BN159" s="913"/>
      <c r="BO159" s="913"/>
      <c r="BP159" s="913"/>
      <c r="BQ159" s="913"/>
      <c r="BR159" s="913"/>
      <c r="BS159" s="913"/>
      <c r="BT159" s="913"/>
      <c r="BU159" s="913"/>
      <c r="BV159" s="913"/>
      <c r="BW159" s="913"/>
      <c r="BX159" s="913"/>
      <c r="BY159" s="913"/>
      <c r="BZ159" s="913"/>
      <c r="CA159" s="913"/>
      <c r="CB159" s="913"/>
      <c r="CC159" s="913"/>
      <c r="CD159" s="913"/>
      <c r="CE159" s="913"/>
      <c r="CF159" s="913"/>
      <c r="CG159" s="913"/>
      <c r="CH159" s="913"/>
      <c r="CI159" s="913"/>
      <c r="CJ159" s="913"/>
      <c r="CK159" s="913"/>
      <c r="CL159" s="913"/>
      <c r="CM159" s="913"/>
      <c r="CN159" s="913"/>
      <c r="CO159" s="913"/>
      <c r="CP159" s="913"/>
      <c r="CQ159" s="913"/>
      <c r="CR159" s="913"/>
      <c r="CS159" s="913"/>
      <c r="CT159" s="913"/>
      <c r="CU159" s="913"/>
      <c r="CV159" s="913"/>
      <c r="CW159" s="913"/>
      <c r="CX159" s="913"/>
      <c r="CY159" s="913"/>
      <c r="CZ159" s="913"/>
      <c r="DA159" s="913"/>
      <c r="DB159" s="913"/>
      <c r="DC159" s="913"/>
      <c r="DD159" s="913"/>
      <c r="DE159" s="913"/>
      <c r="DF159" s="913"/>
      <c r="DG159" s="913"/>
      <c r="DH159" s="913"/>
      <c r="DI159" s="913"/>
      <c r="DJ159" s="913"/>
      <c r="DK159" s="913"/>
      <c r="DL159" s="913"/>
      <c r="DM159" s="913"/>
      <c r="DN159" s="913"/>
      <c r="DO159" s="913"/>
      <c r="DP159" s="913"/>
      <c r="DQ159" s="913"/>
      <c r="DR159" s="913"/>
      <c r="DS159" s="913"/>
      <c r="DT159" s="913"/>
      <c r="DU159" s="913"/>
      <c r="DV159" s="913"/>
      <c r="DW159" s="913"/>
      <c r="DX159" s="913"/>
      <c r="DY159" s="913"/>
      <c r="DZ159" s="913"/>
      <c r="EA159" s="913"/>
      <c r="EB159" s="913"/>
      <c r="EC159" s="913"/>
      <c r="ED159" s="913"/>
      <c r="EE159" s="913"/>
      <c r="EF159" s="913"/>
      <c r="EG159" s="913"/>
      <c r="EH159" s="913"/>
      <c r="EI159" s="913"/>
      <c r="EJ159" s="923"/>
    </row>
    <row r="160" spans="3:140" x14ac:dyDescent="0.25">
      <c r="N160" s="922" t="s">
        <v>247</v>
      </c>
      <c r="O160" s="913">
        <v>6.5375999999999994</v>
      </c>
      <c r="P160" s="913">
        <v>13.075199999999999</v>
      </c>
      <c r="Q160" s="913">
        <v>19.6128</v>
      </c>
      <c r="R160" s="913">
        <v>26.150399999999998</v>
      </c>
      <c r="S160" s="913">
        <v>32.687999999999995</v>
      </c>
      <c r="T160" s="913">
        <v>39.2256</v>
      </c>
      <c r="U160" s="913"/>
      <c r="V160" s="913"/>
      <c r="W160" s="913"/>
      <c r="X160" s="913"/>
      <c r="Y160" s="913"/>
      <c r="Z160" s="913"/>
      <c r="AA160" s="913"/>
      <c r="AB160" s="913"/>
      <c r="AC160" s="913"/>
      <c r="AD160" s="913"/>
      <c r="AE160" s="913"/>
      <c r="AF160" s="913"/>
      <c r="AG160" s="913"/>
      <c r="AH160" s="913"/>
      <c r="AI160" s="913"/>
      <c r="AJ160" s="913"/>
      <c r="AK160" s="913"/>
      <c r="AL160" s="913"/>
      <c r="AM160" s="913"/>
      <c r="AN160" s="913"/>
      <c r="AO160" s="913"/>
      <c r="AP160" s="913"/>
      <c r="AQ160" s="913"/>
      <c r="AR160" s="913"/>
      <c r="AS160" s="913"/>
      <c r="AT160" s="913"/>
      <c r="AU160" s="913"/>
      <c r="AV160" s="913"/>
      <c r="AW160" s="913"/>
      <c r="AX160" s="913"/>
      <c r="AY160" s="913"/>
      <c r="AZ160" s="913"/>
      <c r="BA160" s="913"/>
      <c r="BB160" s="913"/>
      <c r="BC160" s="913"/>
      <c r="BD160" s="913"/>
      <c r="BE160" s="913"/>
      <c r="BF160" s="913"/>
      <c r="BG160" s="913"/>
      <c r="BH160" s="913"/>
      <c r="BI160" s="913"/>
      <c r="BJ160" s="913"/>
      <c r="BK160" s="913"/>
      <c r="BL160" s="913"/>
      <c r="BM160" s="913"/>
      <c r="BN160" s="913"/>
      <c r="BO160" s="913"/>
      <c r="BP160" s="913"/>
      <c r="BQ160" s="913"/>
      <c r="BR160" s="913"/>
      <c r="BS160" s="913"/>
      <c r="BT160" s="913"/>
      <c r="BU160" s="913"/>
      <c r="BV160" s="913"/>
      <c r="BW160" s="913"/>
      <c r="BX160" s="913"/>
      <c r="BY160" s="913"/>
      <c r="BZ160" s="913"/>
      <c r="CA160" s="913"/>
      <c r="CB160" s="913"/>
      <c r="CC160" s="913"/>
      <c r="CD160" s="913"/>
      <c r="CE160" s="913"/>
      <c r="CF160" s="913"/>
      <c r="CG160" s="913"/>
      <c r="CH160" s="913"/>
      <c r="CI160" s="913"/>
      <c r="CJ160" s="913"/>
      <c r="CK160" s="913"/>
      <c r="CL160" s="913"/>
      <c r="CM160" s="913"/>
      <c r="CN160" s="913"/>
      <c r="CO160" s="913"/>
      <c r="CP160" s="913"/>
      <c r="CQ160" s="913"/>
      <c r="CR160" s="913"/>
      <c r="CS160" s="913"/>
      <c r="CT160" s="913"/>
      <c r="CU160" s="913"/>
      <c r="CV160" s="913"/>
      <c r="CW160" s="913"/>
      <c r="CX160" s="913"/>
      <c r="CY160" s="913"/>
      <c r="CZ160" s="913"/>
      <c r="DA160" s="913"/>
      <c r="DB160" s="913"/>
      <c r="DC160" s="913"/>
      <c r="DD160" s="913"/>
      <c r="DE160" s="913"/>
      <c r="DF160" s="913"/>
      <c r="DG160" s="913"/>
      <c r="DH160" s="913"/>
      <c r="DI160" s="913"/>
      <c r="DJ160" s="913"/>
      <c r="DK160" s="913"/>
      <c r="DL160" s="913"/>
      <c r="DM160" s="913"/>
      <c r="DN160" s="913"/>
      <c r="DO160" s="913"/>
      <c r="DP160" s="913"/>
      <c r="DQ160" s="913"/>
      <c r="DR160" s="913"/>
      <c r="DS160" s="913"/>
      <c r="DT160" s="913"/>
      <c r="DU160" s="913"/>
      <c r="DV160" s="913"/>
      <c r="DW160" s="913"/>
      <c r="DX160" s="913"/>
      <c r="DY160" s="913"/>
      <c r="DZ160" s="913"/>
      <c r="EA160" s="913"/>
      <c r="EB160" s="913"/>
      <c r="EC160" s="913"/>
      <c r="ED160" s="913"/>
      <c r="EE160" s="913"/>
      <c r="EF160" s="913"/>
      <c r="EG160" s="913"/>
      <c r="EH160" s="913"/>
      <c r="EI160" s="913"/>
      <c r="EJ160" s="923"/>
    </row>
    <row r="161" spans="14:140" x14ac:dyDescent="0.25">
      <c r="N161" s="926" t="s">
        <v>148</v>
      </c>
      <c r="O161" s="913">
        <v>7.7759999999999998</v>
      </c>
      <c r="P161" s="913">
        <v>15.552</v>
      </c>
      <c r="Q161" s="913">
        <v>23.327999999999999</v>
      </c>
      <c r="R161" s="913">
        <v>31.103999999999999</v>
      </c>
      <c r="S161" s="913">
        <v>38.879999999999995</v>
      </c>
      <c r="T161" s="913">
        <v>46.655999999999999</v>
      </c>
      <c r="U161" s="913"/>
      <c r="V161" s="913"/>
      <c r="W161" s="913"/>
      <c r="X161" s="913"/>
      <c r="Y161" s="913"/>
      <c r="Z161" s="913"/>
      <c r="AA161" s="913"/>
      <c r="AB161" s="913"/>
      <c r="AC161" s="913"/>
      <c r="AD161" s="913"/>
      <c r="AE161" s="913"/>
      <c r="AF161" s="913"/>
      <c r="AG161" s="913"/>
      <c r="AH161" s="913"/>
      <c r="AI161" s="913"/>
      <c r="AJ161" s="913"/>
      <c r="AK161" s="913"/>
      <c r="AL161" s="913"/>
      <c r="AM161" s="913"/>
      <c r="AN161" s="913"/>
      <c r="AO161" s="913"/>
      <c r="AP161" s="913"/>
      <c r="AQ161" s="913"/>
      <c r="AR161" s="913"/>
      <c r="AS161" s="913"/>
      <c r="AT161" s="913"/>
      <c r="AU161" s="913"/>
      <c r="AV161" s="913"/>
      <c r="AW161" s="913"/>
      <c r="AX161" s="913"/>
      <c r="AY161" s="913"/>
      <c r="AZ161" s="913"/>
      <c r="BA161" s="913"/>
      <c r="BB161" s="913"/>
      <c r="BC161" s="913"/>
      <c r="BD161" s="913"/>
      <c r="BE161" s="913"/>
      <c r="BF161" s="913"/>
      <c r="BG161" s="913"/>
      <c r="BH161" s="913"/>
      <c r="BI161" s="913"/>
      <c r="BJ161" s="913"/>
      <c r="BK161" s="913"/>
      <c r="BL161" s="913"/>
      <c r="BM161" s="913"/>
      <c r="BN161" s="913"/>
      <c r="BO161" s="913"/>
      <c r="BP161" s="913"/>
      <c r="BQ161" s="913"/>
      <c r="BR161" s="913"/>
      <c r="BS161" s="913"/>
      <c r="BT161" s="913"/>
      <c r="BU161" s="913"/>
      <c r="BV161" s="913"/>
      <c r="BW161" s="913"/>
      <c r="BX161" s="913"/>
      <c r="BY161" s="913"/>
      <c r="BZ161" s="913"/>
      <c r="CA161" s="913"/>
      <c r="CB161" s="913"/>
      <c r="CC161" s="913"/>
      <c r="CD161" s="913"/>
      <c r="CE161" s="913"/>
      <c r="CF161" s="913"/>
      <c r="CG161" s="913"/>
      <c r="CH161" s="913"/>
      <c r="CI161" s="913"/>
      <c r="CJ161" s="913"/>
      <c r="CK161" s="913"/>
      <c r="CL161" s="913"/>
      <c r="CM161" s="913"/>
      <c r="CN161" s="913"/>
      <c r="CO161" s="913"/>
      <c r="CP161" s="913"/>
      <c r="CQ161" s="913"/>
      <c r="CR161" s="913"/>
      <c r="CS161" s="913"/>
      <c r="CT161" s="913"/>
      <c r="CU161" s="913"/>
      <c r="CV161" s="913"/>
      <c r="CW161" s="913"/>
      <c r="CX161" s="913"/>
      <c r="CY161" s="913"/>
      <c r="CZ161" s="913"/>
      <c r="DA161" s="913"/>
      <c r="DB161" s="913"/>
      <c r="DC161" s="913"/>
      <c r="DD161" s="913"/>
      <c r="DE161" s="913"/>
      <c r="DF161" s="913"/>
      <c r="DG161" s="913"/>
      <c r="DH161" s="913"/>
      <c r="DI161" s="913"/>
      <c r="DJ161" s="913"/>
      <c r="DK161" s="913"/>
      <c r="DL161" s="913"/>
      <c r="DM161" s="913"/>
      <c r="DN161" s="913"/>
      <c r="DO161" s="913"/>
      <c r="DP161" s="913"/>
      <c r="DQ161" s="913"/>
      <c r="DR161" s="913"/>
      <c r="DS161" s="913"/>
      <c r="DT161" s="913"/>
      <c r="DU161" s="913"/>
      <c r="DV161" s="913"/>
      <c r="DW161" s="913"/>
      <c r="DX161" s="913"/>
      <c r="DY161" s="913"/>
      <c r="DZ161" s="913"/>
      <c r="EA161" s="913"/>
      <c r="EB161" s="913"/>
      <c r="EC161" s="913"/>
      <c r="ED161" s="913"/>
      <c r="EE161" s="913"/>
      <c r="EF161" s="913"/>
      <c r="EG161" s="913"/>
      <c r="EH161" s="913"/>
      <c r="EI161" s="913"/>
      <c r="EJ161" s="923"/>
    </row>
    <row r="162" spans="14:140" x14ac:dyDescent="0.25">
      <c r="N162" s="922" t="s">
        <v>248</v>
      </c>
      <c r="O162" s="913">
        <v>12</v>
      </c>
      <c r="P162" s="913">
        <v>12</v>
      </c>
      <c r="Q162" s="913">
        <v>12</v>
      </c>
      <c r="R162" s="913">
        <v>12</v>
      </c>
      <c r="S162" s="913">
        <v>12</v>
      </c>
      <c r="T162" s="913">
        <v>12</v>
      </c>
      <c r="U162" s="913"/>
      <c r="V162" s="913"/>
      <c r="W162" s="913"/>
      <c r="X162" s="913"/>
      <c r="Y162" s="913"/>
      <c r="Z162" s="913"/>
      <c r="AA162" s="913"/>
      <c r="AB162" s="913"/>
      <c r="AC162" s="913"/>
      <c r="AD162" s="913"/>
      <c r="AE162" s="913"/>
      <c r="AF162" s="913"/>
      <c r="AG162" s="913"/>
      <c r="AH162" s="913"/>
      <c r="AI162" s="913"/>
      <c r="AJ162" s="913"/>
      <c r="AK162" s="913"/>
      <c r="AL162" s="913"/>
      <c r="AM162" s="913"/>
      <c r="AN162" s="913"/>
      <c r="AO162" s="913"/>
      <c r="AP162" s="913"/>
      <c r="AQ162" s="913"/>
      <c r="AR162" s="913"/>
      <c r="AS162" s="913"/>
      <c r="AT162" s="913"/>
      <c r="AU162" s="913"/>
      <c r="AV162" s="913"/>
      <c r="AW162" s="913"/>
      <c r="AX162" s="913"/>
      <c r="AY162" s="913"/>
      <c r="AZ162" s="913"/>
      <c r="BA162" s="913"/>
      <c r="BB162" s="913"/>
      <c r="BC162" s="913"/>
      <c r="BD162" s="913"/>
      <c r="BE162" s="913"/>
      <c r="BF162" s="913"/>
      <c r="BG162" s="913"/>
      <c r="BH162" s="913"/>
      <c r="BI162" s="913"/>
      <c r="BJ162" s="913"/>
      <c r="BK162" s="913"/>
      <c r="BL162" s="913"/>
      <c r="BM162" s="913"/>
      <c r="BN162" s="913"/>
      <c r="BO162" s="913"/>
      <c r="BP162" s="913"/>
      <c r="BQ162" s="913"/>
      <c r="BR162" s="913"/>
      <c r="BS162" s="913"/>
      <c r="BT162" s="913"/>
      <c r="BU162" s="913"/>
      <c r="BV162" s="913"/>
      <c r="BW162" s="913"/>
      <c r="BX162" s="913"/>
      <c r="BY162" s="913"/>
      <c r="BZ162" s="913"/>
      <c r="CA162" s="913"/>
      <c r="CB162" s="913"/>
      <c r="CC162" s="913"/>
      <c r="CD162" s="913"/>
      <c r="CE162" s="913"/>
      <c r="CF162" s="913"/>
      <c r="CG162" s="913"/>
      <c r="CH162" s="913"/>
      <c r="CI162" s="913"/>
      <c r="CJ162" s="913"/>
      <c r="CK162" s="913"/>
      <c r="CL162" s="913"/>
      <c r="CM162" s="913"/>
      <c r="CN162" s="913"/>
      <c r="CO162" s="913"/>
      <c r="CP162" s="913"/>
      <c r="CQ162" s="913"/>
      <c r="CR162" s="913"/>
      <c r="CS162" s="913"/>
      <c r="CT162" s="913"/>
      <c r="CU162" s="913"/>
      <c r="CV162" s="913"/>
      <c r="CW162" s="913"/>
      <c r="CX162" s="913"/>
      <c r="CY162" s="913"/>
      <c r="CZ162" s="913"/>
      <c r="DA162" s="913"/>
      <c r="DB162" s="913"/>
      <c r="DC162" s="913"/>
      <c r="DD162" s="913"/>
      <c r="DE162" s="913"/>
      <c r="DF162" s="913"/>
      <c r="DG162" s="913"/>
      <c r="DH162" s="913"/>
      <c r="DI162" s="913"/>
      <c r="DJ162" s="913"/>
      <c r="DK162" s="913"/>
      <c r="DL162" s="913"/>
      <c r="DM162" s="913"/>
      <c r="DN162" s="913"/>
      <c r="DO162" s="913"/>
      <c r="DP162" s="913"/>
      <c r="DQ162" s="913"/>
      <c r="DR162" s="913"/>
      <c r="DS162" s="913"/>
      <c r="DT162" s="913"/>
      <c r="DU162" s="913"/>
      <c r="DV162" s="913"/>
      <c r="DW162" s="913"/>
      <c r="DX162" s="913"/>
      <c r="DY162" s="913"/>
      <c r="DZ162" s="913"/>
      <c r="EA162" s="913"/>
      <c r="EB162" s="913"/>
      <c r="EC162" s="913"/>
      <c r="ED162" s="913"/>
      <c r="EE162" s="913"/>
      <c r="EF162" s="913"/>
      <c r="EG162" s="913"/>
      <c r="EH162" s="913"/>
      <c r="EI162" s="913"/>
      <c r="EJ162" s="923"/>
    </row>
    <row r="163" spans="14:140" x14ac:dyDescent="0.25">
      <c r="N163" s="922" t="s">
        <v>245</v>
      </c>
      <c r="O163" s="913">
        <v>12.479999999999997</v>
      </c>
      <c r="P163" s="913">
        <v>19.379999999999995</v>
      </c>
      <c r="Q163" s="913">
        <v>26.279999999999994</v>
      </c>
      <c r="R163" s="913">
        <v>33.179999999999986</v>
      </c>
      <c r="S163" s="913">
        <v>40.079999999999984</v>
      </c>
      <c r="T163" s="913">
        <v>46.979999999999983</v>
      </c>
      <c r="U163" s="913"/>
      <c r="V163" s="913"/>
      <c r="W163" s="913"/>
      <c r="X163" s="913"/>
      <c r="Y163" s="913"/>
      <c r="Z163" s="913"/>
      <c r="AA163" s="913"/>
      <c r="AB163" s="913"/>
      <c r="AC163" s="913"/>
      <c r="AD163" s="913"/>
      <c r="AE163" s="913"/>
      <c r="AF163" s="913"/>
      <c r="AG163" s="913"/>
      <c r="AH163" s="913"/>
      <c r="AI163" s="913"/>
      <c r="AJ163" s="913"/>
      <c r="AK163" s="913"/>
      <c r="AL163" s="913"/>
      <c r="AM163" s="913"/>
      <c r="AN163" s="913"/>
      <c r="AO163" s="913"/>
      <c r="AP163" s="913"/>
      <c r="AQ163" s="913"/>
      <c r="AR163" s="913"/>
      <c r="AS163" s="913"/>
      <c r="AT163" s="913"/>
      <c r="AU163" s="913"/>
      <c r="AV163" s="913"/>
      <c r="AW163" s="913"/>
      <c r="AX163" s="913"/>
      <c r="AY163" s="913"/>
      <c r="AZ163" s="913"/>
      <c r="BA163" s="913"/>
      <c r="BB163" s="913"/>
      <c r="BC163" s="913"/>
      <c r="BD163" s="913"/>
      <c r="BE163" s="913"/>
      <c r="BF163" s="913"/>
      <c r="BG163" s="913"/>
      <c r="BH163" s="913"/>
      <c r="BI163" s="913"/>
      <c r="BJ163" s="913"/>
      <c r="BK163" s="913"/>
      <c r="BL163" s="913"/>
      <c r="BM163" s="913"/>
      <c r="BN163" s="913"/>
      <c r="BO163" s="913"/>
      <c r="BP163" s="913"/>
      <c r="BQ163" s="913"/>
      <c r="BR163" s="913"/>
      <c r="BS163" s="913"/>
      <c r="BT163" s="913"/>
      <c r="BU163" s="913"/>
      <c r="BV163" s="913"/>
      <c r="BW163" s="913"/>
      <c r="BX163" s="913"/>
      <c r="BY163" s="913"/>
      <c r="BZ163" s="913"/>
      <c r="CA163" s="913"/>
      <c r="CB163" s="913"/>
      <c r="CC163" s="913"/>
      <c r="CD163" s="913"/>
      <c r="CE163" s="913"/>
      <c r="CF163" s="913"/>
      <c r="CG163" s="913"/>
      <c r="CH163" s="913"/>
      <c r="CI163" s="913"/>
      <c r="CJ163" s="913"/>
      <c r="CK163" s="913"/>
      <c r="CL163" s="913"/>
      <c r="CM163" s="913"/>
      <c r="CN163" s="913"/>
      <c r="CO163" s="913"/>
      <c r="CP163" s="913"/>
      <c r="CQ163" s="913"/>
      <c r="CR163" s="913"/>
      <c r="CS163" s="913"/>
      <c r="CT163" s="913"/>
      <c r="CU163" s="913"/>
      <c r="CV163" s="913"/>
      <c r="CW163" s="913"/>
      <c r="CX163" s="913"/>
      <c r="CY163" s="913"/>
      <c r="CZ163" s="913"/>
      <c r="DA163" s="913"/>
      <c r="DB163" s="913"/>
      <c r="DC163" s="913"/>
      <c r="DD163" s="913"/>
      <c r="DE163" s="913"/>
      <c r="DF163" s="913"/>
      <c r="DG163" s="913"/>
      <c r="DH163" s="913"/>
      <c r="DI163" s="913"/>
      <c r="DJ163" s="913"/>
      <c r="DK163" s="913"/>
      <c r="DL163" s="913"/>
      <c r="DM163" s="913"/>
      <c r="DN163" s="913"/>
      <c r="DO163" s="913"/>
      <c r="DP163" s="913"/>
      <c r="DQ163" s="913"/>
      <c r="DR163" s="913"/>
      <c r="DS163" s="913"/>
      <c r="DT163" s="913"/>
      <c r="DU163" s="913"/>
      <c r="DV163" s="913"/>
      <c r="DW163" s="913"/>
      <c r="DX163" s="913"/>
      <c r="DY163" s="913"/>
      <c r="DZ163" s="913"/>
      <c r="EA163" s="913"/>
      <c r="EB163" s="913"/>
      <c r="EC163" s="913"/>
      <c r="ED163" s="913"/>
      <c r="EE163" s="913"/>
      <c r="EF163" s="913"/>
      <c r="EG163" s="913"/>
      <c r="EH163" s="913"/>
      <c r="EI163" s="913"/>
      <c r="EJ163" s="923"/>
    </row>
    <row r="164" spans="14:140" x14ac:dyDescent="0.25">
      <c r="N164" s="922" t="s">
        <v>246</v>
      </c>
      <c r="O164" s="913">
        <v>17.46</v>
      </c>
      <c r="P164" s="913">
        <v>17.46</v>
      </c>
      <c r="Q164" s="913">
        <v>17.46</v>
      </c>
      <c r="R164" s="913">
        <v>17.46</v>
      </c>
      <c r="S164" s="913">
        <v>17.46</v>
      </c>
      <c r="T164" s="913">
        <v>17.46</v>
      </c>
      <c r="U164" s="913"/>
      <c r="V164" s="913"/>
      <c r="W164" s="913"/>
      <c r="X164" s="913"/>
      <c r="Y164" s="913"/>
      <c r="Z164" s="913"/>
      <c r="AA164" s="913"/>
      <c r="AB164" s="913"/>
      <c r="AC164" s="913"/>
      <c r="AD164" s="913"/>
      <c r="AE164" s="913"/>
      <c r="AF164" s="913"/>
      <c r="AG164" s="913"/>
      <c r="AH164" s="913"/>
      <c r="AI164" s="913"/>
      <c r="AJ164" s="913"/>
      <c r="AK164" s="913"/>
      <c r="AL164" s="913"/>
      <c r="AM164" s="913"/>
      <c r="AN164" s="913"/>
      <c r="AO164" s="913"/>
      <c r="AP164" s="913"/>
      <c r="AQ164" s="913"/>
      <c r="AR164" s="913"/>
      <c r="AS164" s="913"/>
      <c r="AT164" s="913"/>
      <c r="AU164" s="913"/>
      <c r="AV164" s="913"/>
      <c r="AW164" s="913"/>
      <c r="AX164" s="913"/>
      <c r="AY164" s="913"/>
      <c r="AZ164" s="913"/>
      <c r="BA164" s="913"/>
      <c r="BB164" s="913"/>
      <c r="BC164" s="913"/>
      <c r="BD164" s="913"/>
      <c r="BE164" s="913"/>
      <c r="BF164" s="913"/>
      <c r="BG164" s="913"/>
      <c r="BH164" s="913"/>
      <c r="BI164" s="913"/>
      <c r="BJ164" s="913"/>
      <c r="BK164" s="913"/>
      <c r="BL164" s="913"/>
      <c r="BM164" s="913"/>
      <c r="BN164" s="913"/>
      <c r="BO164" s="913"/>
      <c r="BP164" s="913"/>
      <c r="BQ164" s="913"/>
      <c r="BR164" s="913"/>
      <c r="BS164" s="913"/>
      <c r="BT164" s="913"/>
      <c r="BU164" s="913"/>
      <c r="BV164" s="913"/>
      <c r="BW164" s="913"/>
      <c r="BX164" s="913"/>
      <c r="BY164" s="913"/>
      <c r="BZ164" s="913"/>
      <c r="CA164" s="913"/>
      <c r="CB164" s="913"/>
      <c r="CC164" s="913"/>
      <c r="CD164" s="913"/>
      <c r="CE164" s="913"/>
      <c r="CF164" s="913"/>
      <c r="CG164" s="913"/>
      <c r="CH164" s="913"/>
      <c r="CI164" s="913"/>
      <c r="CJ164" s="913"/>
      <c r="CK164" s="913"/>
      <c r="CL164" s="913"/>
      <c r="CM164" s="913"/>
      <c r="CN164" s="913"/>
      <c r="CO164" s="913"/>
      <c r="CP164" s="913"/>
      <c r="CQ164" s="913"/>
      <c r="CR164" s="913"/>
      <c r="CS164" s="913"/>
      <c r="CT164" s="913"/>
      <c r="CU164" s="913"/>
      <c r="CV164" s="913"/>
      <c r="CW164" s="913"/>
      <c r="CX164" s="913"/>
      <c r="CY164" s="913"/>
      <c r="CZ164" s="913"/>
      <c r="DA164" s="913"/>
      <c r="DB164" s="913"/>
      <c r="DC164" s="913"/>
      <c r="DD164" s="913"/>
      <c r="DE164" s="913"/>
      <c r="DF164" s="913"/>
      <c r="DG164" s="913"/>
      <c r="DH164" s="913"/>
      <c r="DI164" s="913"/>
      <c r="DJ164" s="913"/>
      <c r="DK164" s="913"/>
      <c r="DL164" s="913"/>
      <c r="DM164" s="913"/>
      <c r="DN164" s="913"/>
      <c r="DO164" s="913"/>
      <c r="DP164" s="913"/>
      <c r="DQ164" s="913"/>
      <c r="DR164" s="913"/>
      <c r="DS164" s="913"/>
      <c r="DT164" s="913"/>
      <c r="DU164" s="913"/>
      <c r="DV164" s="913"/>
      <c r="DW164" s="913"/>
      <c r="DX164" s="913"/>
      <c r="DY164" s="913"/>
      <c r="DZ164" s="913"/>
      <c r="EA164" s="913"/>
      <c r="EB164" s="913"/>
      <c r="EC164" s="913"/>
      <c r="ED164" s="913"/>
      <c r="EE164" s="913"/>
      <c r="EF164" s="913"/>
      <c r="EG164" s="913"/>
      <c r="EH164" s="913"/>
      <c r="EI164" s="913"/>
      <c r="EJ164" s="923"/>
    </row>
    <row r="165" spans="14:140" x14ac:dyDescent="0.25">
      <c r="N165" s="922" t="s">
        <v>249</v>
      </c>
      <c r="O165" s="913">
        <v>462.22800000000001</v>
      </c>
      <c r="P165" s="913">
        <v>462.22800000000001</v>
      </c>
      <c r="Q165" s="913">
        <v>462.22800000000001</v>
      </c>
      <c r="R165" s="913">
        <v>462.22800000000001</v>
      </c>
      <c r="S165" s="913">
        <v>462.22800000000001</v>
      </c>
      <c r="T165" s="913">
        <v>462.22800000000001</v>
      </c>
      <c r="U165" s="913"/>
      <c r="V165" s="913"/>
      <c r="W165" s="913"/>
      <c r="X165" s="913"/>
      <c r="Y165" s="913"/>
      <c r="Z165" s="913"/>
      <c r="AA165" s="913"/>
      <c r="AB165" s="913"/>
      <c r="AC165" s="913"/>
      <c r="AD165" s="913"/>
      <c r="AE165" s="913"/>
      <c r="AF165" s="913"/>
      <c r="AG165" s="913"/>
      <c r="AH165" s="913"/>
      <c r="AI165" s="913"/>
      <c r="AJ165" s="913"/>
      <c r="AK165" s="913"/>
      <c r="AL165" s="913"/>
      <c r="AM165" s="913"/>
      <c r="AN165" s="913"/>
      <c r="AO165" s="913"/>
      <c r="AP165" s="913"/>
      <c r="AQ165" s="913"/>
      <c r="AR165" s="913"/>
      <c r="AS165" s="913"/>
      <c r="AT165" s="913"/>
      <c r="AU165" s="913"/>
      <c r="AV165" s="913"/>
      <c r="AW165" s="913"/>
      <c r="AX165" s="913"/>
      <c r="AY165" s="913"/>
      <c r="AZ165" s="913"/>
      <c r="BA165" s="913"/>
      <c r="BB165" s="913"/>
      <c r="BC165" s="913"/>
      <c r="BD165" s="913"/>
      <c r="BE165" s="913"/>
      <c r="BF165" s="913"/>
      <c r="BG165" s="913"/>
      <c r="BH165" s="913"/>
      <c r="BI165" s="913"/>
      <c r="BJ165" s="913"/>
      <c r="BK165" s="913"/>
      <c r="BL165" s="913"/>
      <c r="BM165" s="913"/>
      <c r="BN165" s="913"/>
      <c r="BO165" s="913"/>
      <c r="BP165" s="913"/>
      <c r="BQ165" s="913"/>
      <c r="BR165" s="913"/>
      <c r="BS165" s="913"/>
      <c r="BT165" s="913"/>
      <c r="BU165" s="913"/>
      <c r="BV165" s="913"/>
      <c r="BW165" s="913"/>
      <c r="BX165" s="913"/>
      <c r="BY165" s="913"/>
      <c r="BZ165" s="913"/>
      <c r="CA165" s="913"/>
      <c r="CB165" s="913"/>
      <c r="CC165" s="913"/>
      <c r="CD165" s="913"/>
      <c r="CE165" s="913"/>
      <c r="CF165" s="913"/>
      <c r="CG165" s="913"/>
      <c r="CH165" s="913"/>
      <c r="CI165" s="913"/>
      <c r="CJ165" s="913"/>
      <c r="CK165" s="913"/>
      <c r="CL165" s="913"/>
      <c r="CM165" s="913"/>
      <c r="CN165" s="913"/>
      <c r="CO165" s="913"/>
      <c r="CP165" s="913"/>
      <c r="CQ165" s="913"/>
      <c r="CR165" s="913"/>
      <c r="CS165" s="913"/>
      <c r="CT165" s="913"/>
      <c r="CU165" s="913"/>
      <c r="CV165" s="913"/>
      <c r="CW165" s="913"/>
      <c r="CX165" s="913"/>
      <c r="CY165" s="913"/>
      <c r="CZ165" s="913"/>
      <c r="DA165" s="913"/>
      <c r="DB165" s="913"/>
      <c r="DC165" s="913"/>
      <c r="DD165" s="913"/>
      <c r="DE165" s="913"/>
      <c r="DF165" s="913"/>
      <c r="DG165" s="913"/>
      <c r="DH165" s="913"/>
      <c r="DI165" s="913"/>
      <c r="DJ165" s="913"/>
      <c r="DK165" s="913"/>
      <c r="DL165" s="913"/>
      <c r="DM165" s="913"/>
      <c r="DN165" s="913"/>
      <c r="DO165" s="913"/>
      <c r="DP165" s="913"/>
      <c r="DQ165" s="913"/>
      <c r="DR165" s="913"/>
      <c r="DS165" s="913"/>
      <c r="DT165" s="913"/>
      <c r="DU165" s="913"/>
      <c r="DV165" s="913"/>
      <c r="DW165" s="913"/>
      <c r="DX165" s="913"/>
      <c r="DY165" s="913"/>
      <c r="DZ165" s="913"/>
      <c r="EA165" s="913"/>
      <c r="EB165" s="913"/>
      <c r="EC165" s="913"/>
      <c r="ED165" s="913"/>
      <c r="EE165" s="913"/>
      <c r="EF165" s="913"/>
      <c r="EG165" s="913"/>
      <c r="EH165" s="913"/>
      <c r="EI165" s="913"/>
      <c r="EJ165" s="923"/>
    </row>
    <row r="166" spans="14:140" x14ac:dyDescent="0.25">
      <c r="N166" s="922"/>
      <c r="O166" s="913"/>
      <c r="P166" s="913"/>
      <c r="Q166" s="913"/>
      <c r="R166" s="913"/>
      <c r="S166" s="913"/>
      <c r="T166" s="913"/>
      <c r="U166" s="913"/>
      <c r="V166" s="913"/>
      <c r="W166" s="913"/>
      <c r="X166" s="913"/>
      <c r="Y166" s="913"/>
      <c r="Z166" s="913"/>
      <c r="AA166" s="913"/>
      <c r="AB166" s="913"/>
      <c r="AC166" s="913"/>
      <c r="AD166" s="913"/>
      <c r="AE166" s="913"/>
      <c r="AF166" s="913"/>
      <c r="AG166" s="913"/>
      <c r="AH166" s="913"/>
      <c r="AI166" s="913"/>
      <c r="AJ166" s="913"/>
      <c r="AK166" s="913"/>
      <c r="AL166" s="913"/>
      <c r="AM166" s="913"/>
      <c r="AN166" s="913"/>
      <c r="AO166" s="913"/>
      <c r="AP166" s="913"/>
      <c r="AQ166" s="913"/>
      <c r="AR166" s="913"/>
      <c r="AS166" s="913"/>
      <c r="AT166" s="913"/>
      <c r="AU166" s="913"/>
      <c r="AV166" s="913"/>
      <c r="AW166" s="913"/>
      <c r="AX166" s="913"/>
      <c r="AY166" s="913"/>
      <c r="AZ166" s="913"/>
      <c r="BA166" s="913"/>
      <c r="BB166" s="913"/>
      <c r="BC166" s="913"/>
      <c r="BD166" s="913"/>
      <c r="BE166" s="913"/>
      <c r="BF166" s="913"/>
      <c r="BG166" s="913"/>
      <c r="BH166" s="913"/>
      <c r="BI166" s="913"/>
      <c r="BJ166" s="913"/>
      <c r="BK166" s="913"/>
      <c r="BL166" s="913"/>
      <c r="BM166" s="913"/>
      <c r="BN166" s="913"/>
      <c r="BO166" s="913"/>
      <c r="BP166" s="913"/>
      <c r="BQ166" s="913"/>
      <c r="BR166" s="913"/>
      <c r="BS166" s="913"/>
      <c r="BT166" s="913"/>
      <c r="BU166" s="913"/>
      <c r="BV166" s="913"/>
      <c r="BW166" s="913"/>
      <c r="BX166" s="913"/>
      <c r="BY166" s="913"/>
      <c r="BZ166" s="913"/>
      <c r="CA166" s="913"/>
      <c r="CB166" s="913"/>
      <c r="CC166" s="913"/>
      <c r="CD166" s="913"/>
      <c r="CE166" s="913"/>
      <c r="CF166" s="913"/>
      <c r="CG166" s="913"/>
      <c r="CH166" s="913"/>
      <c r="CI166" s="913"/>
      <c r="CJ166" s="913"/>
      <c r="CK166" s="913"/>
      <c r="CL166" s="913"/>
      <c r="CM166" s="913"/>
      <c r="CN166" s="913"/>
      <c r="CO166" s="913"/>
      <c r="CP166" s="913"/>
      <c r="CQ166" s="913"/>
      <c r="CR166" s="913"/>
      <c r="CS166" s="913"/>
      <c r="CT166" s="913"/>
      <c r="CU166" s="913"/>
      <c r="CV166" s="913"/>
      <c r="CW166" s="913"/>
      <c r="CX166" s="913"/>
      <c r="CY166" s="913"/>
      <c r="CZ166" s="913"/>
      <c r="DA166" s="913"/>
      <c r="DB166" s="913"/>
      <c r="DC166" s="913"/>
      <c r="DD166" s="913"/>
      <c r="DE166" s="913"/>
      <c r="DF166" s="913"/>
      <c r="DG166" s="913"/>
      <c r="DH166" s="913"/>
      <c r="DI166" s="913"/>
      <c r="DJ166" s="913"/>
      <c r="DK166" s="913"/>
      <c r="DL166" s="913"/>
      <c r="DM166" s="913"/>
      <c r="DN166" s="913"/>
      <c r="DO166" s="913"/>
      <c r="DP166" s="913"/>
      <c r="DQ166" s="913"/>
      <c r="DR166" s="913"/>
      <c r="DS166" s="913"/>
      <c r="DT166" s="913"/>
      <c r="DU166" s="913"/>
      <c r="DV166" s="913"/>
      <c r="DW166" s="913"/>
      <c r="DX166" s="913"/>
      <c r="DY166" s="913"/>
      <c r="DZ166" s="913"/>
      <c r="EA166" s="913"/>
      <c r="EB166" s="913"/>
      <c r="EC166" s="913"/>
      <c r="ED166" s="913"/>
      <c r="EE166" s="913"/>
      <c r="EF166" s="913"/>
      <c r="EG166" s="913"/>
      <c r="EH166" s="913"/>
      <c r="EI166" s="913"/>
      <c r="EJ166" s="923"/>
    </row>
    <row r="167" spans="14:140" x14ac:dyDescent="0.25">
      <c r="N167" s="922" t="s">
        <v>77</v>
      </c>
      <c r="O167" s="913">
        <v>719.61599999999999</v>
      </c>
      <c r="P167" s="913">
        <v>880.404</v>
      </c>
      <c r="Q167" s="913">
        <v>1041.432</v>
      </c>
      <c r="R167" s="913">
        <v>1202.22</v>
      </c>
      <c r="S167" s="913">
        <v>1363.008</v>
      </c>
      <c r="T167" s="913">
        <v>1523.796</v>
      </c>
      <c r="U167" s="913"/>
      <c r="V167" s="913"/>
      <c r="W167" s="913"/>
      <c r="X167" s="913"/>
      <c r="Y167" s="913"/>
      <c r="Z167" s="913"/>
      <c r="AA167" s="913"/>
      <c r="AB167" s="913"/>
      <c r="AC167" s="913"/>
      <c r="AD167" s="913"/>
      <c r="AE167" s="913"/>
      <c r="AF167" s="913"/>
      <c r="AG167" s="913"/>
      <c r="AH167" s="913"/>
      <c r="AI167" s="913"/>
      <c r="AJ167" s="913"/>
      <c r="AK167" s="913"/>
      <c r="AL167" s="913"/>
      <c r="AM167" s="913"/>
      <c r="AN167" s="913"/>
      <c r="AO167" s="913"/>
      <c r="AP167" s="913"/>
      <c r="AQ167" s="913"/>
      <c r="AR167" s="913"/>
      <c r="AS167" s="913"/>
      <c r="AT167" s="913"/>
      <c r="AU167" s="913"/>
      <c r="AV167" s="913"/>
      <c r="AW167" s="913"/>
      <c r="AX167" s="913"/>
      <c r="AY167" s="913"/>
      <c r="AZ167" s="913"/>
      <c r="BA167" s="913"/>
      <c r="BB167" s="913"/>
      <c r="BC167" s="913"/>
      <c r="BD167" s="913"/>
      <c r="BE167" s="913"/>
      <c r="BF167" s="913"/>
      <c r="BG167" s="913"/>
      <c r="BH167" s="913"/>
      <c r="BI167" s="913"/>
      <c r="BJ167" s="913"/>
      <c r="BK167" s="913"/>
      <c r="BL167" s="913"/>
      <c r="BM167" s="913"/>
      <c r="BN167" s="913"/>
      <c r="BO167" s="913"/>
      <c r="BP167" s="913"/>
      <c r="BQ167" s="913"/>
      <c r="BR167" s="913"/>
      <c r="BS167" s="913"/>
      <c r="BT167" s="913"/>
      <c r="BU167" s="913"/>
      <c r="BV167" s="913"/>
      <c r="BW167" s="913"/>
      <c r="BX167" s="913"/>
      <c r="BY167" s="913"/>
      <c r="BZ167" s="913"/>
      <c r="CA167" s="913"/>
      <c r="CB167" s="913"/>
      <c r="CC167" s="913"/>
      <c r="CD167" s="913"/>
      <c r="CE167" s="913"/>
      <c r="CF167" s="913"/>
      <c r="CG167" s="913"/>
      <c r="CH167" s="913"/>
      <c r="CI167" s="913"/>
      <c r="CJ167" s="913"/>
      <c r="CK167" s="913"/>
      <c r="CL167" s="913"/>
      <c r="CM167" s="913"/>
      <c r="CN167" s="913"/>
      <c r="CO167" s="913"/>
      <c r="CP167" s="913"/>
      <c r="CQ167" s="913"/>
      <c r="CR167" s="913"/>
      <c r="CS167" s="913"/>
      <c r="CT167" s="913"/>
      <c r="CU167" s="913"/>
      <c r="CV167" s="913"/>
      <c r="CW167" s="913"/>
      <c r="CX167" s="913"/>
      <c r="CY167" s="913"/>
      <c r="CZ167" s="913"/>
      <c r="DA167" s="913"/>
      <c r="DB167" s="913"/>
      <c r="DC167" s="913"/>
      <c r="DD167" s="913"/>
      <c r="DE167" s="913"/>
      <c r="DF167" s="913"/>
      <c r="DG167" s="913"/>
      <c r="DH167" s="913"/>
      <c r="DI167" s="913"/>
      <c r="DJ167" s="913"/>
      <c r="DK167" s="913"/>
      <c r="DL167" s="913"/>
      <c r="DM167" s="913"/>
      <c r="DN167" s="913"/>
      <c r="DO167" s="913"/>
      <c r="DP167" s="913"/>
      <c r="DQ167" s="913"/>
      <c r="DR167" s="913"/>
      <c r="DS167" s="913"/>
      <c r="DT167" s="913"/>
      <c r="DU167" s="913"/>
      <c r="DV167" s="913"/>
      <c r="DW167" s="913"/>
      <c r="DX167" s="913"/>
      <c r="DY167" s="913"/>
      <c r="DZ167" s="913"/>
      <c r="EA167" s="913"/>
      <c r="EB167" s="913"/>
      <c r="EC167" s="913"/>
      <c r="ED167" s="913"/>
      <c r="EE167" s="913"/>
      <c r="EF167" s="913"/>
      <c r="EG167" s="913"/>
      <c r="EH167" s="913"/>
      <c r="EI167" s="913"/>
      <c r="EJ167" s="923"/>
    </row>
    <row r="168" spans="14:140" x14ac:dyDescent="0.25">
      <c r="N168" s="922" t="s">
        <v>76</v>
      </c>
      <c r="O168" s="913">
        <v>59.967999999999996</v>
      </c>
      <c r="P168" s="913">
        <v>73.367000000000004</v>
      </c>
      <c r="Q168" s="913">
        <v>86.786000000000001</v>
      </c>
      <c r="R168" s="913">
        <v>100.185</v>
      </c>
      <c r="S168" s="913">
        <v>113.584</v>
      </c>
      <c r="T168" s="913">
        <v>126.983</v>
      </c>
      <c r="U168" s="913"/>
      <c r="V168" s="913"/>
      <c r="W168" s="913"/>
      <c r="X168" s="913"/>
      <c r="Y168" s="913"/>
      <c r="Z168" s="913"/>
      <c r="AA168" s="913"/>
      <c r="AB168" s="913"/>
      <c r="AC168" s="913"/>
      <c r="AD168" s="913"/>
      <c r="AE168" s="913"/>
      <c r="AF168" s="913"/>
      <c r="AG168" s="913"/>
      <c r="AH168" s="913"/>
      <c r="AI168" s="913"/>
      <c r="AJ168" s="913"/>
      <c r="AK168" s="913"/>
      <c r="AL168" s="913"/>
      <c r="AM168" s="913"/>
      <c r="AN168" s="913"/>
      <c r="AO168" s="913"/>
      <c r="AP168" s="913"/>
      <c r="AQ168" s="913"/>
      <c r="AR168" s="913"/>
      <c r="AS168" s="913"/>
      <c r="AT168" s="913"/>
      <c r="AU168" s="913"/>
      <c r="AV168" s="913"/>
      <c r="AW168" s="913"/>
      <c r="AX168" s="913"/>
      <c r="AY168" s="913"/>
      <c r="AZ168" s="913"/>
      <c r="BA168" s="913"/>
      <c r="BB168" s="913"/>
      <c r="BC168" s="913"/>
      <c r="BD168" s="913"/>
      <c r="BE168" s="913"/>
      <c r="BF168" s="913"/>
      <c r="BG168" s="913"/>
      <c r="BH168" s="913"/>
      <c r="BI168" s="913"/>
      <c r="BJ168" s="913"/>
      <c r="BK168" s="913"/>
      <c r="BL168" s="913"/>
      <c r="BM168" s="913"/>
      <c r="BN168" s="913"/>
      <c r="BO168" s="913"/>
      <c r="BP168" s="913"/>
      <c r="BQ168" s="913"/>
      <c r="BR168" s="913"/>
      <c r="BS168" s="913"/>
      <c r="BT168" s="913"/>
      <c r="BU168" s="913"/>
      <c r="BV168" s="913"/>
      <c r="BW168" s="913"/>
      <c r="BX168" s="913"/>
      <c r="BY168" s="913"/>
      <c r="BZ168" s="913"/>
      <c r="CA168" s="913"/>
      <c r="CB168" s="913"/>
      <c r="CC168" s="913"/>
      <c r="CD168" s="913"/>
      <c r="CE168" s="913"/>
      <c r="CF168" s="913"/>
      <c r="CG168" s="913"/>
      <c r="CH168" s="913"/>
      <c r="CI168" s="913"/>
      <c r="CJ168" s="913"/>
      <c r="CK168" s="913"/>
      <c r="CL168" s="913"/>
      <c r="CM168" s="913"/>
      <c r="CN168" s="913"/>
      <c r="CO168" s="913"/>
      <c r="CP168" s="913"/>
      <c r="CQ168" s="913"/>
      <c r="CR168" s="913"/>
      <c r="CS168" s="913"/>
      <c r="CT168" s="913"/>
      <c r="CU168" s="913"/>
      <c r="CV168" s="913"/>
      <c r="CW168" s="913"/>
      <c r="CX168" s="913"/>
      <c r="CY168" s="913"/>
      <c r="CZ168" s="913"/>
      <c r="DA168" s="913"/>
      <c r="DB168" s="913"/>
      <c r="DC168" s="913"/>
      <c r="DD168" s="913"/>
      <c r="DE168" s="913"/>
      <c r="DF168" s="913"/>
      <c r="DG168" s="913"/>
      <c r="DH168" s="913"/>
      <c r="DI168" s="913"/>
      <c r="DJ168" s="913"/>
      <c r="DK168" s="913"/>
      <c r="DL168" s="913"/>
      <c r="DM168" s="913"/>
      <c r="DN168" s="913"/>
      <c r="DO168" s="913"/>
      <c r="DP168" s="913"/>
      <c r="DQ168" s="913"/>
      <c r="DR168" s="913"/>
      <c r="DS168" s="913"/>
      <c r="DT168" s="913"/>
      <c r="DU168" s="913"/>
      <c r="DV168" s="913"/>
      <c r="DW168" s="913"/>
      <c r="DX168" s="913"/>
      <c r="DY168" s="913"/>
      <c r="DZ168" s="913"/>
      <c r="EA168" s="913"/>
      <c r="EB168" s="913"/>
      <c r="EC168" s="913"/>
      <c r="ED168" s="913"/>
      <c r="EE168" s="913"/>
      <c r="EF168" s="913"/>
      <c r="EG168" s="913"/>
      <c r="EH168" s="913"/>
      <c r="EI168" s="913"/>
      <c r="EJ168" s="923"/>
    </row>
    <row r="169" spans="14:140" x14ac:dyDescent="0.25">
      <c r="N169" s="922"/>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913"/>
      <c r="BT169" s="913"/>
      <c r="BU169" s="913"/>
      <c r="BV169" s="913"/>
      <c r="BW169" s="913"/>
      <c r="BX169" s="913"/>
      <c r="BY169" s="913"/>
      <c r="BZ169" s="913"/>
      <c r="CA169" s="913"/>
      <c r="CB169" s="913"/>
      <c r="CC169" s="913"/>
      <c r="CD169" s="913"/>
      <c r="CE169" s="913"/>
      <c r="CF169" s="913"/>
      <c r="CG169" s="913"/>
      <c r="CH169" s="913"/>
      <c r="CI169" s="913"/>
      <c r="CJ169" s="913"/>
      <c r="CK169" s="913"/>
      <c r="CL169" s="913"/>
      <c r="CM169" s="913"/>
      <c r="CN169" s="913"/>
      <c r="CO169" s="913"/>
      <c r="CP169" s="913"/>
      <c r="CQ169" s="913"/>
      <c r="CR169" s="913"/>
      <c r="CS169" s="913"/>
      <c r="CT169" s="913"/>
      <c r="CU169" s="913"/>
      <c r="CV169" s="913"/>
      <c r="CW169" s="913"/>
      <c r="CX169" s="913"/>
      <c r="CY169" s="913"/>
      <c r="CZ169" s="913"/>
      <c r="DA169" s="913"/>
      <c r="DB169" s="913"/>
      <c r="DC169" s="913"/>
      <c r="DD169" s="913"/>
      <c r="DE169" s="913"/>
      <c r="DF169" s="913"/>
      <c r="DG169" s="913"/>
      <c r="DH169" s="913"/>
      <c r="DI169" s="913"/>
      <c r="DJ169" s="913"/>
      <c r="DK169" s="913"/>
      <c r="DL169" s="913"/>
      <c r="DM169" s="913"/>
      <c r="DN169" s="913"/>
      <c r="DO169" s="913"/>
      <c r="DP169" s="913"/>
      <c r="DQ169" s="913"/>
      <c r="DR169" s="913"/>
      <c r="DS169" s="913"/>
      <c r="DT169" s="913"/>
      <c r="DU169" s="913"/>
      <c r="DV169" s="913"/>
      <c r="DW169" s="913"/>
      <c r="DX169" s="913"/>
      <c r="DY169" s="913"/>
      <c r="DZ169" s="913"/>
      <c r="EA169" s="913"/>
      <c r="EB169" s="913"/>
      <c r="EC169" s="913"/>
      <c r="ED169" s="913"/>
      <c r="EE169" s="913"/>
      <c r="EF169" s="913"/>
      <c r="EG169" s="913"/>
      <c r="EH169" s="913"/>
      <c r="EI169" s="913"/>
      <c r="EJ169" s="923"/>
    </row>
    <row r="170" spans="14:140" x14ac:dyDescent="0.25">
      <c r="N170" s="922"/>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BS170" s="913"/>
      <c r="BT170" s="913"/>
      <c r="BU170" s="913"/>
      <c r="BV170" s="913"/>
      <c r="BW170" s="913"/>
      <c r="BX170" s="913"/>
      <c r="BY170" s="913"/>
      <c r="BZ170" s="913"/>
      <c r="CA170" s="913"/>
      <c r="CB170" s="913"/>
      <c r="CC170" s="913"/>
      <c r="CD170" s="913"/>
      <c r="CE170" s="913"/>
      <c r="CF170" s="913"/>
      <c r="CG170" s="913"/>
      <c r="CH170" s="913"/>
      <c r="CI170" s="913"/>
      <c r="CJ170" s="913"/>
      <c r="CK170" s="913"/>
      <c r="CL170" s="913"/>
      <c r="CM170" s="913"/>
      <c r="CN170" s="913"/>
      <c r="CO170" s="913"/>
      <c r="CP170" s="913"/>
      <c r="CQ170" s="913"/>
      <c r="CR170" s="913"/>
      <c r="CS170" s="913"/>
      <c r="CT170" s="913"/>
      <c r="CU170" s="913"/>
      <c r="CV170" s="913"/>
      <c r="CW170" s="913"/>
      <c r="CX170" s="913"/>
      <c r="CY170" s="913"/>
      <c r="CZ170" s="913"/>
      <c r="DA170" s="913"/>
      <c r="DB170" s="913"/>
      <c r="DC170" s="913"/>
      <c r="DD170" s="913"/>
      <c r="DE170" s="913"/>
      <c r="DF170" s="913"/>
      <c r="DG170" s="913"/>
      <c r="DH170" s="913"/>
      <c r="DI170" s="913"/>
      <c r="DJ170" s="913"/>
      <c r="DK170" s="913"/>
      <c r="DL170" s="913"/>
      <c r="DM170" s="913"/>
      <c r="DN170" s="913"/>
      <c r="DO170" s="913"/>
      <c r="DP170" s="913"/>
      <c r="DQ170" s="913"/>
      <c r="DR170" s="913"/>
      <c r="DS170" s="913"/>
      <c r="DT170" s="913"/>
      <c r="DU170" s="913"/>
      <c r="DV170" s="913"/>
      <c r="DW170" s="913"/>
      <c r="DX170" s="913"/>
      <c r="DY170" s="913"/>
      <c r="DZ170" s="913"/>
      <c r="EA170" s="913"/>
      <c r="EB170" s="913"/>
      <c r="EC170" s="913"/>
      <c r="ED170" s="913"/>
      <c r="EE170" s="913"/>
      <c r="EF170" s="913"/>
      <c r="EG170" s="913"/>
      <c r="EH170" s="913"/>
      <c r="EI170" s="913"/>
      <c r="EJ170" s="923"/>
    </row>
    <row r="171" spans="14:140" x14ac:dyDescent="0.25">
      <c r="N171" s="922"/>
      <c r="O171" s="913"/>
      <c r="P171" s="913"/>
      <c r="Q171" s="913"/>
      <c r="R171" s="913"/>
      <c r="S171" s="913"/>
      <c r="T171" s="913"/>
      <c r="U171" s="913"/>
      <c r="V171" s="913"/>
      <c r="W171" s="913"/>
      <c r="X171" s="913"/>
      <c r="Y171" s="913"/>
      <c r="Z171" s="913"/>
      <c r="AA171" s="913"/>
      <c r="AB171" s="913"/>
      <c r="AC171" s="913"/>
      <c r="AD171" s="913"/>
      <c r="AE171" s="913"/>
      <c r="AF171" s="913"/>
      <c r="AG171" s="913"/>
      <c r="AH171" s="913"/>
      <c r="AI171" s="913"/>
      <c r="AJ171" s="913"/>
      <c r="AK171" s="913"/>
      <c r="AL171" s="913"/>
      <c r="AM171" s="913"/>
      <c r="AN171" s="913"/>
      <c r="AO171" s="913"/>
      <c r="AP171" s="913"/>
      <c r="AQ171" s="913"/>
      <c r="AR171" s="913"/>
      <c r="AS171" s="913"/>
      <c r="AT171" s="913"/>
      <c r="AU171" s="913"/>
      <c r="AV171" s="913"/>
      <c r="AW171" s="913"/>
      <c r="AX171" s="913"/>
      <c r="AY171" s="913"/>
      <c r="AZ171" s="913"/>
      <c r="BA171" s="913"/>
      <c r="BB171" s="913"/>
      <c r="BC171" s="913"/>
      <c r="BD171" s="913"/>
      <c r="BE171" s="913"/>
      <c r="BF171" s="913"/>
      <c r="BG171" s="913"/>
      <c r="BH171" s="913"/>
      <c r="BI171" s="913"/>
      <c r="BJ171" s="913"/>
      <c r="BK171" s="913"/>
      <c r="BL171" s="913"/>
      <c r="BM171" s="913"/>
      <c r="BN171" s="913"/>
      <c r="BO171" s="913"/>
      <c r="BP171" s="913"/>
      <c r="BQ171" s="913"/>
      <c r="BR171" s="913"/>
      <c r="BS171" s="913"/>
      <c r="BT171" s="913"/>
      <c r="BU171" s="913"/>
      <c r="BV171" s="913"/>
      <c r="BW171" s="913"/>
      <c r="BX171" s="913"/>
      <c r="BY171" s="913"/>
      <c r="BZ171" s="913"/>
      <c r="CA171" s="913"/>
      <c r="CB171" s="913"/>
      <c r="CC171" s="913"/>
      <c r="CD171" s="913"/>
      <c r="CE171" s="913"/>
      <c r="CF171" s="913"/>
      <c r="CG171" s="913"/>
      <c r="CH171" s="913"/>
      <c r="CI171" s="913"/>
      <c r="CJ171" s="913"/>
      <c r="CK171" s="913"/>
      <c r="CL171" s="913"/>
      <c r="CM171" s="913"/>
      <c r="CN171" s="913"/>
      <c r="CO171" s="913"/>
      <c r="CP171" s="913"/>
      <c r="CQ171" s="913"/>
      <c r="CR171" s="913"/>
      <c r="CS171" s="913"/>
      <c r="CT171" s="913"/>
      <c r="CU171" s="913"/>
      <c r="CV171" s="913"/>
      <c r="CW171" s="913"/>
      <c r="CX171" s="913"/>
      <c r="CY171" s="913"/>
      <c r="CZ171" s="913"/>
      <c r="DA171" s="913"/>
      <c r="DB171" s="913"/>
      <c r="DC171" s="913"/>
      <c r="DD171" s="913"/>
      <c r="DE171" s="913"/>
      <c r="DF171" s="913"/>
      <c r="DG171" s="913"/>
      <c r="DH171" s="913"/>
      <c r="DI171" s="913"/>
      <c r="DJ171" s="913"/>
      <c r="DK171" s="913"/>
      <c r="DL171" s="913"/>
      <c r="DM171" s="913"/>
      <c r="DN171" s="913"/>
      <c r="DO171" s="913"/>
      <c r="DP171" s="913"/>
      <c r="DQ171" s="913"/>
      <c r="DR171" s="913"/>
      <c r="DS171" s="913"/>
      <c r="DT171" s="913"/>
      <c r="DU171" s="913"/>
      <c r="DV171" s="913"/>
      <c r="DW171" s="913"/>
      <c r="DX171" s="913"/>
      <c r="DY171" s="913"/>
      <c r="DZ171" s="913"/>
      <c r="EA171" s="913"/>
      <c r="EB171" s="913"/>
      <c r="EC171" s="913"/>
      <c r="ED171" s="913"/>
      <c r="EE171" s="913"/>
      <c r="EF171" s="913"/>
      <c r="EG171" s="913"/>
      <c r="EH171" s="913"/>
      <c r="EI171" s="913"/>
      <c r="EJ171" s="923"/>
    </row>
    <row r="172" spans="14:140" x14ac:dyDescent="0.25">
      <c r="N172" s="922"/>
      <c r="O172" s="913"/>
      <c r="P172" s="913"/>
      <c r="Q172" s="913"/>
      <c r="R172" s="913"/>
      <c r="S172" s="913"/>
      <c r="T172" s="913"/>
      <c r="U172" s="913"/>
      <c r="V172" s="913"/>
      <c r="W172" s="913"/>
      <c r="X172" s="913"/>
      <c r="Y172" s="913"/>
      <c r="Z172" s="913"/>
      <c r="AA172" s="913"/>
      <c r="AB172" s="913"/>
      <c r="AC172" s="913"/>
      <c r="AD172" s="913"/>
      <c r="AE172" s="913"/>
      <c r="AF172" s="913"/>
      <c r="AG172" s="913"/>
      <c r="AH172" s="913"/>
      <c r="AI172" s="913"/>
      <c r="AJ172" s="913"/>
      <c r="AK172" s="913"/>
      <c r="AL172" s="913"/>
      <c r="AM172" s="913"/>
      <c r="AN172" s="913"/>
      <c r="AO172" s="913"/>
      <c r="AP172" s="913"/>
      <c r="AQ172" s="913"/>
      <c r="AR172" s="913"/>
      <c r="AS172" s="913"/>
      <c r="AT172" s="913"/>
      <c r="AU172" s="913"/>
      <c r="AV172" s="913"/>
      <c r="AW172" s="913"/>
      <c r="AX172" s="913"/>
      <c r="AY172" s="913"/>
      <c r="AZ172" s="913"/>
      <c r="BA172" s="913"/>
      <c r="BB172" s="913"/>
      <c r="BC172" s="913"/>
      <c r="BD172" s="913"/>
      <c r="BE172" s="913"/>
      <c r="BF172" s="913"/>
      <c r="BG172" s="913"/>
      <c r="BH172" s="913"/>
      <c r="BI172" s="913"/>
      <c r="BJ172" s="913"/>
      <c r="BK172" s="913"/>
      <c r="BL172" s="913"/>
      <c r="BM172" s="913"/>
      <c r="BN172" s="913"/>
      <c r="BO172" s="913"/>
      <c r="BP172" s="913"/>
      <c r="BQ172" s="913"/>
      <c r="BR172" s="913"/>
      <c r="BS172" s="913"/>
      <c r="BT172" s="913"/>
      <c r="BU172" s="913"/>
      <c r="BV172" s="913"/>
      <c r="BW172" s="913"/>
      <c r="BX172" s="913"/>
      <c r="BY172" s="913"/>
      <c r="BZ172" s="913"/>
      <c r="CA172" s="913"/>
      <c r="CB172" s="913"/>
      <c r="CC172" s="913"/>
      <c r="CD172" s="913"/>
      <c r="CE172" s="913"/>
      <c r="CF172" s="913"/>
      <c r="CG172" s="913"/>
      <c r="CH172" s="913"/>
      <c r="CI172" s="913"/>
      <c r="CJ172" s="913"/>
      <c r="CK172" s="913"/>
      <c r="CL172" s="913"/>
      <c r="CM172" s="913"/>
      <c r="CN172" s="913"/>
      <c r="CO172" s="913"/>
      <c r="CP172" s="913"/>
      <c r="CQ172" s="913"/>
      <c r="CR172" s="913"/>
      <c r="CS172" s="913"/>
      <c r="CT172" s="913"/>
      <c r="CU172" s="913"/>
      <c r="CV172" s="913"/>
      <c r="CW172" s="913"/>
      <c r="CX172" s="913"/>
      <c r="CY172" s="913"/>
      <c r="CZ172" s="913"/>
      <c r="DA172" s="913"/>
      <c r="DB172" s="913"/>
      <c r="DC172" s="913"/>
      <c r="DD172" s="913"/>
      <c r="DE172" s="913"/>
      <c r="DF172" s="913"/>
      <c r="DG172" s="913"/>
      <c r="DH172" s="913"/>
      <c r="DI172" s="913"/>
      <c r="DJ172" s="913"/>
      <c r="DK172" s="913"/>
      <c r="DL172" s="913"/>
      <c r="DM172" s="913"/>
      <c r="DN172" s="913"/>
      <c r="DO172" s="913"/>
      <c r="DP172" s="913"/>
      <c r="DQ172" s="913"/>
      <c r="DR172" s="913"/>
      <c r="DS172" s="913"/>
      <c r="DT172" s="913"/>
      <c r="DU172" s="913"/>
      <c r="DV172" s="913"/>
      <c r="DW172" s="913"/>
      <c r="DX172" s="913"/>
      <c r="DY172" s="913"/>
      <c r="DZ172" s="913"/>
      <c r="EA172" s="913"/>
      <c r="EB172" s="913"/>
      <c r="EC172" s="913"/>
      <c r="ED172" s="913"/>
      <c r="EE172" s="913"/>
      <c r="EF172" s="913"/>
      <c r="EG172" s="913"/>
      <c r="EH172" s="913"/>
      <c r="EI172" s="913"/>
      <c r="EJ172" s="923"/>
    </row>
    <row r="173" spans="14:140" x14ac:dyDescent="0.25">
      <c r="N173" s="922"/>
      <c r="O173" s="913"/>
      <c r="P173" s="913"/>
      <c r="Q173" s="913"/>
      <c r="R173" s="913"/>
      <c r="S173" s="913"/>
      <c r="T173" s="913"/>
      <c r="U173" s="913"/>
      <c r="V173" s="913"/>
      <c r="W173" s="913"/>
      <c r="X173" s="913"/>
      <c r="Y173" s="913"/>
      <c r="Z173" s="913"/>
      <c r="AA173" s="913"/>
      <c r="AB173" s="913"/>
      <c r="AC173" s="913"/>
      <c r="AD173" s="913"/>
      <c r="AE173" s="913"/>
      <c r="AF173" s="913"/>
      <c r="AG173" s="913"/>
      <c r="AH173" s="913"/>
      <c r="AI173" s="913"/>
      <c r="AJ173" s="913"/>
      <c r="AK173" s="913"/>
      <c r="AL173" s="913"/>
      <c r="AM173" s="913"/>
      <c r="AN173" s="913"/>
      <c r="AO173" s="913"/>
      <c r="AP173" s="913"/>
      <c r="AQ173" s="913"/>
      <c r="AR173" s="913"/>
      <c r="AS173" s="913"/>
      <c r="AT173" s="913"/>
      <c r="AU173" s="913"/>
      <c r="AV173" s="913"/>
      <c r="AW173" s="913"/>
      <c r="AX173" s="913"/>
      <c r="AY173" s="913"/>
      <c r="AZ173" s="913"/>
      <c r="BA173" s="913"/>
      <c r="BB173" s="913"/>
      <c r="BC173" s="913"/>
      <c r="BD173" s="913"/>
      <c r="BE173" s="913"/>
      <c r="BF173" s="913"/>
      <c r="BG173" s="913"/>
      <c r="BH173" s="913"/>
      <c r="BI173" s="913"/>
      <c r="BJ173" s="913"/>
      <c r="BK173" s="913"/>
      <c r="BL173" s="913"/>
      <c r="BM173" s="913"/>
      <c r="BN173" s="913"/>
      <c r="BO173" s="913"/>
      <c r="BP173" s="913"/>
      <c r="BQ173" s="913"/>
      <c r="BR173" s="913"/>
      <c r="BS173" s="913"/>
      <c r="BT173" s="913"/>
      <c r="BU173" s="913"/>
      <c r="BV173" s="913"/>
      <c r="BW173" s="913"/>
      <c r="BX173" s="913"/>
      <c r="BY173" s="913"/>
      <c r="BZ173" s="913"/>
      <c r="CA173" s="913"/>
      <c r="CB173" s="913"/>
      <c r="CC173" s="913"/>
      <c r="CD173" s="913"/>
      <c r="CE173" s="913"/>
      <c r="CF173" s="913"/>
      <c r="CG173" s="913"/>
      <c r="CH173" s="913"/>
      <c r="CI173" s="913"/>
      <c r="CJ173" s="913"/>
      <c r="CK173" s="913"/>
      <c r="CL173" s="913"/>
      <c r="CM173" s="913"/>
      <c r="CN173" s="913"/>
      <c r="CO173" s="913"/>
      <c r="CP173" s="913"/>
      <c r="CQ173" s="913"/>
      <c r="CR173" s="913"/>
      <c r="CS173" s="913"/>
      <c r="CT173" s="913"/>
      <c r="CU173" s="913"/>
      <c r="CV173" s="913"/>
      <c r="CW173" s="913"/>
      <c r="CX173" s="913"/>
      <c r="CY173" s="913"/>
      <c r="CZ173" s="913"/>
      <c r="DA173" s="913"/>
      <c r="DB173" s="913"/>
      <c r="DC173" s="913"/>
      <c r="DD173" s="913"/>
      <c r="DE173" s="913"/>
      <c r="DF173" s="913"/>
      <c r="DG173" s="913"/>
      <c r="DH173" s="913"/>
      <c r="DI173" s="913"/>
      <c r="DJ173" s="913"/>
      <c r="DK173" s="913"/>
      <c r="DL173" s="913"/>
      <c r="DM173" s="913"/>
      <c r="DN173" s="913"/>
      <c r="DO173" s="913"/>
      <c r="DP173" s="913"/>
      <c r="DQ173" s="913"/>
      <c r="DR173" s="913"/>
      <c r="DS173" s="913"/>
      <c r="DT173" s="913"/>
      <c r="DU173" s="913"/>
      <c r="DV173" s="913"/>
      <c r="DW173" s="913"/>
      <c r="DX173" s="913"/>
      <c r="DY173" s="913"/>
      <c r="DZ173" s="913"/>
      <c r="EA173" s="913"/>
      <c r="EB173" s="913"/>
      <c r="EC173" s="913"/>
      <c r="ED173" s="913"/>
      <c r="EE173" s="913"/>
      <c r="EF173" s="913"/>
      <c r="EG173" s="913"/>
      <c r="EH173" s="913"/>
      <c r="EI173" s="913"/>
      <c r="EJ173" s="923"/>
    </row>
    <row r="174" spans="14:140" x14ac:dyDescent="0.25">
      <c r="N174" s="922"/>
      <c r="O174" s="913"/>
      <c r="P174" s="913"/>
      <c r="Q174" s="913"/>
      <c r="R174" s="913"/>
      <c r="S174" s="913"/>
      <c r="T174" s="913"/>
      <c r="U174" s="913"/>
      <c r="V174" s="913"/>
      <c r="W174" s="913"/>
      <c r="X174" s="913"/>
      <c r="Y174" s="913"/>
      <c r="Z174" s="913"/>
      <c r="AA174" s="913"/>
      <c r="AB174" s="913"/>
      <c r="AC174" s="913"/>
      <c r="AD174" s="913"/>
      <c r="AE174" s="913"/>
      <c r="AF174" s="913"/>
      <c r="AG174" s="913"/>
      <c r="AH174" s="913"/>
      <c r="AI174" s="913"/>
      <c r="AJ174" s="913"/>
      <c r="AK174" s="913"/>
      <c r="AL174" s="913"/>
      <c r="AM174" s="913"/>
      <c r="AN174" s="913"/>
      <c r="AO174" s="913"/>
      <c r="AP174" s="913"/>
      <c r="AQ174" s="913"/>
      <c r="AR174" s="913"/>
      <c r="AS174" s="913"/>
      <c r="AT174" s="913"/>
      <c r="AU174" s="913"/>
      <c r="AV174" s="913"/>
      <c r="AW174" s="913"/>
      <c r="AX174" s="913"/>
      <c r="AY174" s="913"/>
      <c r="AZ174" s="913"/>
      <c r="BA174" s="913"/>
      <c r="BB174" s="913"/>
      <c r="BC174" s="913"/>
      <c r="BD174" s="913"/>
      <c r="BE174" s="913"/>
      <c r="BF174" s="913"/>
      <c r="BG174" s="913"/>
      <c r="BH174" s="913"/>
      <c r="BI174" s="913"/>
      <c r="BJ174" s="913"/>
      <c r="BK174" s="913"/>
      <c r="BL174" s="913"/>
      <c r="BM174" s="913"/>
      <c r="BN174" s="913"/>
      <c r="BO174" s="913"/>
      <c r="BP174" s="913"/>
      <c r="BQ174" s="913"/>
      <c r="BR174" s="913"/>
      <c r="BS174" s="913"/>
      <c r="BT174" s="913"/>
      <c r="BU174" s="913"/>
      <c r="BV174" s="913"/>
      <c r="BW174" s="913"/>
      <c r="BX174" s="913"/>
      <c r="BY174" s="913"/>
      <c r="BZ174" s="913"/>
      <c r="CA174" s="913"/>
      <c r="CB174" s="913"/>
      <c r="CC174" s="913"/>
      <c r="CD174" s="913"/>
      <c r="CE174" s="913"/>
      <c r="CF174" s="913"/>
      <c r="CG174" s="913"/>
      <c r="CH174" s="913"/>
      <c r="CI174" s="913"/>
      <c r="CJ174" s="913"/>
      <c r="CK174" s="913"/>
      <c r="CL174" s="913"/>
      <c r="CM174" s="913"/>
      <c r="CN174" s="913"/>
      <c r="CO174" s="913"/>
      <c r="CP174" s="913"/>
      <c r="CQ174" s="913"/>
      <c r="CR174" s="913"/>
      <c r="CS174" s="913"/>
      <c r="CT174" s="913"/>
      <c r="CU174" s="913"/>
      <c r="CV174" s="913"/>
      <c r="CW174" s="913"/>
      <c r="CX174" s="913"/>
      <c r="CY174" s="913"/>
      <c r="CZ174" s="913"/>
      <c r="DA174" s="913"/>
      <c r="DB174" s="913"/>
      <c r="DC174" s="913"/>
      <c r="DD174" s="913"/>
      <c r="DE174" s="913"/>
      <c r="DF174" s="913"/>
      <c r="DG174" s="913"/>
      <c r="DH174" s="913"/>
      <c r="DI174" s="913"/>
      <c r="DJ174" s="913"/>
      <c r="DK174" s="913"/>
      <c r="DL174" s="913"/>
      <c r="DM174" s="913"/>
      <c r="DN174" s="913"/>
      <c r="DO174" s="913"/>
      <c r="DP174" s="913"/>
      <c r="DQ174" s="913"/>
      <c r="DR174" s="913"/>
      <c r="DS174" s="913"/>
      <c r="DT174" s="913"/>
      <c r="DU174" s="913"/>
      <c r="DV174" s="913"/>
      <c r="DW174" s="913"/>
      <c r="DX174" s="913"/>
      <c r="DY174" s="913"/>
      <c r="DZ174" s="913"/>
      <c r="EA174" s="913"/>
      <c r="EB174" s="913"/>
      <c r="EC174" s="913"/>
      <c r="ED174" s="913"/>
      <c r="EE174" s="913"/>
      <c r="EF174" s="913"/>
      <c r="EG174" s="913"/>
      <c r="EH174" s="913"/>
      <c r="EI174" s="913"/>
      <c r="EJ174" s="923"/>
    </row>
    <row r="175" spans="14:140" x14ac:dyDescent="0.25">
      <c r="N175" s="922"/>
      <c r="O175" s="913"/>
      <c r="P175" s="913"/>
      <c r="Q175" s="913"/>
      <c r="R175" s="913"/>
      <c r="S175" s="913"/>
      <c r="T175" s="913"/>
      <c r="U175" s="913"/>
      <c r="V175" s="913"/>
      <c r="W175" s="913"/>
      <c r="X175" s="913"/>
      <c r="Y175" s="913"/>
      <c r="Z175" s="913"/>
      <c r="AA175" s="913"/>
      <c r="AB175" s="913"/>
      <c r="AC175" s="913"/>
      <c r="AD175" s="913"/>
      <c r="AE175" s="913"/>
      <c r="AF175" s="913"/>
      <c r="AG175" s="913"/>
      <c r="AH175" s="913"/>
      <c r="AI175" s="913"/>
      <c r="AJ175" s="913"/>
      <c r="AK175" s="913"/>
      <c r="AL175" s="913"/>
      <c r="AM175" s="913"/>
      <c r="AN175" s="913"/>
      <c r="AO175" s="913"/>
      <c r="AP175" s="913"/>
      <c r="AQ175" s="913"/>
      <c r="AR175" s="913"/>
      <c r="AS175" s="913"/>
      <c r="AT175" s="913"/>
      <c r="AU175" s="913"/>
      <c r="AV175" s="913"/>
      <c r="AW175" s="913"/>
      <c r="AX175" s="913"/>
      <c r="AY175" s="913"/>
      <c r="AZ175" s="913"/>
      <c r="BA175" s="913"/>
      <c r="BB175" s="913"/>
      <c r="BC175" s="913"/>
      <c r="BD175" s="913"/>
      <c r="BE175" s="913"/>
      <c r="BF175" s="913"/>
      <c r="BG175" s="913"/>
      <c r="BH175" s="913"/>
      <c r="BI175" s="913"/>
      <c r="BJ175" s="913"/>
      <c r="BK175" s="913"/>
      <c r="BL175" s="913"/>
      <c r="BM175" s="913"/>
      <c r="BN175" s="913"/>
      <c r="BO175" s="913"/>
      <c r="BP175" s="913"/>
      <c r="BQ175" s="913"/>
      <c r="BR175" s="913"/>
      <c r="BS175" s="913"/>
      <c r="BT175" s="913"/>
      <c r="BU175" s="913"/>
      <c r="BV175" s="913"/>
      <c r="BW175" s="913"/>
      <c r="BX175" s="913"/>
      <c r="BY175" s="913"/>
      <c r="BZ175" s="913"/>
      <c r="CA175" s="913"/>
      <c r="CB175" s="913"/>
      <c r="CC175" s="913"/>
      <c r="CD175" s="913"/>
      <c r="CE175" s="913"/>
      <c r="CF175" s="913"/>
      <c r="CG175" s="913"/>
      <c r="CH175" s="913"/>
      <c r="CI175" s="913"/>
      <c r="CJ175" s="913"/>
      <c r="CK175" s="913"/>
      <c r="CL175" s="913"/>
      <c r="CM175" s="913"/>
      <c r="CN175" s="913"/>
      <c r="CO175" s="913"/>
      <c r="CP175" s="913"/>
      <c r="CQ175" s="913"/>
      <c r="CR175" s="913"/>
      <c r="CS175" s="913"/>
      <c r="CT175" s="913"/>
      <c r="CU175" s="913"/>
      <c r="CV175" s="913"/>
      <c r="CW175" s="913"/>
      <c r="CX175" s="913"/>
      <c r="CY175" s="913"/>
      <c r="CZ175" s="913"/>
      <c r="DA175" s="913"/>
      <c r="DB175" s="913"/>
      <c r="DC175" s="913"/>
      <c r="DD175" s="913"/>
      <c r="DE175" s="913"/>
      <c r="DF175" s="913"/>
      <c r="DG175" s="913"/>
      <c r="DH175" s="913"/>
      <c r="DI175" s="913"/>
      <c r="DJ175" s="913"/>
      <c r="DK175" s="913"/>
      <c r="DL175" s="913"/>
      <c r="DM175" s="913"/>
      <c r="DN175" s="913"/>
      <c r="DO175" s="913"/>
      <c r="DP175" s="913"/>
      <c r="DQ175" s="913"/>
      <c r="DR175" s="913"/>
      <c r="DS175" s="913"/>
      <c r="DT175" s="913"/>
      <c r="DU175" s="913"/>
      <c r="DV175" s="913"/>
      <c r="DW175" s="913"/>
      <c r="DX175" s="913"/>
      <c r="DY175" s="913"/>
      <c r="DZ175" s="913"/>
      <c r="EA175" s="913"/>
      <c r="EB175" s="913"/>
      <c r="EC175" s="913"/>
      <c r="ED175" s="913"/>
      <c r="EE175" s="913"/>
      <c r="EF175" s="913"/>
      <c r="EG175" s="913"/>
      <c r="EH175" s="913"/>
      <c r="EI175" s="913"/>
      <c r="EJ175" s="923"/>
    </row>
    <row r="176" spans="14:140" x14ac:dyDescent="0.25">
      <c r="N176" s="922"/>
      <c r="O176" s="913"/>
      <c r="P176" s="913"/>
      <c r="Q176" s="913"/>
      <c r="R176" s="913"/>
      <c r="S176" s="913"/>
      <c r="T176" s="913"/>
      <c r="U176" s="913"/>
      <c r="V176" s="913"/>
      <c r="W176" s="913"/>
      <c r="X176" s="913"/>
      <c r="Y176" s="913"/>
      <c r="Z176" s="913"/>
      <c r="AA176" s="913"/>
      <c r="AB176" s="913"/>
      <c r="AC176" s="913"/>
      <c r="AD176" s="913"/>
      <c r="AE176" s="913"/>
      <c r="AF176" s="913"/>
      <c r="AG176" s="913"/>
      <c r="AH176" s="913"/>
      <c r="AI176" s="913"/>
      <c r="AJ176" s="913"/>
      <c r="AK176" s="913"/>
      <c r="AL176" s="913"/>
      <c r="AM176" s="913"/>
      <c r="AN176" s="913"/>
      <c r="AO176" s="913"/>
      <c r="AP176" s="913"/>
      <c r="AQ176" s="913"/>
      <c r="AR176" s="913"/>
      <c r="AS176" s="913"/>
      <c r="AT176" s="913"/>
      <c r="AU176" s="913"/>
      <c r="AV176" s="913"/>
      <c r="AW176" s="913"/>
      <c r="AX176" s="913"/>
      <c r="AY176" s="913"/>
      <c r="AZ176" s="913"/>
      <c r="BA176" s="913"/>
      <c r="BB176" s="913"/>
      <c r="BC176" s="913"/>
      <c r="BD176" s="913"/>
      <c r="BE176" s="913"/>
      <c r="BF176" s="913"/>
      <c r="BG176" s="913"/>
      <c r="BH176" s="913"/>
      <c r="BI176" s="913"/>
      <c r="BJ176" s="913"/>
      <c r="BK176" s="913"/>
      <c r="BL176" s="913"/>
      <c r="BM176" s="913"/>
      <c r="BN176" s="913"/>
      <c r="BO176" s="913"/>
      <c r="BP176" s="913"/>
      <c r="BQ176" s="913"/>
      <c r="BR176" s="913"/>
      <c r="BS176" s="913"/>
      <c r="BT176" s="913"/>
      <c r="BU176" s="913"/>
      <c r="BV176" s="913"/>
      <c r="BW176" s="913"/>
      <c r="BX176" s="913"/>
      <c r="BY176" s="913"/>
      <c r="BZ176" s="913"/>
      <c r="CA176" s="913"/>
      <c r="CB176" s="913"/>
      <c r="CC176" s="913"/>
      <c r="CD176" s="913"/>
      <c r="CE176" s="913"/>
      <c r="CF176" s="913"/>
      <c r="CG176" s="913"/>
      <c r="CH176" s="913"/>
      <c r="CI176" s="913"/>
      <c r="CJ176" s="913"/>
      <c r="CK176" s="913"/>
      <c r="CL176" s="913"/>
      <c r="CM176" s="913"/>
      <c r="CN176" s="913"/>
      <c r="CO176" s="913"/>
      <c r="CP176" s="913"/>
      <c r="CQ176" s="913"/>
      <c r="CR176" s="913"/>
      <c r="CS176" s="913"/>
      <c r="CT176" s="913"/>
      <c r="CU176" s="913"/>
      <c r="CV176" s="913"/>
      <c r="CW176" s="913"/>
      <c r="CX176" s="913"/>
      <c r="CY176" s="913"/>
      <c r="CZ176" s="913"/>
      <c r="DA176" s="913"/>
      <c r="DB176" s="913"/>
      <c r="DC176" s="913"/>
      <c r="DD176" s="913"/>
      <c r="DE176" s="913"/>
      <c r="DF176" s="913"/>
      <c r="DG176" s="913"/>
      <c r="DH176" s="913"/>
      <c r="DI176" s="913"/>
      <c r="DJ176" s="913"/>
      <c r="DK176" s="913"/>
      <c r="DL176" s="913"/>
      <c r="DM176" s="913"/>
      <c r="DN176" s="913"/>
      <c r="DO176" s="913"/>
      <c r="DP176" s="913"/>
      <c r="DQ176" s="913"/>
      <c r="DR176" s="913"/>
      <c r="DS176" s="913"/>
      <c r="DT176" s="913"/>
      <c r="DU176" s="913"/>
      <c r="DV176" s="913"/>
      <c r="DW176" s="913"/>
      <c r="DX176" s="913"/>
      <c r="DY176" s="913"/>
      <c r="DZ176" s="913"/>
      <c r="EA176" s="913"/>
      <c r="EB176" s="913"/>
      <c r="EC176" s="913"/>
      <c r="ED176" s="913"/>
      <c r="EE176" s="913"/>
      <c r="EF176" s="913"/>
      <c r="EG176" s="913"/>
      <c r="EH176" s="913"/>
      <c r="EI176" s="913"/>
      <c r="EJ176" s="923"/>
    </row>
    <row r="177" spans="14:140" x14ac:dyDescent="0.25">
      <c r="N177" s="922"/>
      <c r="O177" s="913"/>
      <c r="P177" s="913"/>
      <c r="Q177" s="913"/>
      <c r="R177" s="913"/>
      <c r="S177" s="913"/>
      <c r="T177" s="913"/>
      <c r="U177" s="913"/>
      <c r="V177" s="913"/>
      <c r="W177" s="913"/>
      <c r="X177" s="913"/>
      <c r="Y177" s="913"/>
      <c r="Z177" s="913"/>
      <c r="AA177" s="913"/>
      <c r="AB177" s="913"/>
      <c r="AC177" s="913"/>
      <c r="AD177" s="913"/>
      <c r="AE177" s="913"/>
      <c r="AF177" s="913"/>
      <c r="AG177" s="913"/>
      <c r="AH177" s="913"/>
      <c r="AI177" s="913"/>
      <c r="AJ177" s="913"/>
      <c r="AK177" s="913"/>
      <c r="AL177" s="913"/>
      <c r="AM177" s="913"/>
      <c r="AN177" s="913"/>
      <c r="AO177" s="913"/>
      <c r="AP177" s="913"/>
      <c r="AQ177" s="913"/>
      <c r="AR177" s="913"/>
      <c r="AS177" s="913"/>
      <c r="AT177" s="913"/>
      <c r="AU177" s="913"/>
      <c r="AV177" s="913"/>
      <c r="AW177" s="913"/>
      <c r="AX177" s="913"/>
      <c r="AY177" s="913"/>
      <c r="AZ177" s="913"/>
      <c r="BA177" s="913"/>
      <c r="BB177" s="913"/>
      <c r="BC177" s="913"/>
      <c r="BD177" s="913"/>
      <c r="BE177" s="913"/>
      <c r="BF177" s="913"/>
      <c r="BG177" s="913"/>
      <c r="BH177" s="913"/>
      <c r="BI177" s="913"/>
      <c r="BJ177" s="913"/>
      <c r="BK177" s="913"/>
      <c r="BL177" s="913"/>
      <c r="BM177" s="913"/>
      <c r="BN177" s="913"/>
      <c r="BO177" s="913"/>
      <c r="BP177" s="913"/>
      <c r="BQ177" s="913"/>
      <c r="BR177" s="913"/>
      <c r="BS177" s="913"/>
      <c r="BT177" s="913"/>
      <c r="BU177" s="913"/>
      <c r="BV177" s="913"/>
      <c r="BW177" s="913"/>
      <c r="BX177" s="913"/>
      <c r="BY177" s="913"/>
      <c r="BZ177" s="913"/>
      <c r="CA177" s="913"/>
      <c r="CB177" s="913"/>
      <c r="CC177" s="913"/>
      <c r="CD177" s="913"/>
      <c r="CE177" s="913"/>
      <c r="CF177" s="913"/>
      <c r="CG177" s="913"/>
      <c r="CH177" s="913"/>
      <c r="CI177" s="913"/>
      <c r="CJ177" s="913"/>
      <c r="CK177" s="913"/>
      <c r="CL177" s="913"/>
      <c r="CM177" s="913"/>
      <c r="CN177" s="913"/>
      <c r="CO177" s="913"/>
      <c r="CP177" s="913"/>
      <c r="CQ177" s="913"/>
      <c r="CR177" s="913"/>
      <c r="CS177" s="913"/>
      <c r="CT177" s="913"/>
      <c r="CU177" s="913"/>
      <c r="CV177" s="913"/>
      <c r="CW177" s="913"/>
      <c r="CX177" s="913"/>
      <c r="CY177" s="913"/>
      <c r="CZ177" s="913"/>
      <c r="DA177" s="913"/>
      <c r="DB177" s="913"/>
      <c r="DC177" s="913"/>
      <c r="DD177" s="913"/>
      <c r="DE177" s="913"/>
      <c r="DF177" s="913"/>
      <c r="DG177" s="913"/>
      <c r="DH177" s="913"/>
      <c r="DI177" s="913"/>
      <c r="DJ177" s="913"/>
      <c r="DK177" s="913"/>
      <c r="DL177" s="913"/>
      <c r="DM177" s="913"/>
      <c r="DN177" s="913"/>
      <c r="DO177" s="913"/>
      <c r="DP177" s="913"/>
      <c r="DQ177" s="913"/>
      <c r="DR177" s="913"/>
      <c r="DS177" s="913"/>
      <c r="DT177" s="913"/>
      <c r="DU177" s="913"/>
      <c r="DV177" s="913"/>
      <c r="DW177" s="913"/>
      <c r="DX177" s="913"/>
      <c r="DY177" s="913"/>
      <c r="DZ177" s="913"/>
      <c r="EA177" s="913"/>
      <c r="EB177" s="913"/>
      <c r="EC177" s="913"/>
      <c r="ED177" s="913"/>
      <c r="EE177" s="913"/>
      <c r="EF177" s="913"/>
      <c r="EG177" s="913"/>
      <c r="EH177" s="913"/>
      <c r="EI177" s="913"/>
      <c r="EJ177" s="923"/>
    </row>
    <row r="178" spans="14:140" x14ac:dyDescent="0.25">
      <c r="N178" s="922"/>
      <c r="O178" s="913"/>
      <c r="P178" s="913"/>
      <c r="Q178" s="913"/>
      <c r="R178" s="913"/>
      <c r="S178" s="913"/>
      <c r="T178" s="913"/>
      <c r="U178" s="913"/>
      <c r="V178" s="913"/>
      <c r="W178" s="913"/>
      <c r="X178" s="913"/>
      <c r="Y178" s="913"/>
      <c r="Z178" s="913"/>
      <c r="AA178" s="913"/>
      <c r="AB178" s="913"/>
      <c r="AC178" s="913"/>
      <c r="AD178" s="913"/>
      <c r="AE178" s="913"/>
      <c r="AF178" s="913"/>
      <c r="AG178" s="913"/>
      <c r="AH178" s="913"/>
      <c r="AI178" s="913"/>
      <c r="AJ178" s="913"/>
      <c r="AK178" s="913"/>
      <c r="AL178" s="913"/>
      <c r="AM178" s="913"/>
      <c r="AN178" s="913"/>
      <c r="AO178" s="913"/>
      <c r="AP178" s="913"/>
      <c r="AQ178" s="913"/>
      <c r="AR178" s="913"/>
      <c r="AS178" s="913"/>
      <c r="AT178" s="913"/>
      <c r="AU178" s="913"/>
      <c r="AV178" s="913"/>
      <c r="AW178" s="913"/>
      <c r="AX178" s="913"/>
      <c r="AY178" s="913"/>
      <c r="AZ178" s="913"/>
      <c r="BA178" s="913"/>
      <c r="BB178" s="913"/>
      <c r="BC178" s="913"/>
      <c r="BD178" s="913"/>
      <c r="BE178" s="913"/>
      <c r="BF178" s="913"/>
      <c r="BG178" s="913"/>
      <c r="BH178" s="913"/>
      <c r="BI178" s="913"/>
      <c r="BJ178" s="913"/>
      <c r="BK178" s="913"/>
      <c r="BL178" s="913"/>
      <c r="BM178" s="913"/>
      <c r="BN178" s="913"/>
      <c r="BO178" s="913"/>
      <c r="BP178" s="913"/>
      <c r="BQ178" s="913"/>
      <c r="BR178" s="913"/>
      <c r="BS178" s="913"/>
      <c r="BT178" s="913"/>
      <c r="BU178" s="913"/>
      <c r="BV178" s="913"/>
      <c r="BW178" s="913"/>
      <c r="BX178" s="913"/>
      <c r="BY178" s="913"/>
      <c r="BZ178" s="913"/>
      <c r="CA178" s="913"/>
      <c r="CB178" s="913"/>
      <c r="CC178" s="913"/>
      <c r="CD178" s="913"/>
      <c r="CE178" s="913"/>
      <c r="CF178" s="913"/>
      <c r="CG178" s="913"/>
      <c r="CH178" s="913"/>
      <c r="CI178" s="913"/>
      <c r="CJ178" s="913"/>
      <c r="CK178" s="913"/>
      <c r="CL178" s="913"/>
      <c r="CM178" s="913"/>
      <c r="CN178" s="913"/>
      <c r="CO178" s="913"/>
      <c r="CP178" s="913"/>
      <c r="CQ178" s="913"/>
      <c r="CR178" s="913"/>
      <c r="CS178" s="913"/>
      <c r="CT178" s="913"/>
      <c r="CU178" s="913"/>
      <c r="CV178" s="913"/>
      <c r="CW178" s="913"/>
      <c r="CX178" s="913"/>
      <c r="CY178" s="913"/>
      <c r="CZ178" s="913"/>
      <c r="DA178" s="913"/>
      <c r="DB178" s="913"/>
      <c r="DC178" s="913"/>
      <c r="DD178" s="913"/>
      <c r="DE178" s="913"/>
      <c r="DF178" s="913"/>
      <c r="DG178" s="913"/>
      <c r="DH178" s="913"/>
      <c r="DI178" s="913"/>
      <c r="DJ178" s="913"/>
      <c r="DK178" s="913"/>
      <c r="DL178" s="913"/>
      <c r="DM178" s="913"/>
      <c r="DN178" s="913"/>
      <c r="DO178" s="913"/>
      <c r="DP178" s="913"/>
      <c r="DQ178" s="913"/>
      <c r="DR178" s="913"/>
      <c r="DS178" s="913"/>
      <c r="DT178" s="913"/>
      <c r="DU178" s="913"/>
      <c r="DV178" s="913"/>
      <c r="DW178" s="913"/>
      <c r="DX178" s="913"/>
      <c r="DY178" s="913"/>
      <c r="DZ178" s="913"/>
      <c r="EA178" s="913"/>
      <c r="EB178" s="913"/>
      <c r="EC178" s="913"/>
      <c r="ED178" s="913"/>
      <c r="EE178" s="913"/>
      <c r="EF178" s="913"/>
      <c r="EG178" s="913"/>
      <c r="EH178" s="913"/>
      <c r="EI178" s="913"/>
      <c r="EJ178" s="923"/>
    </row>
    <row r="179" spans="14:140" x14ac:dyDescent="0.25">
      <c r="N179" s="922"/>
      <c r="O179" s="913"/>
      <c r="P179" s="913"/>
      <c r="Q179" s="913"/>
      <c r="R179" s="913"/>
      <c r="S179" s="913"/>
      <c r="T179" s="913"/>
      <c r="U179" s="913"/>
      <c r="V179" s="913"/>
      <c r="W179" s="913"/>
      <c r="X179" s="913"/>
      <c r="Y179" s="913"/>
      <c r="Z179" s="913"/>
      <c r="AA179" s="913"/>
      <c r="AB179" s="913"/>
      <c r="AC179" s="913"/>
      <c r="AD179" s="913"/>
      <c r="AE179" s="913"/>
      <c r="AF179" s="913"/>
      <c r="AG179" s="913"/>
      <c r="AH179" s="913"/>
      <c r="AI179" s="913"/>
      <c r="AJ179" s="913"/>
      <c r="AK179" s="913"/>
      <c r="AL179" s="913"/>
      <c r="AM179" s="913"/>
      <c r="AN179" s="913"/>
      <c r="AO179" s="913"/>
      <c r="AP179" s="913"/>
      <c r="AQ179" s="913"/>
      <c r="AR179" s="913"/>
      <c r="AS179" s="913"/>
      <c r="AT179" s="913"/>
      <c r="AU179" s="913"/>
      <c r="AV179" s="913"/>
      <c r="AW179" s="913"/>
      <c r="AX179" s="913"/>
      <c r="AY179" s="913"/>
      <c r="AZ179" s="913"/>
      <c r="BA179" s="913"/>
      <c r="BB179" s="913"/>
      <c r="BC179" s="913"/>
      <c r="BD179" s="913"/>
      <c r="BE179" s="913"/>
      <c r="BF179" s="913"/>
      <c r="BG179" s="913"/>
      <c r="BH179" s="913"/>
      <c r="BI179" s="913"/>
      <c r="BJ179" s="913"/>
      <c r="BK179" s="913"/>
      <c r="BL179" s="913"/>
      <c r="BM179" s="913"/>
      <c r="BN179" s="913"/>
      <c r="BO179" s="913"/>
      <c r="BP179" s="913"/>
      <c r="BQ179" s="913"/>
      <c r="BR179" s="913"/>
      <c r="BS179" s="913"/>
      <c r="BT179" s="913"/>
      <c r="BU179" s="913"/>
      <c r="BV179" s="913"/>
      <c r="BW179" s="913"/>
      <c r="BX179" s="913"/>
      <c r="BY179" s="913"/>
      <c r="BZ179" s="913"/>
      <c r="CA179" s="913"/>
      <c r="CB179" s="913"/>
      <c r="CC179" s="913"/>
      <c r="CD179" s="913"/>
      <c r="CE179" s="913"/>
      <c r="CF179" s="913"/>
      <c r="CG179" s="913"/>
      <c r="CH179" s="913"/>
      <c r="CI179" s="913"/>
      <c r="CJ179" s="913"/>
      <c r="CK179" s="913"/>
      <c r="CL179" s="913"/>
      <c r="CM179" s="913"/>
      <c r="CN179" s="913"/>
      <c r="CO179" s="913"/>
      <c r="CP179" s="913"/>
      <c r="CQ179" s="913"/>
      <c r="CR179" s="913"/>
      <c r="CS179" s="913"/>
      <c r="CT179" s="913"/>
      <c r="CU179" s="913"/>
      <c r="CV179" s="913"/>
      <c r="CW179" s="913"/>
      <c r="CX179" s="913"/>
      <c r="CY179" s="913"/>
      <c r="CZ179" s="913"/>
      <c r="DA179" s="913"/>
      <c r="DB179" s="913"/>
      <c r="DC179" s="913"/>
      <c r="DD179" s="913"/>
      <c r="DE179" s="913"/>
      <c r="DF179" s="913"/>
      <c r="DG179" s="913"/>
      <c r="DH179" s="913"/>
      <c r="DI179" s="913"/>
      <c r="DJ179" s="913"/>
      <c r="DK179" s="913"/>
      <c r="DL179" s="913"/>
      <c r="DM179" s="913"/>
      <c r="DN179" s="913"/>
      <c r="DO179" s="913"/>
      <c r="DP179" s="913"/>
      <c r="DQ179" s="913"/>
      <c r="DR179" s="913"/>
      <c r="DS179" s="913"/>
      <c r="DT179" s="913"/>
      <c r="DU179" s="913"/>
      <c r="DV179" s="913"/>
      <c r="DW179" s="913"/>
      <c r="DX179" s="913"/>
      <c r="DY179" s="913"/>
      <c r="DZ179" s="913"/>
      <c r="EA179" s="913"/>
      <c r="EB179" s="913"/>
      <c r="EC179" s="913"/>
      <c r="ED179" s="913"/>
      <c r="EE179" s="913"/>
      <c r="EF179" s="913"/>
      <c r="EG179" s="913"/>
      <c r="EH179" s="913"/>
      <c r="EI179" s="913"/>
      <c r="EJ179" s="923"/>
    </row>
    <row r="180" spans="14:140" x14ac:dyDescent="0.25">
      <c r="N180" s="922"/>
      <c r="O180" s="913"/>
      <c r="P180" s="913"/>
      <c r="Q180" s="913"/>
      <c r="R180" s="913"/>
      <c r="S180" s="913"/>
      <c r="T180" s="913"/>
      <c r="U180" s="913"/>
      <c r="V180" s="913"/>
      <c r="W180" s="913"/>
      <c r="X180" s="913"/>
      <c r="Y180" s="913"/>
      <c r="Z180" s="913"/>
      <c r="AA180" s="913"/>
      <c r="AB180" s="913"/>
      <c r="AC180" s="913"/>
      <c r="AD180" s="913"/>
      <c r="AE180" s="913"/>
      <c r="AF180" s="913"/>
      <c r="AG180" s="913"/>
      <c r="AH180" s="913"/>
      <c r="AI180" s="913"/>
      <c r="AJ180" s="913"/>
      <c r="AK180" s="913"/>
      <c r="AL180" s="913"/>
      <c r="AM180" s="913"/>
      <c r="AN180" s="913"/>
      <c r="AO180" s="913"/>
      <c r="AP180" s="913"/>
      <c r="AQ180" s="913"/>
      <c r="AR180" s="913"/>
      <c r="AS180" s="913"/>
      <c r="AT180" s="913"/>
      <c r="AU180" s="913"/>
      <c r="AV180" s="913"/>
      <c r="AW180" s="913"/>
      <c r="AX180" s="913"/>
      <c r="AY180" s="913"/>
      <c r="AZ180" s="913"/>
      <c r="BA180" s="913"/>
      <c r="BB180" s="913"/>
      <c r="BC180" s="913"/>
      <c r="BD180" s="913"/>
      <c r="BE180" s="913"/>
      <c r="BF180" s="913"/>
      <c r="BG180" s="913"/>
      <c r="BH180" s="913"/>
      <c r="BI180" s="913"/>
      <c r="BJ180" s="913"/>
      <c r="BK180" s="913"/>
      <c r="BL180" s="913"/>
      <c r="BM180" s="913"/>
      <c r="BN180" s="913"/>
      <c r="BO180" s="913"/>
      <c r="BP180" s="913"/>
      <c r="BQ180" s="913"/>
      <c r="BR180" s="913"/>
      <c r="BS180" s="913"/>
      <c r="BT180" s="913"/>
      <c r="BU180" s="913"/>
      <c r="BV180" s="913"/>
      <c r="BW180" s="913"/>
      <c r="BX180" s="913"/>
      <c r="BY180" s="913"/>
      <c r="BZ180" s="913"/>
      <c r="CA180" s="913"/>
      <c r="CB180" s="913"/>
      <c r="CC180" s="913"/>
      <c r="CD180" s="913"/>
      <c r="CE180" s="913"/>
      <c r="CF180" s="913"/>
      <c r="CG180" s="913"/>
      <c r="CH180" s="913"/>
      <c r="CI180" s="913"/>
      <c r="CJ180" s="913"/>
      <c r="CK180" s="913"/>
      <c r="CL180" s="913"/>
      <c r="CM180" s="913"/>
      <c r="CN180" s="913"/>
      <c r="CO180" s="913"/>
      <c r="CP180" s="913"/>
      <c r="CQ180" s="913"/>
      <c r="CR180" s="913"/>
      <c r="CS180" s="913"/>
      <c r="CT180" s="913"/>
      <c r="CU180" s="913"/>
      <c r="CV180" s="913"/>
      <c r="CW180" s="913"/>
      <c r="CX180" s="913"/>
      <c r="CY180" s="913"/>
      <c r="CZ180" s="913"/>
      <c r="DA180" s="913"/>
      <c r="DB180" s="913"/>
      <c r="DC180" s="913"/>
      <c r="DD180" s="913"/>
      <c r="DE180" s="913"/>
      <c r="DF180" s="913"/>
      <c r="DG180" s="913"/>
      <c r="DH180" s="913"/>
      <c r="DI180" s="913"/>
      <c r="DJ180" s="913"/>
      <c r="DK180" s="913"/>
      <c r="DL180" s="913"/>
      <c r="DM180" s="913"/>
      <c r="DN180" s="913"/>
      <c r="DO180" s="913"/>
      <c r="DP180" s="913"/>
      <c r="DQ180" s="913"/>
      <c r="DR180" s="913"/>
      <c r="DS180" s="913"/>
      <c r="DT180" s="913"/>
      <c r="DU180" s="913"/>
      <c r="DV180" s="913"/>
      <c r="DW180" s="913"/>
      <c r="DX180" s="913"/>
      <c r="DY180" s="913"/>
      <c r="DZ180" s="913"/>
      <c r="EA180" s="913"/>
      <c r="EB180" s="913"/>
      <c r="EC180" s="913"/>
      <c r="ED180" s="913"/>
      <c r="EE180" s="913"/>
      <c r="EF180" s="913"/>
      <c r="EG180" s="913"/>
      <c r="EH180" s="913"/>
      <c r="EI180" s="913"/>
      <c r="EJ180" s="923"/>
    </row>
    <row r="181" spans="14:140" x14ac:dyDescent="0.25">
      <c r="N181" s="922"/>
      <c r="O181" s="913"/>
      <c r="P181" s="913"/>
      <c r="Q181" s="913"/>
      <c r="R181" s="913"/>
      <c r="S181" s="913"/>
      <c r="T181" s="913"/>
      <c r="U181" s="913"/>
      <c r="V181" s="913"/>
      <c r="W181" s="913"/>
      <c r="X181" s="913"/>
      <c r="Y181" s="913"/>
      <c r="Z181" s="913"/>
      <c r="AA181" s="913"/>
      <c r="AB181" s="913"/>
      <c r="AC181" s="913"/>
      <c r="AD181" s="913"/>
      <c r="AE181" s="913"/>
      <c r="AF181" s="913"/>
      <c r="AG181" s="913"/>
      <c r="AH181" s="913"/>
      <c r="AI181" s="913"/>
      <c r="AJ181" s="913"/>
      <c r="AK181" s="913"/>
      <c r="AL181" s="913"/>
      <c r="AM181" s="913"/>
      <c r="AN181" s="913"/>
      <c r="AO181" s="913"/>
      <c r="AP181" s="913"/>
      <c r="AQ181" s="913"/>
      <c r="AR181" s="913"/>
      <c r="AS181" s="913"/>
      <c r="AT181" s="913"/>
      <c r="AU181" s="913"/>
      <c r="AV181" s="913"/>
      <c r="AW181" s="913"/>
      <c r="AX181" s="913"/>
      <c r="AY181" s="913"/>
      <c r="AZ181" s="913"/>
      <c r="BA181" s="913"/>
      <c r="BB181" s="913"/>
      <c r="BC181" s="913"/>
      <c r="BD181" s="913"/>
      <c r="BE181" s="913"/>
      <c r="BF181" s="913"/>
      <c r="BG181" s="913"/>
      <c r="BH181" s="913"/>
      <c r="BI181" s="913"/>
      <c r="BJ181" s="913"/>
      <c r="BK181" s="913"/>
      <c r="BL181" s="913"/>
      <c r="BM181" s="913"/>
      <c r="BN181" s="913"/>
      <c r="BO181" s="913"/>
      <c r="BP181" s="913"/>
      <c r="BQ181" s="913"/>
      <c r="BR181" s="913"/>
      <c r="BS181" s="913"/>
      <c r="BT181" s="913"/>
      <c r="BU181" s="913"/>
      <c r="BV181" s="913"/>
      <c r="BW181" s="913"/>
      <c r="BX181" s="913"/>
      <c r="BY181" s="913"/>
      <c r="BZ181" s="913"/>
      <c r="CA181" s="913"/>
      <c r="CB181" s="913"/>
      <c r="CC181" s="913"/>
      <c r="CD181" s="913"/>
      <c r="CE181" s="913"/>
      <c r="CF181" s="913"/>
      <c r="CG181" s="913"/>
      <c r="CH181" s="913"/>
      <c r="CI181" s="913"/>
      <c r="CJ181" s="913"/>
      <c r="CK181" s="913"/>
      <c r="CL181" s="913"/>
      <c r="CM181" s="913"/>
      <c r="CN181" s="913"/>
      <c r="CO181" s="913"/>
      <c r="CP181" s="913"/>
      <c r="CQ181" s="913"/>
      <c r="CR181" s="913"/>
      <c r="CS181" s="913"/>
      <c r="CT181" s="913"/>
      <c r="CU181" s="913"/>
      <c r="CV181" s="913"/>
      <c r="CW181" s="913"/>
      <c r="CX181" s="913"/>
      <c r="CY181" s="913"/>
      <c r="CZ181" s="913"/>
      <c r="DA181" s="913"/>
      <c r="DB181" s="913"/>
      <c r="DC181" s="913"/>
      <c r="DD181" s="913"/>
      <c r="DE181" s="913"/>
      <c r="DF181" s="913"/>
      <c r="DG181" s="913"/>
      <c r="DH181" s="913"/>
      <c r="DI181" s="913"/>
      <c r="DJ181" s="913"/>
      <c r="DK181" s="913"/>
      <c r="DL181" s="913"/>
      <c r="DM181" s="913"/>
      <c r="DN181" s="913"/>
      <c r="DO181" s="913"/>
      <c r="DP181" s="913"/>
      <c r="DQ181" s="913"/>
      <c r="DR181" s="913"/>
      <c r="DS181" s="913"/>
      <c r="DT181" s="913"/>
      <c r="DU181" s="913"/>
      <c r="DV181" s="913"/>
      <c r="DW181" s="913"/>
      <c r="DX181" s="913"/>
      <c r="DY181" s="913"/>
      <c r="DZ181" s="913"/>
      <c r="EA181" s="913"/>
      <c r="EB181" s="913"/>
      <c r="EC181" s="913"/>
      <c r="ED181" s="913"/>
      <c r="EE181" s="913"/>
      <c r="EF181" s="913"/>
      <c r="EG181" s="913"/>
      <c r="EH181" s="913"/>
      <c r="EI181" s="913"/>
      <c r="EJ181" s="923"/>
    </row>
    <row r="182" spans="14:140" x14ac:dyDescent="0.25">
      <c r="N182" s="922"/>
      <c r="O182" s="913"/>
      <c r="P182" s="913"/>
      <c r="Q182" s="913"/>
      <c r="R182" s="913"/>
      <c r="S182" s="913"/>
      <c r="T182" s="913"/>
      <c r="U182" s="913"/>
      <c r="V182" s="913"/>
      <c r="W182" s="913"/>
      <c r="X182" s="913"/>
      <c r="Y182" s="913"/>
      <c r="Z182" s="913"/>
      <c r="AA182" s="913"/>
      <c r="AB182" s="913"/>
      <c r="AC182" s="913"/>
      <c r="AD182" s="913"/>
      <c r="AE182" s="913"/>
      <c r="AF182" s="913"/>
      <c r="AG182" s="913"/>
      <c r="AH182" s="913"/>
      <c r="AI182" s="913"/>
      <c r="AJ182" s="913"/>
      <c r="AK182" s="913"/>
      <c r="AL182" s="913"/>
      <c r="AM182" s="913"/>
      <c r="AN182" s="913"/>
      <c r="AO182" s="913"/>
      <c r="AP182" s="913"/>
      <c r="AQ182" s="913"/>
      <c r="AR182" s="913"/>
      <c r="AS182" s="913"/>
      <c r="AT182" s="913"/>
      <c r="AU182" s="913"/>
      <c r="AV182" s="913"/>
      <c r="AW182" s="913"/>
      <c r="AX182" s="913"/>
      <c r="AY182" s="913"/>
      <c r="AZ182" s="913"/>
      <c r="BA182" s="913"/>
      <c r="BB182" s="913"/>
      <c r="BC182" s="913"/>
      <c r="BD182" s="913"/>
      <c r="BE182" s="913"/>
      <c r="BF182" s="913"/>
      <c r="BG182" s="913"/>
      <c r="BH182" s="913"/>
      <c r="BI182" s="913"/>
      <c r="BJ182" s="913"/>
      <c r="BK182" s="913"/>
      <c r="BL182" s="913"/>
      <c r="BM182" s="913"/>
      <c r="BN182" s="913"/>
      <c r="BO182" s="913"/>
      <c r="BP182" s="913"/>
      <c r="BQ182" s="913"/>
      <c r="BR182" s="913"/>
      <c r="BS182" s="913"/>
      <c r="BT182" s="913"/>
      <c r="BU182" s="913"/>
      <c r="BV182" s="913"/>
      <c r="BW182" s="913"/>
      <c r="BX182" s="913"/>
      <c r="BY182" s="913"/>
      <c r="BZ182" s="913"/>
      <c r="CA182" s="913"/>
      <c r="CB182" s="913"/>
      <c r="CC182" s="913"/>
      <c r="CD182" s="913"/>
      <c r="CE182" s="913"/>
      <c r="CF182" s="913"/>
      <c r="CG182" s="913"/>
      <c r="CH182" s="913"/>
      <c r="CI182" s="913"/>
      <c r="CJ182" s="913"/>
      <c r="CK182" s="913"/>
      <c r="CL182" s="913"/>
      <c r="CM182" s="913"/>
      <c r="CN182" s="913"/>
      <c r="CO182" s="913"/>
      <c r="CP182" s="913"/>
      <c r="CQ182" s="913"/>
      <c r="CR182" s="913"/>
      <c r="CS182" s="913"/>
      <c r="CT182" s="913"/>
      <c r="CU182" s="913"/>
      <c r="CV182" s="913"/>
      <c r="CW182" s="913"/>
      <c r="CX182" s="913"/>
      <c r="CY182" s="913"/>
      <c r="CZ182" s="913"/>
      <c r="DA182" s="913"/>
      <c r="DB182" s="913"/>
      <c r="DC182" s="913"/>
      <c r="DD182" s="913"/>
      <c r="DE182" s="913"/>
      <c r="DF182" s="913"/>
      <c r="DG182" s="913"/>
      <c r="DH182" s="913"/>
      <c r="DI182" s="913"/>
      <c r="DJ182" s="913"/>
      <c r="DK182" s="913"/>
      <c r="DL182" s="913"/>
      <c r="DM182" s="913"/>
      <c r="DN182" s="913"/>
      <c r="DO182" s="913"/>
      <c r="DP182" s="913"/>
      <c r="DQ182" s="913"/>
      <c r="DR182" s="913"/>
      <c r="DS182" s="913"/>
      <c r="DT182" s="913"/>
      <c r="DU182" s="913"/>
      <c r="DV182" s="913"/>
      <c r="DW182" s="913"/>
      <c r="DX182" s="913"/>
      <c r="DY182" s="913"/>
      <c r="DZ182" s="913"/>
      <c r="EA182" s="913"/>
      <c r="EB182" s="913"/>
      <c r="EC182" s="913"/>
      <c r="ED182" s="913"/>
      <c r="EE182" s="913"/>
      <c r="EF182" s="913"/>
      <c r="EG182" s="913"/>
      <c r="EH182" s="913"/>
      <c r="EI182" s="913"/>
      <c r="EJ182" s="923"/>
    </row>
    <row r="183" spans="14:140" x14ac:dyDescent="0.25">
      <c r="N183" s="922"/>
      <c r="O183" s="913"/>
      <c r="P183" s="913"/>
      <c r="Q183" s="913"/>
      <c r="R183" s="913"/>
      <c r="S183" s="913"/>
      <c r="T183" s="913"/>
      <c r="U183" s="913"/>
      <c r="V183" s="913"/>
      <c r="W183" s="913"/>
      <c r="X183" s="913"/>
      <c r="Y183" s="913"/>
      <c r="Z183" s="913"/>
      <c r="AA183" s="913"/>
      <c r="AB183" s="913"/>
      <c r="AC183" s="913"/>
      <c r="AD183" s="913"/>
      <c r="AE183" s="913"/>
      <c r="AF183" s="913"/>
      <c r="AG183" s="913"/>
      <c r="AH183" s="913"/>
      <c r="AI183" s="913"/>
      <c r="AJ183" s="913"/>
      <c r="AK183" s="913"/>
      <c r="AL183" s="913"/>
      <c r="AM183" s="913"/>
      <c r="AN183" s="913"/>
      <c r="AO183" s="913"/>
      <c r="AP183" s="913"/>
      <c r="AQ183" s="913"/>
      <c r="AR183" s="913"/>
      <c r="AS183" s="913"/>
      <c r="AT183" s="913"/>
      <c r="AU183" s="913"/>
      <c r="AV183" s="913"/>
      <c r="AW183" s="913"/>
      <c r="AX183" s="913"/>
      <c r="AY183" s="913"/>
      <c r="AZ183" s="913"/>
      <c r="BA183" s="913"/>
      <c r="BB183" s="913"/>
      <c r="BC183" s="913"/>
      <c r="BD183" s="913"/>
      <c r="BE183" s="913"/>
      <c r="BF183" s="913"/>
      <c r="BG183" s="913"/>
      <c r="BH183" s="913"/>
      <c r="BI183" s="913"/>
      <c r="BJ183" s="913"/>
      <c r="BK183" s="913"/>
      <c r="BL183" s="913"/>
      <c r="BM183" s="913"/>
      <c r="BN183" s="913"/>
      <c r="BO183" s="913"/>
      <c r="BP183" s="913"/>
      <c r="BQ183" s="913"/>
      <c r="BR183" s="913"/>
      <c r="BS183" s="913"/>
      <c r="BT183" s="913"/>
      <c r="BU183" s="913"/>
      <c r="BV183" s="913"/>
      <c r="BW183" s="913"/>
      <c r="BX183" s="913"/>
      <c r="BY183" s="913"/>
      <c r="BZ183" s="913"/>
      <c r="CA183" s="913"/>
      <c r="CB183" s="913"/>
      <c r="CC183" s="913"/>
      <c r="CD183" s="913"/>
      <c r="CE183" s="913"/>
      <c r="CF183" s="913"/>
      <c r="CG183" s="913"/>
      <c r="CH183" s="913"/>
      <c r="CI183" s="913"/>
      <c r="CJ183" s="913"/>
      <c r="CK183" s="913"/>
      <c r="CL183" s="913"/>
      <c r="CM183" s="913"/>
      <c r="CN183" s="913"/>
      <c r="CO183" s="913"/>
      <c r="CP183" s="913"/>
      <c r="CQ183" s="913"/>
      <c r="CR183" s="913"/>
      <c r="CS183" s="913"/>
      <c r="CT183" s="913"/>
      <c r="CU183" s="913"/>
      <c r="CV183" s="913"/>
      <c r="CW183" s="913"/>
      <c r="CX183" s="913"/>
      <c r="CY183" s="913"/>
      <c r="CZ183" s="913"/>
      <c r="DA183" s="913"/>
      <c r="DB183" s="913"/>
      <c r="DC183" s="913"/>
      <c r="DD183" s="913"/>
      <c r="DE183" s="913"/>
      <c r="DF183" s="913"/>
      <c r="DG183" s="913"/>
      <c r="DH183" s="913"/>
      <c r="DI183" s="913"/>
      <c r="DJ183" s="913"/>
      <c r="DK183" s="913"/>
      <c r="DL183" s="913"/>
      <c r="DM183" s="913"/>
      <c r="DN183" s="913"/>
      <c r="DO183" s="913"/>
      <c r="DP183" s="913"/>
      <c r="DQ183" s="913"/>
      <c r="DR183" s="913"/>
      <c r="DS183" s="913"/>
      <c r="DT183" s="913"/>
      <c r="DU183" s="913"/>
      <c r="DV183" s="913"/>
      <c r="DW183" s="913"/>
      <c r="DX183" s="913"/>
      <c r="DY183" s="913"/>
      <c r="DZ183" s="913"/>
      <c r="EA183" s="913"/>
      <c r="EB183" s="913"/>
      <c r="EC183" s="913"/>
      <c r="ED183" s="913"/>
      <c r="EE183" s="913"/>
      <c r="EF183" s="913"/>
      <c r="EG183" s="913"/>
      <c r="EH183" s="913"/>
      <c r="EI183" s="913"/>
      <c r="EJ183" s="923"/>
    </row>
    <row r="184" spans="14:140" x14ac:dyDescent="0.25">
      <c r="N184" s="922"/>
      <c r="O184" s="913"/>
      <c r="P184" s="913"/>
      <c r="Q184" s="913"/>
      <c r="R184" s="913"/>
      <c r="S184" s="913"/>
      <c r="T184" s="913"/>
      <c r="U184" s="913"/>
      <c r="V184" s="913"/>
      <c r="W184" s="913"/>
      <c r="X184" s="913"/>
      <c r="Y184" s="913"/>
      <c r="Z184" s="913"/>
      <c r="AA184" s="913"/>
      <c r="AB184" s="913"/>
      <c r="AC184" s="913"/>
      <c r="AD184" s="913"/>
      <c r="AE184" s="913"/>
      <c r="AF184" s="913"/>
      <c r="AG184" s="913"/>
      <c r="AH184" s="913"/>
      <c r="AI184" s="913"/>
      <c r="AJ184" s="913"/>
      <c r="AK184" s="913"/>
      <c r="AL184" s="913"/>
      <c r="AM184" s="913"/>
      <c r="AN184" s="913"/>
      <c r="AO184" s="913"/>
      <c r="AP184" s="913"/>
      <c r="AQ184" s="913"/>
      <c r="AR184" s="913"/>
      <c r="AS184" s="913"/>
      <c r="AT184" s="913"/>
      <c r="AU184" s="913"/>
      <c r="AV184" s="913"/>
      <c r="AW184" s="913"/>
      <c r="AX184" s="913"/>
      <c r="AY184" s="913"/>
      <c r="AZ184" s="913"/>
      <c r="BA184" s="913"/>
      <c r="BB184" s="913"/>
      <c r="BC184" s="913"/>
      <c r="BD184" s="913"/>
      <c r="BE184" s="913"/>
      <c r="BF184" s="913"/>
      <c r="BG184" s="913"/>
      <c r="BH184" s="913"/>
      <c r="BI184" s="913"/>
      <c r="BJ184" s="913"/>
      <c r="BK184" s="913"/>
      <c r="BL184" s="913"/>
      <c r="BM184" s="913"/>
      <c r="BN184" s="913"/>
      <c r="BO184" s="913"/>
      <c r="BP184" s="913"/>
      <c r="BQ184" s="913"/>
      <c r="BR184" s="913"/>
      <c r="BS184" s="913"/>
      <c r="BT184" s="913"/>
      <c r="BU184" s="913"/>
      <c r="BV184" s="913"/>
      <c r="BW184" s="913"/>
      <c r="BX184" s="913"/>
      <c r="BY184" s="913"/>
      <c r="BZ184" s="913"/>
      <c r="CA184" s="913"/>
      <c r="CB184" s="913"/>
      <c r="CC184" s="913"/>
      <c r="CD184" s="913"/>
      <c r="CE184" s="913"/>
      <c r="CF184" s="913"/>
      <c r="CG184" s="913"/>
      <c r="CH184" s="913"/>
      <c r="CI184" s="913"/>
      <c r="CJ184" s="913"/>
      <c r="CK184" s="913"/>
      <c r="CL184" s="913"/>
      <c r="CM184" s="913"/>
      <c r="CN184" s="913"/>
      <c r="CO184" s="913"/>
      <c r="CP184" s="913"/>
      <c r="CQ184" s="913"/>
      <c r="CR184" s="913"/>
      <c r="CS184" s="913"/>
      <c r="CT184" s="913"/>
      <c r="CU184" s="913"/>
      <c r="CV184" s="913"/>
      <c r="CW184" s="913"/>
      <c r="CX184" s="913"/>
      <c r="CY184" s="913"/>
      <c r="CZ184" s="913"/>
      <c r="DA184" s="913"/>
      <c r="DB184" s="913"/>
      <c r="DC184" s="913"/>
      <c r="DD184" s="913"/>
      <c r="DE184" s="913"/>
      <c r="DF184" s="913"/>
      <c r="DG184" s="913"/>
      <c r="DH184" s="913"/>
      <c r="DI184" s="913"/>
      <c r="DJ184" s="913"/>
      <c r="DK184" s="913"/>
      <c r="DL184" s="913"/>
      <c r="DM184" s="913"/>
      <c r="DN184" s="913"/>
      <c r="DO184" s="913"/>
      <c r="DP184" s="913"/>
      <c r="DQ184" s="913"/>
      <c r="DR184" s="913"/>
      <c r="DS184" s="913"/>
      <c r="DT184" s="913"/>
      <c r="DU184" s="913"/>
      <c r="DV184" s="913"/>
      <c r="DW184" s="913"/>
      <c r="DX184" s="913"/>
      <c r="DY184" s="913"/>
      <c r="DZ184" s="913"/>
      <c r="EA184" s="913"/>
      <c r="EB184" s="913"/>
      <c r="EC184" s="913"/>
      <c r="ED184" s="913"/>
      <c r="EE184" s="913"/>
      <c r="EF184" s="913"/>
      <c r="EG184" s="913"/>
      <c r="EH184" s="913"/>
      <c r="EI184" s="913"/>
      <c r="EJ184" s="923"/>
    </row>
    <row r="185" spans="14:140" x14ac:dyDescent="0.25">
      <c r="N185" s="922"/>
      <c r="O185" s="913"/>
      <c r="P185" s="913"/>
      <c r="Q185" s="913"/>
      <c r="R185" s="913"/>
      <c r="S185" s="913"/>
      <c r="T185" s="913"/>
      <c r="U185" s="913"/>
      <c r="V185" s="913"/>
      <c r="W185" s="913"/>
      <c r="X185" s="913"/>
      <c r="Y185" s="913"/>
      <c r="Z185" s="913"/>
      <c r="AA185" s="913"/>
      <c r="AB185" s="913"/>
      <c r="AC185" s="913"/>
      <c r="AD185" s="913"/>
      <c r="AE185" s="913"/>
      <c r="AF185" s="913"/>
      <c r="AG185" s="913"/>
      <c r="AH185" s="913"/>
      <c r="AI185" s="913"/>
      <c r="AJ185" s="913"/>
      <c r="AK185" s="913"/>
      <c r="AL185" s="913"/>
      <c r="AM185" s="913"/>
      <c r="AN185" s="913"/>
      <c r="AO185" s="913"/>
      <c r="AP185" s="913"/>
      <c r="AQ185" s="913"/>
      <c r="AR185" s="913"/>
      <c r="AS185" s="913"/>
      <c r="AT185" s="913"/>
      <c r="AU185" s="913"/>
      <c r="AV185" s="913"/>
      <c r="AW185" s="913"/>
      <c r="AX185" s="913"/>
      <c r="AY185" s="913"/>
      <c r="AZ185" s="913"/>
      <c r="BA185" s="913"/>
      <c r="BB185" s="913"/>
      <c r="BC185" s="913"/>
      <c r="BD185" s="913"/>
      <c r="BE185" s="913"/>
      <c r="BF185" s="913"/>
      <c r="BG185" s="913"/>
      <c r="BH185" s="913"/>
      <c r="BI185" s="913"/>
      <c r="BJ185" s="913"/>
      <c r="BK185" s="913"/>
      <c r="BL185" s="913"/>
      <c r="BM185" s="913"/>
      <c r="BN185" s="913"/>
      <c r="BO185" s="913"/>
      <c r="BP185" s="913"/>
      <c r="BQ185" s="913"/>
      <c r="BR185" s="913"/>
      <c r="BS185" s="913"/>
      <c r="BT185" s="913"/>
      <c r="BU185" s="913"/>
      <c r="BV185" s="913"/>
      <c r="BW185" s="913"/>
      <c r="BX185" s="913"/>
      <c r="BY185" s="913"/>
      <c r="BZ185" s="913"/>
      <c r="CA185" s="913"/>
      <c r="CB185" s="913"/>
      <c r="CC185" s="913"/>
      <c r="CD185" s="913"/>
      <c r="CE185" s="913"/>
      <c r="CF185" s="913"/>
      <c r="CG185" s="913"/>
      <c r="CH185" s="913"/>
      <c r="CI185" s="913"/>
      <c r="CJ185" s="913"/>
      <c r="CK185" s="913"/>
      <c r="CL185" s="913"/>
      <c r="CM185" s="913"/>
      <c r="CN185" s="913"/>
      <c r="CO185" s="913"/>
      <c r="CP185" s="913"/>
      <c r="CQ185" s="913"/>
      <c r="CR185" s="913"/>
      <c r="CS185" s="913"/>
      <c r="CT185" s="913"/>
      <c r="CU185" s="913"/>
      <c r="CV185" s="913"/>
      <c r="CW185" s="913"/>
      <c r="CX185" s="913"/>
      <c r="CY185" s="913"/>
      <c r="CZ185" s="913"/>
      <c r="DA185" s="913"/>
      <c r="DB185" s="913"/>
      <c r="DC185" s="913"/>
      <c r="DD185" s="913"/>
      <c r="DE185" s="913"/>
      <c r="DF185" s="913"/>
      <c r="DG185" s="913"/>
      <c r="DH185" s="913"/>
      <c r="DI185" s="913"/>
      <c r="DJ185" s="913"/>
      <c r="DK185" s="913"/>
      <c r="DL185" s="913"/>
      <c r="DM185" s="913"/>
      <c r="DN185" s="913"/>
      <c r="DO185" s="913"/>
      <c r="DP185" s="913"/>
      <c r="DQ185" s="913"/>
      <c r="DR185" s="913"/>
      <c r="DS185" s="913"/>
      <c r="DT185" s="913"/>
      <c r="DU185" s="913"/>
      <c r="DV185" s="913"/>
      <c r="DW185" s="913"/>
      <c r="DX185" s="913"/>
      <c r="DY185" s="913"/>
      <c r="DZ185" s="913"/>
      <c r="EA185" s="913"/>
      <c r="EB185" s="913"/>
      <c r="EC185" s="913"/>
      <c r="ED185" s="913"/>
      <c r="EE185" s="913"/>
      <c r="EF185" s="913"/>
      <c r="EG185" s="913"/>
      <c r="EH185" s="913"/>
      <c r="EI185" s="913"/>
      <c r="EJ185" s="923"/>
    </row>
    <row r="186" spans="14:140" x14ac:dyDescent="0.25">
      <c r="N186" s="922"/>
      <c r="O186" s="913"/>
      <c r="P186" s="913"/>
      <c r="Q186" s="913"/>
      <c r="R186" s="913"/>
      <c r="S186" s="913"/>
      <c r="T186" s="913"/>
      <c r="U186" s="913"/>
      <c r="V186" s="913"/>
      <c r="W186" s="913"/>
      <c r="X186" s="913"/>
      <c r="Y186" s="913"/>
      <c r="Z186" s="913"/>
      <c r="AA186" s="913"/>
      <c r="AB186" s="913"/>
      <c r="AC186" s="913"/>
      <c r="AD186" s="913"/>
      <c r="AE186" s="913"/>
      <c r="AF186" s="913"/>
      <c r="AG186" s="913"/>
      <c r="AH186" s="913"/>
      <c r="AI186" s="913"/>
      <c r="AJ186" s="913"/>
      <c r="AK186" s="913"/>
      <c r="AL186" s="913"/>
      <c r="AM186" s="913"/>
      <c r="AN186" s="913"/>
      <c r="AO186" s="913"/>
      <c r="AP186" s="913"/>
      <c r="AQ186" s="913"/>
      <c r="AR186" s="913"/>
      <c r="AS186" s="913"/>
      <c r="AT186" s="913"/>
      <c r="AU186" s="913"/>
      <c r="AV186" s="913"/>
      <c r="AW186" s="913"/>
      <c r="AX186" s="913"/>
      <c r="AY186" s="913"/>
      <c r="AZ186" s="913"/>
      <c r="BA186" s="913"/>
      <c r="BB186" s="913"/>
      <c r="BC186" s="913"/>
      <c r="BD186" s="913"/>
      <c r="BE186" s="913"/>
      <c r="BF186" s="913"/>
      <c r="BG186" s="913"/>
      <c r="BH186" s="913"/>
      <c r="BI186" s="913"/>
      <c r="BJ186" s="913"/>
      <c r="BK186" s="913"/>
      <c r="BL186" s="913"/>
      <c r="BM186" s="913"/>
      <c r="BN186" s="913"/>
      <c r="BO186" s="913"/>
      <c r="BP186" s="913"/>
      <c r="BQ186" s="913"/>
      <c r="BR186" s="913"/>
      <c r="BS186" s="913"/>
      <c r="BT186" s="913"/>
      <c r="BU186" s="913"/>
      <c r="BV186" s="913"/>
      <c r="BW186" s="913"/>
      <c r="BX186" s="913"/>
      <c r="BY186" s="913"/>
      <c r="BZ186" s="913"/>
      <c r="CA186" s="913"/>
      <c r="CB186" s="913"/>
      <c r="CC186" s="913"/>
      <c r="CD186" s="913"/>
      <c r="CE186" s="913"/>
      <c r="CF186" s="913"/>
      <c r="CG186" s="913"/>
      <c r="CH186" s="913"/>
      <c r="CI186" s="913"/>
      <c r="CJ186" s="913"/>
      <c r="CK186" s="913"/>
      <c r="CL186" s="913"/>
      <c r="CM186" s="913"/>
      <c r="CN186" s="913"/>
      <c r="CO186" s="913"/>
      <c r="CP186" s="913"/>
      <c r="CQ186" s="913"/>
      <c r="CR186" s="913"/>
      <c r="CS186" s="913"/>
      <c r="CT186" s="913"/>
      <c r="CU186" s="913"/>
      <c r="CV186" s="913"/>
      <c r="CW186" s="913"/>
      <c r="CX186" s="913"/>
      <c r="CY186" s="913"/>
      <c r="CZ186" s="913"/>
      <c r="DA186" s="913"/>
      <c r="DB186" s="913"/>
      <c r="DC186" s="913"/>
      <c r="DD186" s="913"/>
      <c r="DE186" s="913"/>
      <c r="DF186" s="913"/>
      <c r="DG186" s="913"/>
      <c r="DH186" s="913"/>
      <c r="DI186" s="913"/>
      <c r="DJ186" s="913"/>
      <c r="DK186" s="913"/>
      <c r="DL186" s="913"/>
      <c r="DM186" s="913"/>
      <c r="DN186" s="913"/>
      <c r="DO186" s="913"/>
      <c r="DP186" s="913"/>
      <c r="DQ186" s="913"/>
      <c r="DR186" s="913"/>
      <c r="DS186" s="913"/>
      <c r="DT186" s="913"/>
      <c r="DU186" s="913"/>
      <c r="DV186" s="913"/>
      <c r="DW186" s="913"/>
      <c r="DX186" s="913"/>
      <c r="DY186" s="913"/>
      <c r="DZ186" s="913"/>
      <c r="EA186" s="913"/>
      <c r="EB186" s="913"/>
      <c r="EC186" s="913"/>
      <c r="ED186" s="913"/>
      <c r="EE186" s="913"/>
      <c r="EF186" s="913"/>
      <c r="EG186" s="913"/>
      <c r="EH186" s="913"/>
      <c r="EI186" s="913"/>
      <c r="EJ186" s="923"/>
    </row>
    <row r="187" spans="14:140" x14ac:dyDescent="0.25">
      <c r="N187" s="922"/>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913"/>
      <c r="AK187" s="913"/>
      <c r="AL187" s="913"/>
      <c r="AM187" s="913"/>
      <c r="AN187" s="913"/>
      <c r="AO187" s="913"/>
      <c r="AP187" s="913"/>
      <c r="AQ187" s="913"/>
      <c r="AR187" s="913"/>
      <c r="AS187" s="913"/>
      <c r="AT187" s="913"/>
      <c r="AU187" s="913"/>
      <c r="AV187" s="913"/>
      <c r="AW187" s="913"/>
      <c r="AX187" s="913"/>
      <c r="AY187" s="913"/>
      <c r="AZ187" s="913"/>
      <c r="BA187" s="913"/>
      <c r="BB187" s="913"/>
      <c r="BC187" s="913"/>
      <c r="BD187" s="913"/>
      <c r="BE187" s="913"/>
      <c r="BF187" s="913"/>
      <c r="BG187" s="913"/>
      <c r="BH187" s="913"/>
      <c r="BI187" s="913"/>
      <c r="BJ187" s="913"/>
      <c r="BK187" s="913"/>
      <c r="BL187" s="913"/>
      <c r="BM187" s="913"/>
      <c r="BN187" s="913"/>
      <c r="BO187" s="913"/>
      <c r="BP187" s="913"/>
      <c r="BQ187" s="913"/>
      <c r="BR187" s="913"/>
      <c r="BS187" s="913"/>
      <c r="BT187" s="913"/>
      <c r="BU187" s="913"/>
      <c r="BV187" s="913"/>
      <c r="BW187" s="913"/>
      <c r="BX187" s="913"/>
      <c r="BY187" s="913"/>
      <c r="BZ187" s="913"/>
      <c r="CA187" s="913"/>
      <c r="CB187" s="913"/>
      <c r="CC187" s="913"/>
      <c r="CD187" s="913"/>
      <c r="CE187" s="913"/>
      <c r="CF187" s="913"/>
      <c r="CG187" s="913"/>
      <c r="CH187" s="913"/>
      <c r="CI187" s="913"/>
      <c r="CJ187" s="913"/>
      <c r="CK187" s="913"/>
      <c r="CL187" s="913"/>
      <c r="CM187" s="913"/>
      <c r="CN187" s="913"/>
      <c r="CO187" s="913"/>
      <c r="CP187" s="913"/>
      <c r="CQ187" s="913"/>
      <c r="CR187" s="913"/>
      <c r="CS187" s="913"/>
      <c r="CT187" s="913"/>
      <c r="CU187" s="913"/>
      <c r="CV187" s="913"/>
      <c r="CW187" s="913"/>
      <c r="CX187" s="913"/>
      <c r="CY187" s="913"/>
      <c r="CZ187" s="913"/>
      <c r="DA187" s="913"/>
      <c r="DB187" s="913"/>
      <c r="DC187" s="913"/>
      <c r="DD187" s="913"/>
      <c r="DE187" s="913"/>
      <c r="DF187" s="913"/>
      <c r="DG187" s="913"/>
      <c r="DH187" s="913"/>
      <c r="DI187" s="913"/>
      <c r="DJ187" s="913"/>
      <c r="DK187" s="913"/>
      <c r="DL187" s="913"/>
      <c r="DM187" s="913"/>
      <c r="DN187" s="913"/>
      <c r="DO187" s="913"/>
      <c r="DP187" s="913"/>
      <c r="DQ187" s="913"/>
      <c r="DR187" s="913"/>
      <c r="DS187" s="913"/>
      <c r="DT187" s="913"/>
      <c r="DU187" s="913"/>
      <c r="DV187" s="913"/>
      <c r="DW187" s="913"/>
      <c r="DX187" s="913"/>
      <c r="DY187" s="913"/>
      <c r="DZ187" s="913"/>
      <c r="EA187" s="913"/>
      <c r="EB187" s="913"/>
      <c r="EC187" s="913"/>
      <c r="ED187" s="913"/>
      <c r="EE187" s="913"/>
      <c r="EF187" s="913"/>
      <c r="EG187" s="913"/>
      <c r="EH187" s="913"/>
      <c r="EI187" s="913"/>
      <c r="EJ187" s="923"/>
    </row>
    <row r="188" spans="14:140" x14ac:dyDescent="0.25">
      <c r="N188" s="928"/>
      <c r="O188" s="929"/>
      <c r="P188" s="929"/>
      <c r="Q188" s="929"/>
      <c r="R188" s="929"/>
      <c r="S188" s="929"/>
      <c r="T188" s="929"/>
      <c r="U188" s="929"/>
      <c r="V188" s="929"/>
      <c r="W188" s="929"/>
      <c r="X188" s="929"/>
      <c r="Y188" s="929"/>
      <c r="Z188" s="929"/>
      <c r="AA188" s="929"/>
      <c r="AB188" s="929"/>
      <c r="AC188" s="929"/>
      <c r="AD188" s="929"/>
      <c r="AE188" s="929"/>
      <c r="AF188" s="929"/>
      <c r="AG188" s="929"/>
      <c r="AH188" s="929"/>
      <c r="AI188" s="929"/>
      <c r="AJ188" s="929"/>
      <c r="AK188" s="929"/>
      <c r="AL188" s="929"/>
      <c r="AM188" s="929"/>
      <c r="AN188" s="929"/>
      <c r="AO188" s="929"/>
      <c r="AP188" s="929"/>
      <c r="AQ188" s="929"/>
      <c r="AR188" s="929"/>
      <c r="AS188" s="929"/>
      <c r="AT188" s="929"/>
      <c r="AU188" s="929"/>
      <c r="AV188" s="929"/>
      <c r="AW188" s="929"/>
      <c r="AX188" s="929"/>
      <c r="AY188" s="929"/>
      <c r="AZ188" s="929"/>
      <c r="BA188" s="929"/>
      <c r="BB188" s="929"/>
      <c r="BC188" s="929"/>
      <c r="BD188" s="929"/>
      <c r="BE188" s="929"/>
      <c r="BF188" s="929"/>
      <c r="BG188" s="929"/>
      <c r="BH188" s="929"/>
      <c r="BI188" s="929"/>
      <c r="BJ188" s="929"/>
      <c r="BK188" s="929"/>
      <c r="BL188" s="929"/>
      <c r="BM188" s="929"/>
      <c r="BN188" s="929"/>
      <c r="BO188" s="929"/>
      <c r="BP188" s="929"/>
      <c r="BQ188" s="929"/>
      <c r="BR188" s="929"/>
      <c r="BS188" s="929"/>
      <c r="BT188" s="929"/>
      <c r="BU188" s="929"/>
      <c r="BV188" s="929"/>
      <c r="BW188" s="929"/>
      <c r="BX188" s="929"/>
      <c r="BY188" s="929"/>
      <c r="BZ188" s="929"/>
      <c r="CA188" s="929"/>
      <c r="CB188" s="929"/>
      <c r="CC188" s="929"/>
      <c r="CD188" s="929"/>
      <c r="CE188" s="929"/>
      <c r="CF188" s="929"/>
      <c r="CG188" s="929"/>
      <c r="CH188" s="929"/>
      <c r="CI188" s="929"/>
      <c r="CJ188" s="929"/>
      <c r="CK188" s="929"/>
      <c r="CL188" s="929"/>
      <c r="CM188" s="929"/>
      <c r="CN188" s="929"/>
      <c r="CO188" s="929"/>
      <c r="CP188" s="929"/>
      <c r="CQ188" s="929"/>
      <c r="CR188" s="929"/>
      <c r="CS188" s="929"/>
      <c r="CT188" s="929"/>
      <c r="CU188" s="929"/>
      <c r="CV188" s="929"/>
      <c r="CW188" s="929"/>
      <c r="CX188" s="929"/>
      <c r="CY188" s="929"/>
      <c r="CZ188" s="929"/>
      <c r="DA188" s="929"/>
      <c r="DB188" s="929"/>
      <c r="DC188" s="929"/>
      <c r="DD188" s="929"/>
      <c r="DE188" s="929"/>
      <c r="DF188" s="929"/>
      <c r="DG188" s="929"/>
      <c r="DH188" s="929"/>
      <c r="DI188" s="929"/>
      <c r="DJ188" s="929"/>
      <c r="DK188" s="929"/>
      <c r="DL188" s="929"/>
      <c r="DM188" s="929"/>
      <c r="DN188" s="929"/>
      <c r="DO188" s="929"/>
      <c r="DP188" s="929"/>
      <c r="DQ188" s="929"/>
      <c r="DR188" s="929"/>
      <c r="DS188" s="929"/>
      <c r="DT188" s="929"/>
      <c r="DU188" s="929"/>
      <c r="DV188" s="929"/>
      <c r="DW188" s="929"/>
      <c r="DX188" s="929"/>
      <c r="DY188" s="929"/>
      <c r="DZ188" s="929"/>
      <c r="EA188" s="929"/>
      <c r="EB188" s="929"/>
      <c r="EC188" s="929"/>
      <c r="ED188" s="929"/>
      <c r="EE188" s="929"/>
      <c r="EF188" s="929"/>
      <c r="EG188" s="929"/>
      <c r="EH188" s="929"/>
      <c r="EI188" s="929"/>
      <c r="EJ188" s="930"/>
    </row>
    <row r="282" spans="24:25" x14ac:dyDescent="0.25">
      <c r="X282" s="110"/>
      <c r="Y282" s="109"/>
    </row>
  </sheetData>
  <mergeCells count="7">
    <mergeCell ref="N44:N45"/>
    <mergeCell ref="N71:N72"/>
    <mergeCell ref="D15:W15"/>
    <mergeCell ref="AT15:IX15"/>
    <mergeCell ref="AU17:AV19"/>
    <mergeCell ref="AW17:IG18"/>
    <mergeCell ref="IQ18:IW18"/>
  </mergeCells>
  <conditionalFormatting sqref="R46:Z57">
    <cfRule type="colorScale" priority="8">
      <colorScale>
        <cfvo type="min"/>
        <cfvo type="percentile" val="50"/>
        <cfvo type="max"/>
        <color rgb="FF63BE7B"/>
        <color rgb="FFFFEB84"/>
        <color rgb="FFF8696B"/>
      </colorScale>
    </cfRule>
  </conditionalFormatting>
  <conditionalFormatting sqref="E18:M29">
    <cfRule type="colorScale" priority="6">
      <colorScale>
        <cfvo type="min"/>
        <cfvo type="percentile" val="50"/>
        <cfvo type="max"/>
        <color rgb="FF63BE7B"/>
        <color rgb="FFFFEB84"/>
        <color rgb="FFF8696B"/>
      </colorScale>
    </cfRule>
  </conditionalFormatting>
  <conditionalFormatting sqref="R103:Z105">
    <cfRule type="colorScale" priority="5">
      <colorScale>
        <cfvo type="min"/>
        <cfvo type="percentile" val="50"/>
        <cfvo type="max"/>
        <color rgb="FF63BE7B"/>
        <color rgb="FFFFEB84"/>
        <color rgb="FFF8696B"/>
      </colorScale>
    </cfRule>
  </conditionalFormatting>
  <conditionalFormatting sqref="Q111:Z121">
    <cfRule type="colorScale" priority="4">
      <colorScale>
        <cfvo type="min"/>
        <cfvo type="percentile" val="50"/>
        <cfvo type="max"/>
        <color rgb="FF63BE7B"/>
        <color rgb="FFFFEB84"/>
        <color rgb="FFF8696B"/>
      </colorScale>
    </cfRule>
  </conditionalFormatting>
  <conditionalFormatting sqref="Q92:Z102">
    <cfRule type="colorScale" priority="3">
      <colorScale>
        <cfvo type="min"/>
        <cfvo type="percentile" val="50"/>
        <cfvo type="max"/>
        <color rgb="FF63BE7B"/>
        <color rgb="FFFFEB84"/>
        <color rgb="FFF8696B"/>
      </colorScale>
    </cfRule>
  </conditionalFormatting>
  <conditionalFormatting sqref="S91:Z91">
    <cfRule type="colorScale" priority="2">
      <colorScale>
        <cfvo type="min"/>
        <cfvo type="percentile" val="50"/>
        <cfvo type="max"/>
        <color rgb="FF63BE7B"/>
        <color rgb="FFFFEB84"/>
        <color rgb="FFF8696B"/>
      </colorScale>
    </cfRule>
  </conditionalFormatting>
  <conditionalFormatting sqref="S91:Z102">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DATA ENTRY</vt:lpstr>
      <vt:lpstr>BC_PRINT SUMMARY</vt:lpstr>
      <vt:lpstr>MC_PRINT SUMMARY</vt:lpstr>
      <vt:lpstr>FOR ENGINEERS</vt:lpstr>
      <vt:lpstr>REVISION LOG</vt:lpstr>
      <vt:lpstr>SHEETDATA</vt:lpstr>
      <vt:lpstr>WORKSHEET INSTRUCTIONS</vt:lpstr>
      <vt:lpstr>MODEL INSTRUCTIONS</vt:lpstr>
      <vt:lpstr>BCDE439</vt:lpstr>
      <vt:lpstr>BCDE635</vt:lpstr>
      <vt:lpstr>BCZE439</vt:lpstr>
      <vt:lpstr>BCZE445</vt:lpstr>
      <vt:lpstr>BCJE443</vt:lpstr>
      <vt:lpstr>MCDE439</vt:lpstr>
      <vt:lpstr>MCDE635</vt:lpstr>
      <vt:lpstr>MCZE439</vt:lpstr>
      <vt:lpstr>MCZE445</vt:lpstr>
      <vt:lpstr>MCJE443</vt:lpstr>
      <vt:lpstr>BC_ROOF</vt:lpstr>
      <vt:lpstr>MC_ROOF</vt:lpstr>
      <vt:lpstr>BC_CURB</vt:lpstr>
      <vt:lpstr>MC_CURB</vt:lpstr>
      <vt:lpstr>MITER CORNER HEIGHTS</vt:lpstr>
      <vt:lpstr>BOXCORNER</vt:lpstr>
      <vt:lpstr>MCDE439</vt:lpstr>
      <vt:lpstr>MCDE635</vt:lpstr>
      <vt:lpstr>MCJE443</vt:lpstr>
      <vt:lpstr>MCZE439</vt:lpstr>
      <vt:lpstr>MCZE445</vt:lpstr>
      <vt:lpstr>MITERCORNER</vt:lpstr>
      <vt:lpstr>MODELS</vt:lpstr>
      <vt:lpstr>null</vt:lpstr>
      <vt:lpstr>'BC_PRINT SUMMARY'!Print_Area</vt:lpstr>
      <vt:lpstr>'DATA ENTRY'!Print_Area</vt:lpstr>
      <vt:lpstr>'MC_PRINT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2019-08-19T17:00:26Z</cp:lastPrinted>
  <dcterms:created xsi:type="dcterms:W3CDTF">2019-05-14T18:10:38Z</dcterms:created>
  <dcterms:modified xsi:type="dcterms:W3CDTF">2022-02-09T15:12:04Z</dcterms:modified>
</cp:coreProperties>
</file>